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ichi\Dropbox\A_COVID_University\Journal_Submission\PNAS\data_code\data\"/>
    </mc:Choice>
  </mc:AlternateContent>
  <xr:revisionPtr revIDLastSave="0" documentId="13_ncr:1_{4DF37AB7-F8EF-40E2-A717-17E064CB4E63}" xr6:coauthVersionLast="47" xr6:coauthVersionMax="47" xr10:uidLastSave="{00000000-0000-0000-0000-000000000000}"/>
  <bookViews>
    <workbookView xWindow="16930" yWindow="480" windowWidth="12360" windowHeight="14320" firstSheet="1" activeTab="2" xr2:uid="{00000000-000D-0000-FFFF-FFFF00000000}"/>
  </bookViews>
  <sheets>
    <sheet name="note" sheetId="1" r:id="rId1"/>
    <sheet name="Calendar with week numbers" sheetId="2" r:id="rId2"/>
    <sheet name="No. of students" sheetId="5" r:id="rId3"/>
    <sheet name="No. of infected (integrated)" sheetId="4" r:id="rId4"/>
    <sheet name="Kyoto" sheetId="16" r:id="rId5"/>
    <sheet name="Kyushu" sheetId="18" r:id="rId6"/>
    <sheet name="Tohoku" sheetId="7" r:id="rId7"/>
    <sheet name="Hokkaio" sheetId="6" r:id="rId8"/>
    <sheet name="Nagoya" sheetId="14" r:id="rId9"/>
    <sheet name="Hiroshima" sheetId="17" r:id="rId10"/>
    <sheet name="Chiba" sheetId="10" r:id="rId11"/>
    <sheet name="Niigata" sheetId="11" r:id="rId12"/>
    <sheet name="Kanazawa" sheetId="12" r:id="rId13"/>
    <sheet name="Shizuoka" sheetId="13" r:id="rId14"/>
    <sheet name="Kumamoto" sheetId="19" r:id="rId15"/>
    <sheet name="Tokyo Metropolitan" sheetId="44" r:id="rId16"/>
    <sheet name="Saitama" sheetId="9" r:id="rId17"/>
    <sheet name="Ryukyus" sheetId="20" r:id="rId18"/>
    <sheet name="Mie" sheetId="15" r:id="rId19"/>
    <sheet name="Meiji" sheetId="26" r:id="rId20"/>
    <sheet name="Doshisha" sheetId="27" r:id="rId21"/>
    <sheet name="Ryukoku" sheetId="28" r:id="rId22"/>
    <sheet name="Senshu" sheetId="29" r:id="rId23"/>
    <sheet name="Meijo" sheetId="30" r:id="rId24"/>
    <sheet name="Chukyo" sheetId="31" r:id="rId25"/>
    <sheet name="Kyoto Sangyo" sheetId="32" r:id="rId26"/>
    <sheet name="Tohoku Gakuin" sheetId="34" r:id="rId27"/>
    <sheet name="Chubu" sheetId="35" r:id="rId28"/>
    <sheet name="Kobe Gakuin" sheetId="37" r:id="rId29"/>
    <sheet name="Rissho" sheetId="38" r:id="rId30"/>
    <sheet name="Aichi" sheetId="39" r:id="rId31"/>
    <sheet name="Chiba Tech" sheetId="56" r:id="rId32"/>
    <sheet name="Nanzan" sheetId="41" r:id="rId33"/>
    <sheet name="Konan" sheetId="43" r:id="rId34"/>
    <sheet name="Aichi Shukutoku" sheetId="45" r:id="rId35"/>
    <sheet name="Tokkyo" sheetId="47" r:id="rId36"/>
    <sheet name="Mukogawa Women" sheetId="49" r:id="rId37"/>
    <sheet name="Hokkai-Gakuen" sheetId="50" r:id="rId38"/>
    <sheet name="Shibaura " sheetId="51" r:id="rId39"/>
    <sheet name="Osaka Sangyo" sheetId="52" r:id="rId40"/>
    <sheet name="Seinan Gakuin" sheetId="53" r:id="rId41"/>
    <sheet name="Soka" sheetId="55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1" roundtripDataSignature="AMtx7miytglXGllfK0WkwOxI+Cidl9n7Yw=="/>
    </ext>
  </extLst>
</workbook>
</file>

<file path=xl/calcChain.xml><?xml version="1.0" encoding="utf-8"?>
<calcChain xmlns="http://schemas.openxmlformats.org/spreadsheetml/2006/main">
  <c r="AJ108" i="4" l="1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1" i="4"/>
  <c r="AJ87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C790" i="18" l="1"/>
  <c r="C789" i="18"/>
  <c r="D789" i="18"/>
  <c r="C788" i="18"/>
  <c r="D788" i="18"/>
  <c r="C787" i="18"/>
  <c r="C786" i="18"/>
  <c r="D786" i="18"/>
  <c r="C785" i="18"/>
  <c r="D783" i="18"/>
  <c r="C782" i="18"/>
  <c r="D782" i="18"/>
  <c r="D781" i="18"/>
  <c r="C780" i="18"/>
  <c r="D775" i="18"/>
  <c r="D772" i="18"/>
  <c r="C759" i="18"/>
  <c r="D758" i="18"/>
  <c r="C753" i="18"/>
  <c r="C747" i="18"/>
  <c r="D785" i="18"/>
  <c r="C783" i="18"/>
  <c r="C781" i="18"/>
  <c r="C779" i="18"/>
  <c r="D779" i="18"/>
  <c r="C778" i="18"/>
  <c r="D778" i="18"/>
  <c r="C777" i="18"/>
  <c r="C776" i="18"/>
  <c r="D776" i="18"/>
  <c r="C773" i="18"/>
  <c r="C763" i="18"/>
  <c r="D792" i="16"/>
  <c r="D791" i="16"/>
  <c r="D790" i="16"/>
  <c r="D789" i="16"/>
  <c r="D788" i="16"/>
  <c r="D787" i="16"/>
  <c r="D786" i="16"/>
  <c r="D785" i="16"/>
  <c r="D784" i="16"/>
  <c r="D783" i="16"/>
  <c r="D782" i="16"/>
  <c r="C792" i="16"/>
  <c r="C791" i="16"/>
  <c r="C790" i="16"/>
  <c r="C789" i="16"/>
  <c r="C788" i="16"/>
  <c r="C787" i="16"/>
  <c r="C786" i="16"/>
  <c r="C785" i="16"/>
  <c r="C784" i="16"/>
  <c r="C783" i="16"/>
  <c r="C782" i="16"/>
  <c r="D779" i="16"/>
  <c r="D778" i="16"/>
  <c r="I115" i="4" s="1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81" i="16"/>
  <c r="D780" i="16"/>
  <c r="C781" i="16"/>
  <c r="C780" i="16"/>
  <c r="C779" i="16"/>
  <c r="C778" i="16"/>
  <c r="C777" i="16"/>
  <c r="C776" i="16"/>
  <c r="C775" i="16"/>
  <c r="C774" i="16"/>
  <c r="C773" i="16"/>
  <c r="I114" i="4" s="1"/>
  <c r="C772" i="16"/>
  <c r="C771" i="16"/>
  <c r="C770" i="16"/>
  <c r="C769" i="16"/>
  <c r="C768" i="16"/>
  <c r="C767" i="16"/>
  <c r="C766" i="16"/>
  <c r="C765" i="16"/>
  <c r="C791" i="38"/>
  <c r="C793" i="38"/>
  <c r="C792" i="38"/>
  <c r="C790" i="38"/>
  <c r="C788" i="38"/>
  <c r="C789" i="38"/>
  <c r="C787" i="38"/>
  <c r="C783" i="38"/>
  <c r="C786" i="38"/>
  <c r="C782" i="38"/>
  <c r="C786" i="41"/>
  <c r="C787" i="41"/>
  <c r="C788" i="41"/>
  <c r="C789" i="41"/>
  <c r="C790" i="41"/>
  <c r="C791" i="41"/>
  <c r="C785" i="41"/>
  <c r="C787" i="32"/>
  <c r="D786" i="32"/>
  <c r="D783" i="32"/>
  <c r="C783" i="32"/>
  <c r="C782" i="32"/>
  <c r="D781" i="32"/>
  <c r="C781" i="32"/>
  <c r="D779" i="32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62" i="6"/>
  <c r="C761" i="6"/>
  <c r="C760" i="6"/>
  <c r="C759" i="6"/>
  <c r="D791" i="7"/>
  <c r="C789" i="7"/>
  <c r="C788" i="7"/>
  <c r="D787" i="7"/>
  <c r="C787" i="7"/>
  <c r="D786" i="7"/>
  <c r="C786" i="7"/>
  <c r="D785" i="7"/>
  <c r="C785" i="7"/>
  <c r="D782" i="7"/>
  <c r="C782" i="7"/>
  <c r="D781" i="7"/>
  <c r="C786" i="56"/>
  <c r="C787" i="56"/>
  <c r="C788" i="56"/>
  <c r="C789" i="56"/>
  <c r="C790" i="56"/>
  <c r="C791" i="56"/>
  <c r="C785" i="56"/>
  <c r="C784" i="45"/>
  <c r="D784" i="45"/>
  <c r="C785" i="45"/>
  <c r="D785" i="45"/>
  <c r="C786" i="45"/>
  <c r="D786" i="45"/>
  <c r="C787" i="45"/>
  <c r="D787" i="45"/>
  <c r="C788" i="45"/>
  <c r="D788" i="45"/>
  <c r="C789" i="45"/>
  <c r="D789" i="45"/>
  <c r="D783" i="45"/>
  <c r="C783" i="45"/>
  <c r="C773" i="47"/>
  <c r="C774" i="47"/>
  <c r="C775" i="47"/>
  <c r="C776" i="47"/>
  <c r="C777" i="47"/>
  <c r="C778" i="47"/>
  <c r="C779" i="47"/>
  <c r="C780" i="47"/>
  <c r="AN115" i="4" s="1"/>
  <c r="C781" i="47"/>
  <c r="C782" i="47"/>
  <c r="C783" i="47"/>
  <c r="C784" i="47"/>
  <c r="C785" i="47"/>
  <c r="C772" i="47"/>
  <c r="C788" i="50"/>
  <c r="C786" i="50"/>
  <c r="C782" i="50"/>
  <c r="C778" i="50"/>
  <c r="C777" i="50"/>
  <c r="C775" i="50"/>
  <c r="C779" i="50"/>
  <c r="C776" i="50"/>
  <c r="C789" i="55"/>
  <c r="C789" i="51"/>
  <c r="C787" i="51"/>
  <c r="C784" i="34"/>
  <c r="C785" i="34"/>
  <c r="C786" i="34"/>
  <c r="C787" i="34"/>
  <c r="C788" i="34"/>
  <c r="C789" i="34"/>
  <c r="C783" i="34"/>
  <c r="D784" i="7"/>
  <c r="C784" i="7"/>
  <c r="D783" i="7"/>
  <c r="C783" i="7"/>
  <c r="D780" i="7"/>
  <c r="D775" i="7"/>
  <c r="C780" i="7"/>
  <c r="D779" i="7"/>
  <c r="C779" i="7"/>
  <c r="D778" i="7"/>
  <c r="C778" i="7"/>
  <c r="C777" i="7"/>
  <c r="D776" i="7"/>
  <c r="C776" i="7"/>
  <c r="C775" i="7"/>
  <c r="D774" i="7"/>
  <c r="C774" i="7"/>
  <c r="D766" i="7"/>
  <c r="C786" i="11"/>
  <c r="C785" i="11"/>
  <c r="C784" i="11"/>
  <c r="C783" i="11"/>
  <c r="C782" i="11"/>
  <c r="C781" i="11"/>
  <c r="C780" i="11"/>
  <c r="C779" i="11"/>
  <c r="D786" i="11"/>
  <c r="D785" i="11"/>
  <c r="D784" i="11"/>
  <c r="D783" i="11"/>
  <c r="D782" i="11"/>
  <c r="C788" i="9"/>
  <c r="C779" i="9"/>
  <c r="C781" i="9"/>
  <c r="C776" i="9"/>
  <c r="C787" i="9"/>
  <c r="D786" i="9"/>
  <c r="C786" i="9"/>
  <c r="C785" i="9"/>
  <c r="C783" i="9"/>
  <c r="C784" i="9"/>
  <c r="C786" i="30"/>
  <c r="C785" i="30"/>
  <c r="C784" i="30"/>
  <c r="C783" i="30"/>
  <c r="C782" i="30"/>
  <c r="C781" i="30"/>
  <c r="C780" i="30"/>
  <c r="C779" i="32"/>
  <c r="C778" i="32"/>
  <c r="C775" i="32"/>
  <c r="D771" i="32"/>
  <c r="C782" i="34"/>
  <c r="C781" i="34"/>
  <c r="C780" i="34"/>
  <c r="C779" i="34"/>
  <c r="C778" i="34"/>
  <c r="C777" i="34"/>
  <c r="C776" i="34"/>
  <c r="C769" i="34"/>
  <c r="D769" i="34"/>
  <c r="C770" i="34"/>
  <c r="D770" i="34"/>
  <c r="C771" i="34"/>
  <c r="D771" i="34"/>
  <c r="C772" i="34"/>
  <c r="D772" i="34"/>
  <c r="C773" i="34"/>
  <c r="D773" i="34"/>
  <c r="C774" i="34"/>
  <c r="D774" i="34"/>
  <c r="C775" i="34"/>
  <c r="D775" i="34"/>
  <c r="D768" i="34"/>
  <c r="C768" i="34"/>
  <c r="C767" i="34"/>
  <c r="C766" i="34"/>
  <c r="C765" i="34"/>
  <c r="C764" i="34"/>
  <c r="C763" i="34"/>
  <c r="C762" i="34"/>
  <c r="D787" i="35"/>
  <c r="C787" i="35"/>
  <c r="C775" i="38"/>
  <c r="C785" i="38"/>
  <c r="C781" i="38"/>
  <c r="C780" i="38"/>
  <c r="C784" i="38"/>
  <c r="C776" i="38"/>
  <c r="C779" i="38"/>
  <c r="C778" i="38"/>
  <c r="C754" i="39"/>
  <c r="C785" i="39"/>
  <c r="D782" i="56"/>
  <c r="D786" i="43"/>
  <c r="C786" i="43"/>
  <c r="D785" i="43"/>
  <c r="C785" i="43"/>
  <c r="D784" i="43"/>
  <c r="C784" i="43"/>
  <c r="D783" i="43"/>
  <c r="C783" i="43"/>
  <c r="D782" i="43"/>
  <c r="C782" i="43"/>
  <c r="D781" i="43"/>
  <c r="C781" i="43"/>
  <c r="D780" i="43"/>
  <c r="C780" i="43"/>
  <c r="C785" i="49"/>
  <c r="C783" i="49"/>
  <c r="C782" i="49"/>
  <c r="C781" i="49"/>
  <c r="C779" i="49"/>
  <c r="C778" i="49"/>
  <c r="C776" i="49"/>
  <c r="C775" i="49"/>
  <c r="C774" i="49"/>
  <c r="C773" i="49"/>
  <c r="C772" i="49"/>
  <c r="C771" i="49"/>
  <c r="C769" i="49"/>
  <c r="C768" i="49"/>
  <c r="C767" i="49"/>
  <c r="AO113" i="4" s="1"/>
  <c r="C766" i="49"/>
  <c r="C765" i="49"/>
  <c r="C764" i="49"/>
  <c r="C763" i="49"/>
  <c r="C762" i="49"/>
  <c r="C761" i="49"/>
  <c r="C760" i="49"/>
  <c r="C759" i="49"/>
  <c r="C758" i="49"/>
  <c r="C757" i="49"/>
  <c r="C756" i="49"/>
  <c r="C754" i="49"/>
  <c r="C753" i="49"/>
  <c r="C752" i="49"/>
  <c r="C786" i="51"/>
  <c r="C785" i="51"/>
  <c r="C784" i="51"/>
  <c r="C782" i="51"/>
  <c r="C785" i="53"/>
  <c r="C782" i="53"/>
  <c r="D788" i="55"/>
  <c r="D787" i="55"/>
  <c r="D786" i="55"/>
  <c r="D785" i="55"/>
  <c r="D782" i="55"/>
  <c r="D781" i="55"/>
  <c r="D778" i="55"/>
  <c r="D776" i="55"/>
  <c r="D774" i="55"/>
  <c r="D771" i="55"/>
  <c r="C788" i="55"/>
  <c r="C787" i="55"/>
  <c r="C786" i="55"/>
  <c r="C785" i="55"/>
  <c r="C782" i="55"/>
  <c r="C781" i="55"/>
  <c r="C778" i="55"/>
  <c r="C776" i="55"/>
  <c r="C774" i="55"/>
  <c r="C771" i="55"/>
  <c r="AT114" i="4" s="1"/>
  <c r="C758" i="55"/>
  <c r="C763" i="55"/>
  <c r="C764" i="55"/>
  <c r="D784" i="51"/>
  <c r="D783" i="51"/>
  <c r="C783" i="51"/>
  <c r="C780" i="41"/>
  <c r="D780" i="41"/>
  <c r="C781" i="41"/>
  <c r="D781" i="41"/>
  <c r="C782" i="41"/>
  <c r="D782" i="41"/>
  <c r="C783" i="41"/>
  <c r="D783" i="41"/>
  <c r="C784" i="41"/>
  <c r="D784" i="41"/>
  <c r="D779" i="41"/>
  <c r="C779" i="41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C760" i="27"/>
  <c r="D760" i="27"/>
  <c r="C761" i="27"/>
  <c r="D761" i="27"/>
  <c r="C762" i="27"/>
  <c r="D762" i="27"/>
  <c r="C763" i="27"/>
  <c r="D763" i="27"/>
  <c r="C764" i="27"/>
  <c r="D764" i="27"/>
  <c r="C765" i="27"/>
  <c r="D765" i="27"/>
  <c r="C766" i="27"/>
  <c r="D766" i="27"/>
  <c r="C767" i="27"/>
  <c r="D767" i="27"/>
  <c r="C768" i="27"/>
  <c r="D768" i="27"/>
  <c r="C769" i="27"/>
  <c r="D769" i="27"/>
  <c r="C770" i="27"/>
  <c r="D770" i="27"/>
  <c r="C771" i="27"/>
  <c r="D771" i="27"/>
  <c r="C772" i="27"/>
  <c r="D772" i="27"/>
  <c r="C773" i="27"/>
  <c r="D773" i="27"/>
  <c r="C774" i="27"/>
  <c r="D774" i="27"/>
  <c r="C775" i="27"/>
  <c r="D775" i="27"/>
  <c r="C776" i="27"/>
  <c r="D776" i="27"/>
  <c r="C777" i="27"/>
  <c r="D777" i="27"/>
  <c r="C778" i="27"/>
  <c r="D778" i="27"/>
  <c r="C779" i="27"/>
  <c r="D779" i="27"/>
  <c r="C780" i="27"/>
  <c r="D780" i="27"/>
  <c r="C781" i="27"/>
  <c r="D781" i="27"/>
  <c r="C782" i="27"/>
  <c r="D782" i="27"/>
  <c r="C783" i="27"/>
  <c r="D783" i="27"/>
  <c r="C784" i="27"/>
  <c r="D784" i="27"/>
  <c r="C785" i="27"/>
  <c r="D785" i="27"/>
  <c r="D759" i="27"/>
  <c r="C759" i="27"/>
  <c r="D785" i="26"/>
  <c r="D784" i="26"/>
  <c r="D783" i="26"/>
  <c r="D782" i="26"/>
  <c r="D781" i="26"/>
  <c r="D780" i="26"/>
  <c r="D779" i="26"/>
  <c r="D778" i="26"/>
  <c r="C785" i="26"/>
  <c r="C784" i="26"/>
  <c r="C783" i="26"/>
  <c r="C782" i="26"/>
  <c r="C781" i="26"/>
  <c r="C780" i="26"/>
  <c r="C779" i="26"/>
  <c r="C778" i="26"/>
  <c r="D781" i="9"/>
  <c r="D782" i="9"/>
  <c r="C782" i="9"/>
  <c r="D778" i="9"/>
  <c r="C778" i="9"/>
  <c r="D779" i="9"/>
  <c r="D785" i="9"/>
  <c r="D783" i="9"/>
  <c r="D785" i="14"/>
  <c r="C785" i="14"/>
  <c r="D784" i="14"/>
  <c r="C784" i="14"/>
  <c r="D783" i="14"/>
  <c r="C783" i="14"/>
  <c r="D773" i="7"/>
  <c r="C773" i="7"/>
  <c r="D772" i="7"/>
  <c r="C772" i="7"/>
  <c r="C771" i="7"/>
  <c r="C770" i="7"/>
  <c r="D769" i="7"/>
  <c r="C769" i="7"/>
  <c r="C768" i="7"/>
  <c r="C777" i="45"/>
  <c r="D777" i="45"/>
  <c r="C778" i="45"/>
  <c r="D778" i="45"/>
  <c r="C779" i="45"/>
  <c r="D779" i="45"/>
  <c r="C780" i="45"/>
  <c r="D780" i="45"/>
  <c r="C781" i="45"/>
  <c r="D781" i="45"/>
  <c r="C782" i="45"/>
  <c r="D782" i="45"/>
  <c r="D776" i="45"/>
  <c r="C776" i="45"/>
  <c r="C784" i="56"/>
  <c r="C783" i="56"/>
  <c r="C782" i="56"/>
  <c r="C781" i="56"/>
  <c r="C780" i="56"/>
  <c r="C779" i="56"/>
  <c r="C778" i="56"/>
  <c r="C785" i="31"/>
  <c r="C784" i="31"/>
  <c r="C783" i="31"/>
  <c r="C776" i="19"/>
  <c r="D776" i="19"/>
  <c r="C777" i="19"/>
  <c r="D777" i="19"/>
  <c r="C778" i="19"/>
  <c r="D778" i="19"/>
  <c r="C779" i="19"/>
  <c r="D779" i="19"/>
  <c r="C780" i="19"/>
  <c r="D780" i="19"/>
  <c r="C781" i="19"/>
  <c r="D781" i="19"/>
  <c r="C782" i="19"/>
  <c r="D782" i="19"/>
  <c r="C783" i="19"/>
  <c r="D783" i="19"/>
  <c r="C784" i="19"/>
  <c r="D784" i="19"/>
  <c r="C785" i="19"/>
  <c r="D785" i="19"/>
  <c r="D775" i="19"/>
  <c r="C775" i="19"/>
  <c r="D781" i="11"/>
  <c r="D780" i="11"/>
  <c r="D779" i="11"/>
  <c r="D778" i="11"/>
  <c r="D777" i="11"/>
  <c r="D776" i="11"/>
  <c r="C778" i="11"/>
  <c r="C777" i="11"/>
  <c r="C776" i="11"/>
  <c r="D783" i="17"/>
  <c r="C783" i="17"/>
  <c r="D782" i="17"/>
  <c r="C782" i="17"/>
  <c r="C777" i="9"/>
  <c r="C780" i="9"/>
  <c r="D777" i="18"/>
  <c r="C774" i="18"/>
  <c r="D774" i="18"/>
  <c r="D773" i="18"/>
  <c r="C772" i="18"/>
  <c r="C771" i="18"/>
  <c r="C767" i="18"/>
  <c r="C766" i="18"/>
  <c r="C764" i="18"/>
  <c r="D763" i="18"/>
  <c r="C761" i="18"/>
  <c r="C772" i="55"/>
  <c r="C769" i="55"/>
  <c r="C768" i="55"/>
  <c r="C767" i="55"/>
  <c r="C766" i="55"/>
  <c r="AT113" i="4" s="1"/>
  <c r="C760" i="55"/>
  <c r="C759" i="55"/>
  <c r="C757" i="55"/>
  <c r="C756" i="55"/>
  <c r="C755" i="55"/>
  <c r="C754" i="55"/>
  <c r="C753" i="55"/>
  <c r="C752" i="55"/>
  <c r="C773" i="52"/>
  <c r="D782" i="51"/>
  <c r="AQ115" i="4" s="1"/>
  <c r="C781" i="51"/>
  <c r="C778" i="51"/>
  <c r="C777" i="51"/>
  <c r="D777" i="51"/>
  <c r="C776" i="51"/>
  <c r="C775" i="51"/>
  <c r="C774" i="51"/>
  <c r="D773" i="51"/>
  <c r="C773" i="51"/>
  <c r="D772" i="51"/>
  <c r="C772" i="51"/>
  <c r="C769" i="51"/>
  <c r="C771" i="51"/>
  <c r="C768" i="51"/>
  <c r="C770" i="51"/>
  <c r="C766" i="51"/>
  <c r="D767" i="51"/>
  <c r="C765" i="51"/>
  <c r="C764" i="51"/>
  <c r="D765" i="51"/>
  <c r="D764" i="51"/>
  <c r="C763" i="51"/>
  <c r="C761" i="51"/>
  <c r="C758" i="51"/>
  <c r="C753" i="51"/>
  <c r="D763" i="51"/>
  <c r="C762" i="51"/>
  <c r="C755" i="51"/>
  <c r="C760" i="51"/>
  <c r="C759" i="51"/>
  <c r="D761" i="51"/>
  <c r="D759" i="51"/>
  <c r="C757" i="51"/>
  <c r="C756" i="51"/>
  <c r="C750" i="51"/>
  <c r="D754" i="51"/>
  <c r="C754" i="51"/>
  <c r="C752" i="51"/>
  <c r="AQ111" i="4" s="1"/>
  <c r="C751" i="51"/>
  <c r="C746" i="51"/>
  <c r="C772" i="50"/>
  <c r="C765" i="50"/>
  <c r="C774" i="50"/>
  <c r="C773" i="50"/>
  <c r="C762" i="50"/>
  <c r="C769" i="50"/>
  <c r="AP113" i="4" s="1"/>
  <c r="C771" i="50"/>
  <c r="C768" i="50"/>
  <c r="C767" i="50"/>
  <c r="C766" i="50"/>
  <c r="C761" i="50"/>
  <c r="C749" i="50"/>
  <c r="C760" i="50"/>
  <c r="C759" i="50"/>
  <c r="C758" i="50"/>
  <c r="C747" i="50"/>
  <c r="C754" i="50"/>
  <c r="C757" i="50"/>
  <c r="C756" i="50"/>
  <c r="C755" i="50"/>
  <c r="C744" i="50"/>
  <c r="C746" i="50"/>
  <c r="AP110" i="4" s="1"/>
  <c r="C743" i="50"/>
  <c r="C753" i="50"/>
  <c r="C752" i="50"/>
  <c r="C748" i="50"/>
  <c r="C750" i="50"/>
  <c r="C751" i="50"/>
  <c r="C745" i="50"/>
  <c r="C742" i="50"/>
  <c r="C740" i="50"/>
  <c r="C741" i="50"/>
  <c r="C739" i="50"/>
  <c r="C738" i="50"/>
  <c r="C732" i="50"/>
  <c r="C745" i="49"/>
  <c r="C744" i="49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58" i="47"/>
  <c r="AN112" i="4" s="1"/>
  <c r="D769" i="45"/>
  <c r="D770" i="45"/>
  <c r="D771" i="45"/>
  <c r="D772" i="45"/>
  <c r="D773" i="45"/>
  <c r="D774" i="45"/>
  <c r="D775" i="45"/>
  <c r="D768" i="45"/>
  <c r="C771" i="45"/>
  <c r="C775" i="45"/>
  <c r="C774" i="45"/>
  <c r="C773" i="45"/>
  <c r="C772" i="45"/>
  <c r="C770" i="45"/>
  <c r="C769" i="45"/>
  <c r="C768" i="45"/>
  <c r="C763" i="45"/>
  <c r="D763" i="45"/>
  <c r="C764" i="45"/>
  <c r="D764" i="45"/>
  <c r="C765" i="45"/>
  <c r="D765" i="45"/>
  <c r="C766" i="45"/>
  <c r="D766" i="45"/>
  <c r="C767" i="45"/>
  <c r="D767" i="45"/>
  <c r="D762" i="45"/>
  <c r="C762" i="45"/>
  <c r="C756" i="45"/>
  <c r="D756" i="45"/>
  <c r="C757" i="45"/>
  <c r="D757" i="45"/>
  <c r="C758" i="45"/>
  <c r="D758" i="45"/>
  <c r="C759" i="45"/>
  <c r="D759" i="45"/>
  <c r="C760" i="45"/>
  <c r="D760" i="45"/>
  <c r="C761" i="45"/>
  <c r="D761" i="45"/>
  <c r="D755" i="45"/>
  <c r="C755" i="45"/>
  <c r="C749" i="45"/>
  <c r="D749" i="45"/>
  <c r="C750" i="45"/>
  <c r="D750" i="45"/>
  <c r="C751" i="45"/>
  <c r="D751" i="45"/>
  <c r="C752" i="45"/>
  <c r="D752" i="45"/>
  <c r="C753" i="45"/>
  <c r="D753" i="45"/>
  <c r="C754" i="45"/>
  <c r="D754" i="45"/>
  <c r="D748" i="45"/>
  <c r="C748" i="45"/>
  <c r="C757" i="43"/>
  <c r="C756" i="43"/>
  <c r="C755" i="43"/>
  <c r="C754" i="43"/>
  <c r="C753" i="43"/>
  <c r="C752" i="43"/>
  <c r="C751" i="43"/>
  <c r="C750" i="43"/>
  <c r="C749" i="43"/>
  <c r="C748" i="43"/>
  <c r="C747" i="43"/>
  <c r="C746" i="43"/>
  <c r="C745" i="43"/>
  <c r="C744" i="43"/>
  <c r="C743" i="43"/>
  <c r="C742" i="43"/>
  <c r="C741" i="43"/>
  <c r="C773" i="43"/>
  <c r="D773" i="43"/>
  <c r="C774" i="43"/>
  <c r="D774" i="43"/>
  <c r="C775" i="43"/>
  <c r="D775" i="43"/>
  <c r="C776" i="43"/>
  <c r="D776" i="43"/>
  <c r="C777" i="43"/>
  <c r="D777" i="43"/>
  <c r="C778" i="43"/>
  <c r="D778" i="43"/>
  <c r="C779" i="43"/>
  <c r="D779" i="43"/>
  <c r="D772" i="43"/>
  <c r="C772" i="43"/>
  <c r="C766" i="43"/>
  <c r="D766" i="43"/>
  <c r="C767" i="43"/>
  <c r="D767" i="43"/>
  <c r="C768" i="43"/>
  <c r="D768" i="43"/>
  <c r="C769" i="43"/>
  <c r="D769" i="43"/>
  <c r="C770" i="43"/>
  <c r="D770" i="43"/>
  <c r="C771" i="43"/>
  <c r="D771" i="43"/>
  <c r="D765" i="43"/>
  <c r="C765" i="43"/>
  <c r="C758" i="43"/>
  <c r="D758" i="43"/>
  <c r="C759" i="43"/>
  <c r="D759" i="43"/>
  <c r="C760" i="43"/>
  <c r="D760" i="43"/>
  <c r="C761" i="43"/>
  <c r="D761" i="43"/>
  <c r="C762" i="43"/>
  <c r="D762" i="43"/>
  <c r="C763" i="43"/>
  <c r="D763" i="43"/>
  <c r="C764" i="43"/>
  <c r="D764" i="43"/>
  <c r="D757" i="43"/>
  <c r="D754" i="43"/>
  <c r="D755" i="43"/>
  <c r="D756" i="43"/>
  <c r="D753" i="43"/>
  <c r="D778" i="41"/>
  <c r="C778" i="41"/>
  <c r="D777" i="41"/>
  <c r="C777" i="41"/>
  <c r="D776" i="41"/>
  <c r="C776" i="41"/>
  <c r="D775" i="41"/>
  <c r="C775" i="41"/>
  <c r="D774" i="41"/>
  <c r="C774" i="41"/>
  <c r="D773" i="41"/>
  <c r="C773" i="41"/>
  <c r="D772" i="41"/>
  <c r="C772" i="41"/>
  <c r="D771" i="41"/>
  <c r="C771" i="41"/>
  <c r="C770" i="41"/>
  <c r="C769" i="41"/>
  <c r="C768" i="41"/>
  <c r="C767" i="41"/>
  <c r="C766" i="41"/>
  <c r="C765" i="41"/>
  <c r="C761" i="41"/>
  <c r="D761" i="41"/>
  <c r="C762" i="41"/>
  <c r="D762" i="41"/>
  <c r="C763" i="41"/>
  <c r="D763" i="41"/>
  <c r="C764" i="41"/>
  <c r="D764" i="41"/>
  <c r="D760" i="41"/>
  <c r="C760" i="41"/>
  <c r="C758" i="41"/>
  <c r="C759" i="41"/>
  <c r="C757" i="41"/>
  <c r="C756" i="41"/>
  <c r="C755" i="41"/>
  <c r="C754" i="41"/>
  <c r="C753" i="41"/>
  <c r="D752" i="41"/>
  <c r="D751" i="41"/>
  <c r="AK111" i="4" s="1"/>
  <c r="D750" i="41"/>
  <c r="C752" i="41"/>
  <c r="C751" i="41"/>
  <c r="C750" i="41"/>
  <c r="C747" i="41"/>
  <c r="C748" i="41"/>
  <c r="C749" i="41"/>
  <c r="C746" i="41"/>
  <c r="D774" i="56"/>
  <c r="D775" i="56"/>
  <c r="D776" i="56"/>
  <c r="D777" i="56"/>
  <c r="D778" i="56"/>
  <c r="D779" i="56"/>
  <c r="D780" i="56"/>
  <c r="D773" i="56"/>
  <c r="C772" i="56"/>
  <c r="C773" i="56"/>
  <c r="C774" i="56"/>
  <c r="C775" i="56"/>
  <c r="C776" i="56"/>
  <c r="C777" i="56"/>
  <c r="C771" i="56"/>
  <c r="D763" i="56"/>
  <c r="D764" i="56"/>
  <c r="D765" i="56"/>
  <c r="D766" i="56"/>
  <c r="D767" i="56"/>
  <c r="D768" i="56"/>
  <c r="D769" i="56"/>
  <c r="D770" i="56"/>
  <c r="D771" i="56"/>
  <c r="D772" i="56"/>
  <c r="D762" i="56"/>
  <c r="C765" i="56"/>
  <c r="C766" i="56"/>
  <c r="C767" i="56"/>
  <c r="C768" i="56"/>
  <c r="C769" i="56"/>
  <c r="C770" i="56"/>
  <c r="C764" i="56"/>
  <c r="D752" i="56"/>
  <c r="D753" i="56"/>
  <c r="D754" i="56"/>
  <c r="D755" i="56"/>
  <c r="D756" i="56"/>
  <c r="D757" i="56"/>
  <c r="D758" i="56"/>
  <c r="D759" i="56"/>
  <c r="D760" i="56"/>
  <c r="D751" i="56"/>
  <c r="C758" i="56"/>
  <c r="C759" i="56"/>
  <c r="C760" i="56"/>
  <c r="C761" i="56"/>
  <c r="C762" i="56"/>
  <c r="C763" i="56"/>
  <c r="C757" i="56"/>
  <c r="AJ112" i="4" s="1"/>
  <c r="C781" i="39"/>
  <c r="C780" i="39"/>
  <c r="C779" i="39"/>
  <c r="C778" i="39"/>
  <c r="C757" i="39"/>
  <c r="AI112" i="4" s="1"/>
  <c r="C756" i="39"/>
  <c r="C755" i="39"/>
  <c r="C753" i="39"/>
  <c r="C752" i="39"/>
  <c r="C751" i="39"/>
  <c r="C774" i="38"/>
  <c r="C771" i="38"/>
  <c r="C773" i="38"/>
  <c r="C769" i="38"/>
  <c r="C765" i="38"/>
  <c r="C762" i="38"/>
  <c r="C766" i="38"/>
  <c r="C764" i="38"/>
  <c r="C760" i="38"/>
  <c r="C761" i="38"/>
  <c r="C759" i="38"/>
  <c r="C757" i="38"/>
  <c r="AH112" i="4" s="1"/>
  <c r="C753" i="38"/>
  <c r="C749" i="38"/>
  <c r="C754" i="38"/>
  <c r="C755" i="38"/>
  <c r="C744" i="38"/>
  <c r="C752" i="38"/>
  <c r="C750" i="38"/>
  <c r="C742" i="38"/>
  <c r="C745" i="38"/>
  <c r="C748" i="38"/>
  <c r="C751" i="38"/>
  <c r="C747" i="38"/>
  <c r="D745" i="38"/>
  <c r="C737" i="38"/>
  <c r="C746" i="38"/>
  <c r="C743" i="38"/>
  <c r="D744" i="38"/>
  <c r="C761" i="37"/>
  <c r="C760" i="37"/>
  <c r="C757" i="37"/>
  <c r="C758" i="37"/>
  <c r="D759" i="37"/>
  <c r="D758" i="37"/>
  <c r="D755" i="37"/>
  <c r="C759" i="37"/>
  <c r="C747" i="37"/>
  <c r="C741" i="37"/>
  <c r="C752" i="37"/>
  <c r="C756" i="37"/>
  <c r="D756" i="37"/>
  <c r="C751" i="37"/>
  <c r="C755" i="37"/>
  <c r="C754" i="37"/>
  <c r="C753" i="37"/>
  <c r="C748" i="37"/>
  <c r="C749" i="37"/>
  <c r="C750" i="37"/>
  <c r="C740" i="37"/>
  <c r="D751" i="37"/>
  <c r="C746" i="37"/>
  <c r="C756" i="34"/>
  <c r="C757" i="34"/>
  <c r="C758" i="34"/>
  <c r="C759" i="34"/>
  <c r="C760" i="34"/>
  <c r="C761" i="34"/>
  <c r="C755" i="34"/>
  <c r="C749" i="34"/>
  <c r="C750" i="34"/>
  <c r="AE111" i="4" s="1"/>
  <c r="C751" i="34"/>
  <c r="C752" i="34"/>
  <c r="C753" i="34"/>
  <c r="C754" i="34"/>
  <c r="C748" i="34"/>
  <c r="C774" i="32"/>
  <c r="C773" i="32"/>
  <c r="C772" i="32"/>
  <c r="C771" i="32"/>
  <c r="C769" i="32"/>
  <c r="D767" i="32"/>
  <c r="C767" i="32"/>
  <c r="D766" i="32"/>
  <c r="D764" i="32"/>
  <c r="C766" i="32"/>
  <c r="C765" i="32"/>
  <c r="C764" i="32"/>
  <c r="C763" i="32"/>
  <c r="D762" i="32"/>
  <c r="C761" i="32"/>
  <c r="C755" i="32"/>
  <c r="C759" i="32"/>
  <c r="C758" i="32"/>
  <c r="C757" i="32"/>
  <c r="C756" i="32"/>
  <c r="C754" i="32"/>
  <c r="C740" i="32"/>
  <c r="C753" i="32"/>
  <c r="D752" i="32"/>
  <c r="C752" i="32"/>
  <c r="C751" i="32"/>
  <c r="D750" i="32"/>
  <c r="AD111" i="4" s="1"/>
  <c r="C750" i="32"/>
  <c r="C749" i="32"/>
  <c r="C748" i="32"/>
  <c r="C747" i="32"/>
  <c r="C746" i="32"/>
  <c r="C745" i="32"/>
  <c r="C744" i="32"/>
  <c r="C741" i="32"/>
  <c r="C781" i="31"/>
  <c r="C780" i="31"/>
  <c r="C778" i="31"/>
  <c r="C777" i="31"/>
  <c r="C776" i="31"/>
  <c r="C771" i="31"/>
  <c r="C770" i="31"/>
  <c r="C769" i="31"/>
  <c r="C768" i="31"/>
  <c r="C766" i="31"/>
  <c r="C763" i="31"/>
  <c r="C764" i="31"/>
  <c r="C762" i="31"/>
  <c r="C756" i="31"/>
  <c r="C757" i="31"/>
  <c r="C755" i="31"/>
  <c r="C774" i="30"/>
  <c r="C775" i="30"/>
  <c r="C776" i="30"/>
  <c r="C777" i="30"/>
  <c r="C778" i="30"/>
  <c r="AB115" i="4" s="1"/>
  <c r="C779" i="30"/>
  <c r="C773" i="30"/>
  <c r="C767" i="30"/>
  <c r="C768" i="30"/>
  <c r="C769" i="30"/>
  <c r="C770" i="30"/>
  <c r="C771" i="30"/>
  <c r="C772" i="30"/>
  <c r="C766" i="30"/>
  <c r="C760" i="30"/>
  <c r="C761" i="30"/>
  <c r="C762" i="30"/>
  <c r="C763" i="30"/>
  <c r="C764" i="30"/>
  <c r="C765" i="30"/>
  <c r="C759" i="30"/>
  <c r="C753" i="30"/>
  <c r="C754" i="30"/>
  <c r="C755" i="30"/>
  <c r="AB111" i="4" s="1"/>
  <c r="C756" i="30"/>
  <c r="C757" i="30"/>
  <c r="C758" i="30"/>
  <c r="C752" i="30"/>
  <c r="C746" i="30"/>
  <c r="C747" i="30"/>
  <c r="C748" i="30"/>
  <c r="C749" i="30"/>
  <c r="C750" i="30"/>
  <c r="C751" i="30"/>
  <c r="C745" i="30"/>
  <c r="C772" i="29"/>
  <c r="D772" i="29"/>
  <c r="C773" i="29"/>
  <c r="D773" i="29"/>
  <c r="C774" i="29"/>
  <c r="D774" i="29"/>
  <c r="C775" i="29"/>
  <c r="D775" i="29"/>
  <c r="C776" i="29"/>
  <c r="D776" i="29"/>
  <c r="C777" i="29"/>
  <c r="D777" i="29"/>
  <c r="C778" i="29"/>
  <c r="D778" i="29"/>
  <c r="C779" i="29"/>
  <c r="D779" i="29"/>
  <c r="D771" i="29"/>
  <c r="C771" i="29"/>
  <c r="D765" i="29"/>
  <c r="D766" i="29"/>
  <c r="D767" i="29"/>
  <c r="D768" i="29"/>
  <c r="D769" i="29"/>
  <c r="D770" i="29"/>
  <c r="D764" i="29"/>
  <c r="C765" i="29"/>
  <c r="AA113" i="4" s="1"/>
  <c r="C766" i="29"/>
  <c r="C767" i="29"/>
  <c r="C768" i="29"/>
  <c r="C769" i="29"/>
  <c r="C770" i="29"/>
  <c r="C764" i="29"/>
  <c r="D759" i="29"/>
  <c r="D760" i="29"/>
  <c r="D761" i="29"/>
  <c r="D762" i="29"/>
  <c r="D763" i="29"/>
  <c r="AA112" i="4" s="1"/>
  <c r="C759" i="29"/>
  <c r="C760" i="29"/>
  <c r="C761" i="29"/>
  <c r="C762" i="29"/>
  <c r="C763" i="29"/>
  <c r="D758" i="29"/>
  <c r="C758" i="29"/>
  <c r="C752" i="29"/>
  <c r="C747" i="29"/>
  <c r="C754" i="29"/>
  <c r="C751" i="29"/>
  <c r="D749" i="29"/>
  <c r="C748" i="29"/>
  <c r="C744" i="29"/>
  <c r="C749" i="29"/>
  <c r="C750" i="29"/>
  <c r="AA111" i="4" s="1"/>
  <c r="C745" i="29"/>
  <c r="C740" i="29"/>
  <c r="C743" i="29"/>
  <c r="D747" i="29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32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D777" i="26"/>
  <c r="D776" i="26"/>
  <c r="D775" i="26"/>
  <c r="D774" i="26"/>
  <c r="D773" i="26"/>
  <c r="D772" i="26"/>
  <c r="D771" i="26"/>
  <c r="D770" i="26"/>
  <c r="D769" i="26"/>
  <c r="D768" i="26"/>
  <c r="D767" i="26"/>
  <c r="C777" i="26"/>
  <c r="C776" i="26"/>
  <c r="C775" i="26"/>
  <c r="C774" i="26"/>
  <c r="C773" i="26"/>
  <c r="C772" i="26"/>
  <c r="C771" i="26"/>
  <c r="C770" i="26"/>
  <c r="C769" i="26"/>
  <c r="C768" i="26"/>
  <c r="C767" i="26"/>
  <c r="D766" i="26"/>
  <c r="D765" i="26"/>
  <c r="D764" i="26"/>
  <c r="D763" i="26"/>
  <c r="D762" i="26"/>
  <c r="D761" i="26"/>
  <c r="D760" i="26"/>
  <c r="D759" i="26"/>
  <c r="D758" i="26"/>
  <c r="C766" i="26"/>
  <c r="C765" i="26"/>
  <c r="C764" i="26"/>
  <c r="C763" i="26"/>
  <c r="C762" i="26"/>
  <c r="C761" i="26"/>
  <c r="C760" i="26"/>
  <c r="C759" i="26"/>
  <c r="C758" i="26"/>
  <c r="D748" i="26"/>
  <c r="D749" i="26"/>
  <c r="D750" i="26"/>
  <c r="D751" i="26"/>
  <c r="D752" i="26"/>
  <c r="D753" i="26"/>
  <c r="D754" i="26"/>
  <c r="D755" i="26"/>
  <c r="D756" i="26"/>
  <c r="D757" i="26"/>
  <c r="D747" i="26"/>
  <c r="C757" i="26"/>
  <c r="C756" i="26"/>
  <c r="C755" i="26"/>
  <c r="C754" i="26"/>
  <c r="C753" i="26"/>
  <c r="C752" i="26"/>
  <c r="C751" i="26"/>
  <c r="C750" i="26"/>
  <c r="C749" i="26"/>
  <c r="C748" i="26"/>
  <c r="C747" i="26"/>
  <c r="C769" i="19"/>
  <c r="D774" i="19"/>
  <c r="C774" i="19"/>
  <c r="D773" i="19"/>
  <c r="C773" i="19"/>
  <c r="D772" i="19"/>
  <c r="C772" i="19"/>
  <c r="D771" i="19"/>
  <c r="C771" i="19"/>
  <c r="D770" i="19"/>
  <c r="C770" i="19"/>
  <c r="D769" i="19"/>
  <c r="D768" i="19"/>
  <c r="C768" i="19"/>
  <c r="D767" i="19"/>
  <c r="C767" i="19"/>
  <c r="D766" i="19"/>
  <c r="D765" i="19"/>
  <c r="D764" i="19"/>
  <c r="D763" i="19"/>
  <c r="D762" i="19"/>
  <c r="D761" i="19"/>
  <c r="D760" i="19"/>
  <c r="D759" i="19"/>
  <c r="C766" i="19"/>
  <c r="C765" i="19"/>
  <c r="C764" i="19"/>
  <c r="C763" i="19"/>
  <c r="C762" i="19"/>
  <c r="C761" i="19"/>
  <c r="C760" i="19"/>
  <c r="C759" i="19"/>
  <c r="D758" i="19"/>
  <c r="D757" i="19"/>
  <c r="D756" i="19"/>
  <c r="D755" i="19"/>
  <c r="D754" i="19"/>
  <c r="D753" i="19"/>
  <c r="D752" i="19"/>
  <c r="D751" i="19"/>
  <c r="C758" i="19"/>
  <c r="C757" i="19"/>
  <c r="C756" i="19"/>
  <c r="C755" i="19"/>
  <c r="C754" i="19"/>
  <c r="C753" i="19"/>
  <c r="C752" i="19"/>
  <c r="C751" i="19"/>
  <c r="D771" i="18"/>
  <c r="D770" i="18"/>
  <c r="C770" i="18"/>
  <c r="C769" i="18"/>
  <c r="D767" i="18"/>
  <c r="D766" i="18"/>
  <c r="D765" i="18"/>
  <c r="D762" i="18"/>
  <c r="C762" i="18"/>
  <c r="C760" i="18"/>
  <c r="C758" i="18"/>
  <c r="C757" i="18"/>
  <c r="C755" i="18"/>
  <c r="D753" i="18"/>
  <c r="C748" i="18"/>
  <c r="C746" i="18"/>
  <c r="C765" i="18"/>
  <c r="D764" i="18"/>
  <c r="D761" i="18"/>
  <c r="D760" i="18"/>
  <c r="D759" i="18"/>
  <c r="C754" i="18"/>
  <c r="C751" i="18"/>
  <c r="D755" i="18"/>
  <c r="D754" i="18"/>
  <c r="C752" i="18"/>
  <c r="C745" i="18"/>
  <c r="C744" i="18"/>
  <c r="D752" i="18"/>
  <c r="C749" i="18"/>
  <c r="D764" i="16"/>
  <c r="D763" i="16"/>
  <c r="D762" i="16"/>
  <c r="D761" i="16"/>
  <c r="D760" i="16"/>
  <c r="D759" i="16"/>
  <c r="D758" i="16"/>
  <c r="C764" i="16"/>
  <c r="C763" i="16"/>
  <c r="C762" i="16"/>
  <c r="C761" i="16"/>
  <c r="C760" i="16"/>
  <c r="C759" i="16"/>
  <c r="C758" i="16"/>
  <c r="D757" i="16"/>
  <c r="D756" i="16"/>
  <c r="D755" i="16"/>
  <c r="D754" i="16"/>
  <c r="D753" i="16"/>
  <c r="D752" i="16"/>
  <c r="C757" i="16"/>
  <c r="C756" i="16"/>
  <c r="C755" i="16"/>
  <c r="C754" i="16"/>
  <c r="C753" i="16"/>
  <c r="C752" i="16"/>
  <c r="D751" i="16"/>
  <c r="C751" i="16"/>
  <c r="D750" i="16"/>
  <c r="D749" i="16"/>
  <c r="D748" i="16"/>
  <c r="D747" i="16"/>
  <c r="D746" i="16"/>
  <c r="D745" i="16"/>
  <c r="C750" i="16"/>
  <c r="C749" i="16"/>
  <c r="C748" i="16"/>
  <c r="C747" i="16"/>
  <c r="C746" i="16"/>
  <c r="C745" i="16"/>
  <c r="D744" i="16"/>
  <c r="D743" i="16"/>
  <c r="D742" i="16"/>
  <c r="D741" i="16"/>
  <c r="D740" i="16"/>
  <c r="D739" i="16"/>
  <c r="C744" i="16"/>
  <c r="C743" i="16"/>
  <c r="C742" i="16"/>
  <c r="C741" i="16"/>
  <c r="C740" i="16"/>
  <c r="C739" i="16"/>
  <c r="C782" i="14"/>
  <c r="D781" i="14"/>
  <c r="D780" i="14"/>
  <c r="C781" i="14"/>
  <c r="C780" i="14"/>
  <c r="C778" i="14"/>
  <c r="M115" i="4" s="1"/>
  <c r="C777" i="14"/>
  <c r="C776" i="14"/>
  <c r="D775" i="14"/>
  <c r="C775" i="14"/>
  <c r="D774" i="14"/>
  <c r="C774" i="14"/>
  <c r="C772" i="14"/>
  <c r="D771" i="14"/>
  <c r="D770" i="14"/>
  <c r="D769" i="14"/>
  <c r="D768" i="14"/>
  <c r="C771" i="14"/>
  <c r="C770" i="14"/>
  <c r="C769" i="14"/>
  <c r="C768" i="14"/>
  <c r="C767" i="14"/>
  <c r="D766" i="14"/>
  <c r="C766" i="14"/>
  <c r="D765" i="14"/>
  <c r="C765" i="14"/>
  <c r="D764" i="14"/>
  <c r="C764" i="14"/>
  <c r="D763" i="14"/>
  <c r="C763" i="14"/>
  <c r="D762" i="14"/>
  <c r="C762" i="14"/>
  <c r="D761" i="14"/>
  <c r="C761" i="14"/>
  <c r="D760" i="14"/>
  <c r="C760" i="14"/>
  <c r="D758" i="14"/>
  <c r="C758" i="14"/>
  <c r="D757" i="14"/>
  <c r="D756" i="14"/>
  <c r="D755" i="14"/>
  <c r="C757" i="14"/>
  <c r="C756" i="14"/>
  <c r="C755" i="14"/>
  <c r="D754" i="14"/>
  <c r="C754" i="14"/>
  <c r="D753" i="14"/>
  <c r="C753" i="14"/>
  <c r="C776" i="13"/>
  <c r="C775" i="13"/>
  <c r="C773" i="13"/>
  <c r="C767" i="13"/>
  <c r="C765" i="13"/>
  <c r="D762" i="13"/>
  <c r="C762" i="13"/>
  <c r="C759" i="13"/>
  <c r="C758" i="13"/>
  <c r="D755" i="13"/>
  <c r="C755" i="13"/>
  <c r="C754" i="13"/>
  <c r="AT115" i="4"/>
  <c r="AS115" i="4"/>
  <c r="AS114" i="4"/>
  <c r="AS113" i="4"/>
  <c r="AS112" i="4"/>
  <c r="AR115" i="4"/>
  <c r="AR114" i="4"/>
  <c r="AR113" i="4"/>
  <c r="AR112" i="4"/>
  <c r="AP115" i="4"/>
  <c r="AP114" i="4"/>
  <c r="AO112" i="4"/>
  <c r="T115" i="4"/>
  <c r="T114" i="4"/>
  <c r="T113" i="4"/>
  <c r="T112" i="4"/>
  <c r="AI114" i="4"/>
  <c r="AI113" i="4"/>
  <c r="AG115" i="4"/>
  <c r="AG114" i="4"/>
  <c r="AG113" i="4"/>
  <c r="AF115" i="4"/>
  <c r="AF114" i="4"/>
  <c r="AF113" i="4"/>
  <c r="AF112" i="4"/>
  <c r="AE115" i="4"/>
  <c r="AE113" i="4"/>
  <c r="AD115" i="4"/>
  <c r="AC115" i="4"/>
  <c r="Z115" i="4"/>
  <c r="Z114" i="4"/>
  <c r="Z113" i="4"/>
  <c r="Z112" i="4"/>
  <c r="W115" i="4"/>
  <c r="W114" i="4"/>
  <c r="W113" i="4"/>
  <c r="W112" i="4"/>
  <c r="R115" i="4"/>
  <c r="R114" i="4"/>
  <c r="Q115" i="4"/>
  <c r="Q114" i="4"/>
  <c r="Q113" i="4"/>
  <c r="Q112" i="4"/>
  <c r="S115" i="4"/>
  <c r="N115" i="4"/>
  <c r="N114" i="4"/>
  <c r="N113" i="4"/>
  <c r="N112" i="4"/>
  <c r="V115" i="4"/>
  <c r="V114" i="4"/>
  <c r="V113" i="4"/>
  <c r="V112" i="4"/>
  <c r="O115" i="4"/>
  <c r="O114" i="4"/>
  <c r="O113" i="4"/>
  <c r="O112" i="4"/>
  <c r="J115" i="4"/>
  <c r="K115" i="4"/>
  <c r="L115" i="4"/>
  <c r="L114" i="4"/>
  <c r="C764" i="11"/>
  <c r="P113" i="4" s="1"/>
  <c r="C773" i="11"/>
  <c r="C772" i="11"/>
  <c r="C771" i="11"/>
  <c r="D772" i="11"/>
  <c r="D771" i="11"/>
  <c r="D770" i="11"/>
  <c r="D769" i="11"/>
  <c r="D768" i="11"/>
  <c r="D767" i="11"/>
  <c r="D766" i="11"/>
  <c r="D765" i="11"/>
  <c r="C770" i="11"/>
  <c r="C769" i="11"/>
  <c r="C768" i="11"/>
  <c r="C767" i="11"/>
  <c r="C766" i="11"/>
  <c r="C765" i="11"/>
  <c r="C763" i="11"/>
  <c r="C762" i="11"/>
  <c r="C761" i="11"/>
  <c r="D764" i="11"/>
  <c r="D763" i="11"/>
  <c r="D762" i="11"/>
  <c r="D761" i="11"/>
  <c r="D760" i="11"/>
  <c r="D759" i="11"/>
  <c r="D758" i="11"/>
  <c r="D757" i="11"/>
  <c r="C760" i="11"/>
  <c r="C759" i="11"/>
  <c r="C758" i="11"/>
  <c r="C757" i="11"/>
  <c r="P112" i="4" s="1"/>
  <c r="C756" i="11"/>
  <c r="C755" i="11"/>
  <c r="C754" i="11"/>
  <c r="C753" i="11"/>
  <c r="C752" i="11"/>
  <c r="D754" i="11"/>
  <c r="D753" i="11"/>
  <c r="D752" i="11"/>
  <c r="D751" i="11"/>
  <c r="D750" i="11"/>
  <c r="D749" i="11"/>
  <c r="D748" i="11"/>
  <c r="D747" i="11"/>
  <c r="C751" i="11"/>
  <c r="P111" i="4" s="1"/>
  <c r="C750" i="11"/>
  <c r="C749" i="11"/>
  <c r="C748" i="11"/>
  <c r="C747" i="11"/>
  <c r="D776" i="9"/>
  <c r="D775" i="9"/>
  <c r="C771" i="9"/>
  <c r="C774" i="9"/>
  <c r="D773" i="9"/>
  <c r="D774" i="9"/>
  <c r="D772" i="9"/>
  <c r="D771" i="9"/>
  <c r="C773" i="9"/>
  <c r="C772" i="9"/>
  <c r="C748" i="9"/>
  <c r="C766" i="9"/>
  <c r="C769" i="9"/>
  <c r="C767" i="9"/>
  <c r="D766" i="9"/>
  <c r="D762" i="9"/>
  <c r="D755" i="9"/>
  <c r="D761" i="9"/>
  <c r="D764" i="9"/>
  <c r="D757" i="9"/>
  <c r="U112" i="4" s="1"/>
  <c r="D758" i="9"/>
  <c r="D763" i="9"/>
  <c r="D760" i="9"/>
  <c r="C759" i="9"/>
  <c r="C765" i="9"/>
  <c r="C760" i="9"/>
  <c r="C762" i="9"/>
  <c r="C764" i="9"/>
  <c r="U113" i="4" s="1"/>
  <c r="C763" i="9"/>
  <c r="C761" i="9"/>
  <c r="C758" i="9"/>
  <c r="C751" i="9"/>
  <c r="C754" i="9"/>
  <c r="C752" i="9"/>
  <c r="C757" i="9"/>
  <c r="D756" i="9"/>
  <c r="D753" i="9"/>
  <c r="D754" i="9"/>
  <c r="D752" i="9"/>
  <c r="C755" i="9"/>
  <c r="C756" i="9"/>
  <c r="D747" i="9"/>
  <c r="C747" i="9"/>
  <c r="D750" i="9"/>
  <c r="C750" i="9"/>
  <c r="D748" i="9"/>
  <c r="D751" i="9"/>
  <c r="C753" i="9"/>
  <c r="C745" i="9"/>
  <c r="D771" i="7"/>
  <c r="K114" i="4" s="1"/>
  <c r="D767" i="7"/>
  <c r="C767" i="7"/>
  <c r="C766" i="7"/>
  <c r="C765" i="7"/>
  <c r="C764" i="7"/>
  <c r="D761" i="7"/>
  <c r="D758" i="7"/>
  <c r="D756" i="7"/>
  <c r="D765" i="7"/>
  <c r="D764" i="7"/>
  <c r="K113" i="4" s="1"/>
  <c r="D763" i="7"/>
  <c r="C763" i="7"/>
  <c r="D762" i="7"/>
  <c r="C762" i="7"/>
  <c r="C761" i="7"/>
  <c r="D760" i="7"/>
  <c r="C760" i="7"/>
  <c r="D759" i="7"/>
  <c r="C759" i="7"/>
  <c r="C758" i="7"/>
  <c r="K112" i="4" s="1"/>
  <c r="C757" i="7"/>
  <c r="C756" i="7"/>
  <c r="C754" i="7"/>
  <c r="C753" i="7"/>
  <c r="C755" i="7"/>
  <c r="D754" i="7"/>
  <c r="K111" i="4" s="1"/>
  <c r="D753" i="7"/>
  <c r="C752" i="7"/>
  <c r="C751" i="7"/>
  <c r="C752" i="6"/>
  <c r="C753" i="6"/>
  <c r="C754" i="6"/>
  <c r="C758" i="6"/>
  <c r="C757" i="6"/>
  <c r="L112" i="4" s="1"/>
  <c r="C756" i="6"/>
  <c r="C755" i="6"/>
  <c r="D754" i="6"/>
  <c r="D753" i="6"/>
  <c r="D752" i="6"/>
  <c r="D751" i="6"/>
  <c r="D750" i="6"/>
  <c r="D749" i="6"/>
  <c r="C751" i="6"/>
  <c r="C750" i="6"/>
  <c r="C749" i="6"/>
  <c r="D748" i="6"/>
  <c r="C748" i="6"/>
  <c r="D746" i="6"/>
  <c r="D745" i="6"/>
  <c r="D744" i="6"/>
  <c r="D743" i="6"/>
  <c r="D742" i="6"/>
  <c r="D741" i="6"/>
  <c r="D740" i="6"/>
  <c r="D739" i="6"/>
  <c r="D738" i="6"/>
  <c r="C738" i="6"/>
  <c r="C739" i="6"/>
  <c r="C740" i="6"/>
  <c r="C741" i="6"/>
  <c r="C742" i="6"/>
  <c r="C743" i="6"/>
  <c r="C744" i="6"/>
  <c r="C745" i="6"/>
  <c r="C746" i="6"/>
  <c r="AT107" i="4"/>
  <c r="AT106" i="4"/>
  <c r="AT105" i="4"/>
  <c r="AT104" i="4"/>
  <c r="AT103" i="4"/>
  <c r="AT102" i="4"/>
  <c r="AT101" i="4"/>
  <c r="AT100" i="4"/>
  <c r="AT99" i="4"/>
  <c r="AT98" i="4"/>
  <c r="AT97" i="4"/>
  <c r="AT96" i="4"/>
  <c r="AT95" i="4"/>
  <c r="AT94" i="4"/>
  <c r="AT93" i="4"/>
  <c r="AT88" i="4"/>
  <c r="AS111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2" i="4"/>
  <c r="AS90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Q110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86" i="4"/>
  <c r="AP111" i="4"/>
  <c r="AP107" i="4"/>
  <c r="AP106" i="4"/>
  <c r="AP104" i="4"/>
  <c r="AP103" i="4"/>
  <c r="AP102" i="4"/>
  <c r="AP101" i="4"/>
  <c r="AP100" i="4"/>
  <c r="AP99" i="4"/>
  <c r="AP98" i="4"/>
  <c r="AP97" i="4"/>
  <c r="AP96" i="4"/>
  <c r="AP94" i="4"/>
  <c r="AP93" i="4"/>
  <c r="AP90" i="4"/>
  <c r="AO111" i="4"/>
  <c r="AO110" i="4"/>
  <c r="AO109" i="4"/>
  <c r="AO108" i="4"/>
  <c r="AO107" i="4"/>
  <c r="AO106" i="4"/>
  <c r="AO105" i="4"/>
  <c r="AO104" i="4"/>
  <c r="AO103" i="4"/>
  <c r="AO102" i="4"/>
  <c r="AO101" i="4"/>
  <c r="AO100" i="4"/>
  <c r="AO99" i="4"/>
  <c r="AO98" i="4"/>
  <c r="AO97" i="4"/>
  <c r="AO96" i="4"/>
  <c r="AO95" i="4"/>
  <c r="AO94" i="4"/>
  <c r="AO89" i="4"/>
  <c r="AO87" i="4"/>
  <c r="AO86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AL107" i="4"/>
  <c r="AL106" i="4"/>
  <c r="AL105" i="4"/>
  <c r="AL104" i="4"/>
  <c r="AL103" i="4"/>
  <c r="AL102" i="4"/>
  <c r="AL101" i="4"/>
  <c r="AL100" i="4"/>
  <c r="AL99" i="4"/>
  <c r="AL98" i="4"/>
  <c r="AL97" i="4"/>
  <c r="AL96" i="4"/>
  <c r="AL95" i="4"/>
  <c r="AL94" i="4"/>
  <c r="AL93" i="4"/>
  <c r="AL92" i="4"/>
  <c r="AL91" i="4"/>
  <c r="AL90" i="4"/>
  <c r="AL89" i="4"/>
  <c r="AL87" i="4"/>
  <c r="AL86" i="4"/>
  <c r="AK106" i="4"/>
  <c r="AK105" i="4"/>
  <c r="AK103" i="4"/>
  <c r="AK102" i="4"/>
  <c r="AK101" i="4"/>
  <c r="AK100" i="4"/>
  <c r="AK99" i="4"/>
  <c r="AK98" i="4"/>
  <c r="AK97" i="4"/>
  <c r="AK95" i="4"/>
  <c r="AK94" i="4"/>
  <c r="AK93" i="4"/>
  <c r="AK89" i="4"/>
  <c r="AK86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H111" i="4"/>
  <c r="AH107" i="4"/>
  <c r="AH106" i="4"/>
  <c r="AH105" i="4"/>
  <c r="AH104" i="4"/>
  <c r="AH103" i="4"/>
  <c r="AH102" i="4"/>
  <c r="AH101" i="4"/>
  <c r="AH100" i="4"/>
  <c r="AH98" i="4"/>
  <c r="AH97" i="4"/>
  <c r="AH96" i="4"/>
  <c r="AH94" i="4"/>
  <c r="AH93" i="4"/>
  <c r="AG107" i="4"/>
  <c r="AG106" i="4"/>
  <c r="AG105" i="4"/>
  <c r="AG104" i="4"/>
  <c r="AG103" i="4"/>
  <c r="AG100" i="4"/>
  <c r="AG99" i="4"/>
  <c r="AG97" i="4"/>
  <c r="AG96" i="4"/>
  <c r="AG95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89" i="4"/>
  <c r="AD107" i="4"/>
  <c r="AD106" i="4"/>
  <c r="AD104" i="4"/>
  <c r="AD103" i="4"/>
  <c r="AD102" i="4"/>
  <c r="AD101" i="4"/>
  <c r="AD100" i="4"/>
  <c r="AD99" i="4"/>
  <c r="AD97" i="4"/>
  <c r="AD96" i="4"/>
  <c r="AD95" i="4"/>
  <c r="AD94" i="4"/>
  <c r="AD93" i="4"/>
  <c r="AD92" i="4"/>
  <c r="AD91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2" i="4"/>
  <c r="AB110" i="4"/>
  <c r="AB107" i="4"/>
  <c r="AB106" i="4"/>
  <c r="AB105" i="4"/>
  <c r="AB104" i="4"/>
  <c r="AB103" i="4"/>
  <c r="AB102" i="4"/>
  <c r="AB101" i="4"/>
  <c r="AB100" i="4"/>
  <c r="AB99" i="4"/>
  <c r="AB98" i="4"/>
  <c r="AB97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Y107" i="4"/>
  <c r="Y106" i="4"/>
  <c r="Y105" i="4"/>
  <c r="Y104" i="4"/>
  <c r="Y103" i="4"/>
  <c r="Y102" i="4"/>
  <c r="Y101" i="4"/>
  <c r="Y100" i="4"/>
  <c r="Y99" i="4"/>
  <c r="Y98" i="4"/>
  <c r="Y96" i="4"/>
  <c r="Y95" i="4"/>
  <c r="Y9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7" i="4"/>
  <c r="W86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87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84" i="4"/>
  <c r="S83" i="4"/>
  <c r="S82" i="4"/>
  <c r="S81" i="4"/>
  <c r="S80" i="4"/>
  <c r="S79" i="4"/>
  <c r="S78" i="4"/>
  <c r="S77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N111" i="4"/>
  <c r="N110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89" i="4"/>
  <c r="N86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89" i="4"/>
  <c r="V88" i="4"/>
  <c r="V87" i="4"/>
  <c r="V86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8" i="4"/>
  <c r="P86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86" i="4"/>
  <c r="J111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7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2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7" i="4"/>
  <c r="M86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L111" i="4"/>
  <c r="L110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C751" i="55"/>
  <c r="AT111" i="4" s="1"/>
  <c r="C749" i="55"/>
  <c r="C748" i="55"/>
  <c r="C747" i="55"/>
  <c r="C745" i="55"/>
  <c r="C746" i="55"/>
  <c r="C744" i="55"/>
  <c r="C743" i="55"/>
  <c r="AT110" i="4" s="1"/>
  <c r="C742" i="55"/>
  <c r="C741" i="55"/>
  <c r="C740" i="55"/>
  <c r="D741" i="55"/>
  <c r="D740" i="55"/>
  <c r="D739" i="55"/>
  <c r="D738" i="55"/>
  <c r="C739" i="55"/>
  <c r="C738" i="55"/>
  <c r="D736" i="55"/>
  <c r="D734" i="55"/>
  <c r="D733" i="55"/>
  <c r="C736" i="55"/>
  <c r="AT109" i="4" s="1"/>
  <c r="C734" i="55"/>
  <c r="C733" i="55"/>
  <c r="C735" i="55"/>
  <c r="C732" i="55"/>
  <c r="AT108" i="4" s="1"/>
  <c r="C621" i="55"/>
  <c r="C618" i="55"/>
  <c r="AT92" i="4" s="1"/>
  <c r="D616" i="55"/>
  <c r="C616" i="55"/>
  <c r="D592" i="55"/>
  <c r="C592" i="55"/>
  <c r="C611" i="55"/>
  <c r="AT91" i="4" s="1"/>
  <c r="C607" i="55"/>
  <c r="C602" i="55"/>
  <c r="C605" i="55"/>
  <c r="C601" i="55"/>
  <c r="C604" i="55"/>
  <c r="AT90" i="4" s="1"/>
  <c r="C600" i="55"/>
  <c r="C599" i="55"/>
  <c r="C598" i="55"/>
  <c r="C596" i="55"/>
  <c r="AT89" i="4" s="1"/>
  <c r="D597" i="55"/>
  <c r="D596" i="55"/>
  <c r="D586" i="55"/>
  <c r="C597" i="55"/>
  <c r="C586" i="55"/>
  <c r="C591" i="55"/>
  <c r="C587" i="55"/>
  <c r="C588" i="55"/>
  <c r="C583" i="55"/>
  <c r="AT87" i="4" s="1"/>
  <c r="D588" i="55"/>
  <c r="D587" i="55"/>
  <c r="D583" i="55"/>
  <c r="C585" i="55"/>
  <c r="D585" i="55"/>
  <c r="C581" i="55"/>
  <c r="C580" i="55"/>
  <c r="C579" i="55"/>
  <c r="C578" i="55"/>
  <c r="C577" i="55"/>
  <c r="AT86" i="4" s="1"/>
  <c r="C572" i="55"/>
  <c r="C573" i="55"/>
  <c r="C565" i="55"/>
  <c r="C745" i="53"/>
  <c r="C746" i="53"/>
  <c r="C744" i="53"/>
  <c r="C743" i="53"/>
  <c r="AS110" i="4" s="1"/>
  <c r="C739" i="53"/>
  <c r="AS109" i="4" s="1"/>
  <c r="C742" i="53"/>
  <c r="C741" i="53"/>
  <c r="C740" i="53"/>
  <c r="C635" i="53"/>
  <c r="AS94" i="4" s="1"/>
  <c r="C630" i="53"/>
  <c r="AS93" i="4" s="1"/>
  <c r="C615" i="53"/>
  <c r="C613" i="53"/>
  <c r="C610" i="53"/>
  <c r="AS91" i="4" s="1"/>
  <c r="C608" i="53"/>
  <c r="C605" i="53"/>
  <c r="C601" i="53"/>
  <c r="C599" i="53"/>
  <c r="C597" i="53"/>
  <c r="C598" i="53"/>
  <c r="C591" i="53"/>
  <c r="AS88" i="4" s="1"/>
  <c r="C594" i="53"/>
  <c r="C596" i="53"/>
  <c r="AS89" i="4" s="1"/>
  <c r="C595" i="53"/>
  <c r="C593" i="53"/>
  <c r="C592" i="53"/>
  <c r="C581" i="53"/>
  <c r="AS86" i="4" s="1"/>
  <c r="C587" i="53"/>
  <c r="C582" i="53"/>
  <c r="AS87" i="4" s="1"/>
  <c r="D734" i="52"/>
  <c r="D735" i="52"/>
  <c r="D736" i="52"/>
  <c r="D737" i="52"/>
  <c r="D738" i="52"/>
  <c r="D739" i="52"/>
  <c r="D740" i="52"/>
  <c r="D741" i="52"/>
  <c r="D742" i="52"/>
  <c r="D743" i="52"/>
  <c r="D744" i="52"/>
  <c r="D745" i="52"/>
  <c r="D746" i="52"/>
  <c r="D747" i="52"/>
  <c r="D748" i="52"/>
  <c r="D749" i="52"/>
  <c r="D750" i="52"/>
  <c r="D751" i="52"/>
  <c r="D752" i="52"/>
  <c r="D733" i="52"/>
  <c r="C752" i="52"/>
  <c r="C734" i="52"/>
  <c r="AR108" i="4" s="1"/>
  <c r="C735" i="52"/>
  <c r="C736" i="52"/>
  <c r="AR109" i="4" s="1"/>
  <c r="C737" i="52"/>
  <c r="C738" i="52"/>
  <c r="C739" i="52"/>
  <c r="C740" i="52"/>
  <c r="C741" i="52"/>
  <c r="C742" i="52"/>
  <c r="C743" i="52"/>
  <c r="AR110" i="4" s="1"/>
  <c r="C744" i="52"/>
  <c r="C745" i="52"/>
  <c r="C746" i="52"/>
  <c r="C747" i="52"/>
  <c r="C748" i="52"/>
  <c r="C749" i="52"/>
  <c r="C750" i="52"/>
  <c r="AR111" i="4" s="1"/>
  <c r="C751" i="52"/>
  <c r="C733" i="52"/>
  <c r="C749" i="51"/>
  <c r="C748" i="51"/>
  <c r="C747" i="51"/>
  <c r="C745" i="51"/>
  <c r="C744" i="51"/>
  <c r="C739" i="51"/>
  <c r="C737" i="51"/>
  <c r="AQ109" i="4" s="1"/>
  <c r="C740" i="51"/>
  <c r="C743" i="51"/>
  <c r="C741" i="51"/>
  <c r="C742" i="51"/>
  <c r="C734" i="51"/>
  <c r="C738" i="51"/>
  <c r="D733" i="51"/>
  <c r="C732" i="51"/>
  <c r="AQ108" i="4" s="1"/>
  <c r="C596" i="51"/>
  <c r="AQ89" i="4" s="1"/>
  <c r="C604" i="51"/>
  <c r="AQ90" i="4" s="1"/>
  <c r="D599" i="51"/>
  <c r="C595" i="51"/>
  <c r="C590" i="51"/>
  <c r="AQ88" i="4" s="1"/>
  <c r="C588" i="51"/>
  <c r="C585" i="51"/>
  <c r="AQ87" i="4" s="1"/>
  <c r="C581" i="51"/>
  <c r="C572" i="51"/>
  <c r="C569" i="51"/>
  <c r="C568" i="51"/>
  <c r="C737" i="50"/>
  <c r="AP109" i="4" s="1"/>
  <c r="C735" i="50"/>
  <c r="C734" i="50"/>
  <c r="C733" i="50"/>
  <c r="C731" i="50"/>
  <c r="AP108" i="4" s="1"/>
  <c r="C710" i="50"/>
  <c r="AP105" i="4" s="1"/>
  <c r="C643" i="50"/>
  <c r="AP95" i="4" s="1"/>
  <c r="C621" i="50"/>
  <c r="AP92" i="4" s="1"/>
  <c r="C611" i="50"/>
  <c r="AP91" i="4" s="1"/>
  <c r="C600" i="50"/>
  <c r="C601" i="50"/>
  <c r="C588" i="50"/>
  <c r="D602" i="50"/>
  <c r="C599" i="50"/>
  <c r="C598" i="50"/>
  <c r="AP89" i="4" s="1"/>
  <c r="C587" i="50"/>
  <c r="C582" i="50"/>
  <c r="AP87" i="4" s="1"/>
  <c r="C593" i="50"/>
  <c r="C592" i="50"/>
  <c r="C591" i="50"/>
  <c r="AP88" i="4" s="1"/>
  <c r="C590" i="50"/>
  <c r="C589" i="50"/>
  <c r="C586" i="50"/>
  <c r="C585" i="50"/>
  <c r="C583" i="50"/>
  <c r="C584" i="50"/>
  <c r="C580" i="50"/>
  <c r="C578" i="50"/>
  <c r="C575" i="50"/>
  <c r="AP86" i="4" s="1"/>
  <c r="C577" i="50"/>
  <c r="C576" i="50"/>
  <c r="C571" i="50"/>
  <c r="C572" i="50"/>
  <c r="C573" i="50"/>
  <c r="C574" i="50"/>
  <c r="C570" i="50"/>
  <c r="AP85" i="4" s="1"/>
  <c r="C567" i="50"/>
  <c r="C628" i="49"/>
  <c r="AO93" i="4" s="1"/>
  <c r="C623" i="49"/>
  <c r="C620" i="49"/>
  <c r="AO92" i="4" s="1"/>
  <c r="C611" i="49"/>
  <c r="C610" i="49"/>
  <c r="AO91" i="4" s="1"/>
  <c r="C609" i="49"/>
  <c r="C606" i="49"/>
  <c r="AO90" i="4" s="1"/>
  <c r="C605" i="49"/>
  <c r="C604" i="49"/>
  <c r="C594" i="49"/>
  <c r="AO88" i="4" s="1"/>
  <c r="AN85" i="4"/>
  <c r="C742" i="45"/>
  <c r="D742" i="45"/>
  <c r="C743" i="45"/>
  <c r="D743" i="45"/>
  <c r="C744" i="45"/>
  <c r="D744" i="45"/>
  <c r="C745" i="45"/>
  <c r="D745" i="45"/>
  <c r="C746" i="45"/>
  <c r="D746" i="45"/>
  <c r="C747" i="45"/>
  <c r="D747" i="45"/>
  <c r="D741" i="45"/>
  <c r="C741" i="45"/>
  <c r="C740" i="45"/>
  <c r="C739" i="45"/>
  <c r="C738" i="45"/>
  <c r="C737" i="45"/>
  <c r="C736" i="45"/>
  <c r="C735" i="45"/>
  <c r="C734" i="45"/>
  <c r="C733" i="45"/>
  <c r="C732" i="45"/>
  <c r="C731" i="45"/>
  <c r="C730" i="45"/>
  <c r="C729" i="45"/>
  <c r="C728" i="45"/>
  <c r="C727" i="45"/>
  <c r="D635" i="45"/>
  <c r="C635" i="45"/>
  <c r="D634" i="45"/>
  <c r="C634" i="45"/>
  <c r="D633" i="45"/>
  <c r="C633" i="45"/>
  <c r="D632" i="45"/>
  <c r="C632" i="45"/>
  <c r="D631" i="45"/>
  <c r="C631" i="45"/>
  <c r="D630" i="45"/>
  <c r="C630" i="45"/>
  <c r="D629" i="45"/>
  <c r="C629" i="45"/>
  <c r="C623" i="45"/>
  <c r="C624" i="45"/>
  <c r="C625" i="45"/>
  <c r="C626" i="45"/>
  <c r="C627" i="45"/>
  <c r="C628" i="45"/>
  <c r="C622" i="45"/>
  <c r="C616" i="45"/>
  <c r="C617" i="45"/>
  <c r="C618" i="45"/>
  <c r="C619" i="45"/>
  <c r="C620" i="45"/>
  <c r="C621" i="45"/>
  <c r="C615" i="45"/>
  <c r="C608" i="45"/>
  <c r="C609" i="45"/>
  <c r="C610" i="45"/>
  <c r="C611" i="45"/>
  <c r="C612" i="45"/>
  <c r="C613" i="45"/>
  <c r="C614" i="45"/>
  <c r="C607" i="45"/>
  <c r="D606" i="45"/>
  <c r="C606" i="45"/>
  <c r="D605" i="45"/>
  <c r="C605" i="45"/>
  <c r="D604" i="45"/>
  <c r="C604" i="45"/>
  <c r="D603" i="45"/>
  <c r="C603" i="45"/>
  <c r="D602" i="45"/>
  <c r="C602" i="45"/>
  <c r="D601" i="45"/>
  <c r="C601" i="45"/>
  <c r="D600" i="45"/>
  <c r="C600" i="45"/>
  <c r="C594" i="45"/>
  <c r="C595" i="45"/>
  <c r="C596" i="45"/>
  <c r="C597" i="45"/>
  <c r="C598" i="45"/>
  <c r="C599" i="45"/>
  <c r="C593" i="45"/>
  <c r="C585" i="45"/>
  <c r="D585" i="45"/>
  <c r="C586" i="45"/>
  <c r="D586" i="45"/>
  <c r="C587" i="45"/>
  <c r="D587" i="45"/>
  <c r="C588" i="45"/>
  <c r="D588" i="45"/>
  <c r="C589" i="45"/>
  <c r="D589" i="45"/>
  <c r="C590" i="45"/>
  <c r="D590" i="45"/>
  <c r="C591" i="45"/>
  <c r="D591" i="45"/>
  <c r="C592" i="45"/>
  <c r="D592" i="45"/>
  <c r="D584" i="45"/>
  <c r="C584" i="45"/>
  <c r="C580" i="45"/>
  <c r="C581" i="45"/>
  <c r="C582" i="45"/>
  <c r="C583" i="45"/>
  <c r="C579" i="45"/>
  <c r="C578" i="45"/>
  <c r="C577" i="45"/>
  <c r="C576" i="45"/>
  <c r="C572" i="45"/>
  <c r="D752" i="43"/>
  <c r="D751" i="43"/>
  <c r="D750" i="43"/>
  <c r="AL111" i="4" s="1"/>
  <c r="D749" i="43"/>
  <c r="AL110" i="4" s="1"/>
  <c r="D748" i="43"/>
  <c r="D747" i="43"/>
  <c r="D746" i="43"/>
  <c r="D745" i="43"/>
  <c r="D744" i="43"/>
  <c r="D743" i="43"/>
  <c r="D741" i="43"/>
  <c r="D742" i="43"/>
  <c r="D740" i="43"/>
  <c r="C740" i="43"/>
  <c r="C733" i="43"/>
  <c r="C734" i="43"/>
  <c r="C735" i="43"/>
  <c r="C736" i="43"/>
  <c r="AL109" i="4" s="1"/>
  <c r="C737" i="43"/>
  <c r="C738" i="43"/>
  <c r="C739" i="43"/>
  <c r="C732" i="43"/>
  <c r="AL108" i="4" s="1"/>
  <c r="C593" i="43"/>
  <c r="AL88" i="4" s="1"/>
  <c r="C744" i="41"/>
  <c r="C745" i="41"/>
  <c r="C743" i="41"/>
  <c r="C741" i="41"/>
  <c r="C742" i="41"/>
  <c r="C740" i="41"/>
  <c r="C739" i="41"/>
  <c r="C738" i="41"/>
  <c r="C737" i="41"/>
  <c r="C736" i="41"/>
  <c r="AK109" i="4" s="1"/>
  <c r="C733" i="41"/>
  <c r="C732" i="41"/>
  <c r="C731" i="41"/>
  <c r="C730" i="41"/>
  <c r="AK108" i="4" s="1"/>
  <c r="C727" i="41"/>
  <c r="AK107" i="4" s="1"/>
  <c r="C705" i="41"/>
  <c r="AK104" i="4" s="1"/>
  <c r="D658" i="41"/>
  <c r="C645" i="41"/>
  <c r="AK96" i="4" s="1"/>
  <c r="C612" i="41"/>
  <c r="C617" i="41"/>
  <c r="AK92" i="4" s="1"/>
  <c r="C619" i="41"/>
  <c r="D618" i="41"/>
  <c r="C611" i="41"/>
  <c r="AK91" i="4" s="1"/>
  <c r="D601" i="41"/>
  <c r="D607" i="41"/>
  <c r="AK90" i="4" s="1"/>
  <c r="C598" i="41"/>
  <c r="C600" i="41"/>
  <c r="C592" i="41"/>
  <c r="C593" i="41"/>
  <c r="C596" i="41"/>
  <c r="C591" i="41"/>
  <c r="C589" i="41"/>
  <c r="AK88" i="4" s="1"/>
  <c r="C588" i="41"/>
  <c r="AK87" i="4" s="1"/>
  <c r="C753" i="56"/>
  <c r="C752" i="56"/>
  <c r="C751" i="56"/>
  <c r="C750" i="56"/>
  <c r="C747" i="56"/>
  <c r="D747" i="56"/>
  <c r="C746" i="56"/>
  <c r="D744" i="56"/>
  <c r="C744" i="56"/>
  <c r="C743" i="56"/>
  <c r="C740" i="56"/>
  <c r="AJ109" i="4" s="1"/>
  <c r="C621" i="56"/>
  <c r="C617" i="56"/>
  <c r="AJ92" i="4" s="1"/>
  <c r="C604" i="56"/>
  <c r="C603" i="56"/>
  <c r="AJ90" i="4" s="1"/>
  <c r="C600" i="56"/>
  <c r="C598" i="56"/>
  <c r="AJ89" i="4" s="1"/>
  <c r="C593" i="56"/>
  <c r="AJ88" i="4" s="1"/>
  <c r="C579" i="56"/>
  <c r="AJ86" i="4" s="1"/>
  <c r="C748" i="39"/>
  <c r="C749" i="39"/>
  <c r="C750" i="39"/>
  <c r="AI111" i="4" s="1"/>
  <c r="C747" i="39"/>
  <c r="AI110" i="4" s="1"/>
  <c r="C610" i="39"/>
  <c r="AI91" i="4" s="1"/>
  <c r="C609" i="39"/>
  <c r="C608" i="39"/>
  <c r="C607" i="39"/>
  <c r="C606" i="39"/>
  <c r="C605" i="39"/>
  <c r="C604" i="39"/>
  <c r="C603" i="39"/>
  <c r="AI90" i="4" s="1"/>
  <c r="C602" i="39"/>
  <c r="C601" i="39"/>
  <c r="C600" i="39"/>
  <c r="C599" i="39"/>
  <c r="C598" i="39"/>
  <c r="C617" i="39"/>
  <c r="AI92" i="4" s="1"/>
  <c r="C616" i="39"/>
  <c r="C615" i="39"/>
  <c r="C614" i="39"/>
  <c r="C613" i="39"/>
  <c r="C612" i="39"/>
  <c r="C611" i="39"/>
  <c r="C618" i="39"/>
  <c r="C596" i="39"/>
  <c r="AI89" i="4" s="1"/>
  <c r="C589" i="39"/>
  <c r="C590" i="39"/>
  <c r="C591" i="39"/>
  <c r="C592" i="39"/>
  <c r="C593" i="39"/>
  <c r="C594" i="39"/>
  <c r="C595" i="39"/>
  <c r="C597" i="39"/>
  <c r="C579" i="39"/>
  <c r="C580" i="39"/>
  <c r="C581" i="39"/>
  <c r="C582" i="39"/>
  <c r="AI87" i="4" s="1"/>
  <c r="C583" i="39"/>
  <c r="C584" i="39"/>
  <c r="C585" i="39"/>
  <c r="C586" i="39"/>
  <c r="C587" i="39"/>
  <c r="C58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AI88" i="4" s="1"/>
  <c r="C577" i="39"/>
  <c r="AI86" i="4" s="1"/>
  <c r="C739" i="38"/>
  <c r="C740" i="38"/>
  <c r="C741" i="38"/>
  <c r="C734" i="38"/>
  <c r="C738" i="38"/>
  <c r="C736" i="38"/>
  <c r="C732" i="38"/>
  <c r="C729" i="38"/>
  <c r="C672" i="38"/>
  <c r="AH99" i="4" s="1"/>
  <c r="C638" i="38"/>
  <c r="AH95" i="4" s="1"/>
  <c r="C576" i="38"/>
  <c r="C595" i="38"/>
  <c r="C622" i="38"/>
  <c r="C612" i="38"/>
  <c r="C619" i="38"/>
  <c r="C614" i="38"/>
  <c r="C617" i="38"/>
  <c r="AH92" i="4" s="1"/>
  <c r="C616" i="38"/>
  <c r="C611" i="38"/>
  <c r="C608" i="38"/>
  <c r="AH90" i="4" s="1"/>
  <c r="C606" i="38"/>
  <c r="C605" i="38"/>
  <c r="C592" i="38"/>
  <c r="C602" i="38"/>
  <c r="C593" i="38"/>
  <c r="C598" i="38"/>
  <c r="C596" i="38"/>
  <c r="AH89" i="4" s="1"/>
  <c r="C594" i="38"/>
  <c r="C579" i="38"/>
  <c r="C585" i="38"/>
  <c r="C591" i="38"/>
  <c r="C589" i="38"/>
  <c r="C584" i="38"/>
  <c r="C580" i="38"/>
  <c r="C578" i="38"/>
  <c r="C586" i="38"/>
  <c r="C573" i="38"/>
  <c r="C581" i="38"/>
  <c r="C572" i="38"/>
  <c r="C575" i="38"/>
  <c r="C568" i="38"/>
  <c r="C570" i="38"/>
  <c r="C571" i="38"/>
  <c r="C745" i="37"/>
  <c r="C744" i="37"/>
  <c r="C743" i="37"/>
  <c r="AG110" i="4" s="1"/>
  <c r="D747" i="37"/>
  <c r="C742" i="37"/>
  <c r="C737" i="37"/>
  <c r="C739" i="37"/>
  <c r="C736" i="37"/>
  <c r="AG109" i="4" s="1"/>
  <c r="C738" i="37"/>
  <c r="C733" i="37"/>
  <c r="C734" i="37"/>
  <c r="C732" i="37"/>
  <c r="C729" i="37"/>
  <c r="AG108" i="4" s="1"/>
  <c r="C688" i="37"/>
  <c r="AG102" i="4" s="1"/>
  <c r="C685" i="37"/>
  <c r="C682" i="37"/>
  <c r="AG101" i="4" s="1"/>
  <c r="C661" i="37"/>
  <c r="C659" i="37"/>
  <c r="AG98" i="4" s="1"/>
  <c r="C634" i="37"/>
  <c r="AG94" i="4" s="1"/>
  <c r="C608" i="37"/>
  <c r="C607" i="37"/>
  <c r="C630" i="37"/>
  <c r="AG93" i="4" s="1"/>
  <c r="C615" i="37"/>
  <c r="C610" i="37"/>
  <c r="C617" i="37"/>
  <c r="AG92" i="4" s="1"/>
  <c r="C601" i="37"/>
  <c r="C614" i="37"/>
  <c r="C611" i="37"/>
  <c r="AG91" i="4" s="1"/>
  <c r="C605" i="37"/>
  <c r="AG90" i="4" s="1"/>
  <c r="C609" i="37"/>
  <c r="D609" i="37"/>
  <c r="C606" i="37"/>
  <c r="C602" i="37"/>
  <c r="C600" i="37"/>
  <c r="C592" i="37"/>
  <c r="C599" i="37"/>
  <c r="C598" i="37"/>
  <c r="C589" i="37"/>
  <c r="AG88" i="4" s="1"/>
  <c r="C596" i="37"/>
  <c r="AG89" i="4" s="1"/>
  <c r="C593" i="37"/>
  <c r="C595" i="37"/>
  <c r="D591" i="37"/>
  <c r="C587" i="37"/>
  <c r="C591" i="37"/>
  <c r="C590" i="37"/>
  <c r="D587" i="37"/>
  <c r="C582" i="37"/>
  <c r="AG87" i="4" s="1"/>
  <c r="C580" i="37"/>
  <c r="C576" i="37"/>
  <c r="AG86" i="4" s="1"/>
  <c r="C574" i="37"/>
  <c r="C572" i="37"/>
  <c r="C571" i="37"/>
  <c r="AG85" i="4" s="1"/>
  <c r="C744" i="34"/>
  <c r="C745" i="34"/>
  <c r="C746" i="34"/>
  <c r="C747" i="34"/>
  <c r="C743" i="34"/>
  <c r="AE110" i="4" s="1"/>
  <c r="C738" i="34"/>
  <c r="D738" i="34"/>
  <c r="C739" i="34"/>
  <c r="D739" i="34"/>
  <c r="C740" i="34"/>
  <c r="D740" i="34"/>
  <c r="D737" i="34"/>
  <c r="C737" i="34"/>
  <c r="AE109" i="4" s="1"/>
  <c r="C616" i="34"/>
  <c r="C617" i="34"/>
  <c r="AE92" i="4" s="1"/>
  <c r="C618" i="34"/>
  <c r="C619" i="34"/>
  <c r="C620" i="34"/>
  <c r="C621" i="34"/>
  <c r="C622" i="34"/>
  <c r="C623" i="34"/>
  <c r="C624" i="34"/>
  <c r="AE93" i="4" s="1"/>
  <c r="C625" i="34"/>
  <c r="C626" i="34"/>
  <c r="C627" i="34"/>
  <c r="C628" i="34"/>
  <c r="C615" i="34"/>
  <c r="C609" i="34"/>
  <c r="C610" i="34"/>
  <c r="AE91" i="4" s="1"/>
  <c r="C611" i="34"/>
  <c r="C612" i="34"/>
  <c r="C613" i="34"/>
  <c r="C614" i="34"/>
  <c r="C608" i="34"/>
  <c r="C598" i="34"/>
  <c r="C599" i="34"/>
  <c r="C600" i="34"/>
  <c r="C601" i="34"/>
  <c r="C602" i="34"/>
  <c r="C603" i="34"/>
  <c r="AE90" i="4" s="1"/>
  <c r="C604" i="34"/>
  <c r="C605" i="34"/>
  <c r="C606" i="34"/>
  <c r="C607" i="34"/>
  <c r="C597" i="34"/>
  <c r="C596" i="34"/>
  <c r="C595" i="34"/>
  <c r="C594" i="34"/>
  <c r="C592" i="34"/>
  <c r="C591" i="34"/>
  <c r="C590" i="34"/>
  <c r="C589" i="34"/>
  <c r="AE88" i="4" s="1"/>
  <c r="C582" i="34"/>
  <c r="AE87" i="4" s="1"/>
  <c r="C576" i="34"/>
  <c r="AE86" i="4" s="1"/>
  <c r="C578" i="34"/>
  <c r="D746" i="32"/>
  <c r="C743" i="32"/>
  <c r="AD110" i="4" s="1"/>
  <c r="C742" i="32"/>
  <c r="C739" i="32"/>
  <c r="C738" i="32"/>
  <c r="C737" i="32"/>
  <c r="AD109" i="4" s="1"/>
  <c r="C734" i="32"/>
  <c r="C732" i="32"/>
  <c r="AD108" i="4" s="1"/>
  <c r="C714" i="32"/>
  <c r="AD105" i="4" s="1"/>
  <c r="C666" i="32"/>
  <c r="D659" i="32"/>
  <c r="AD98" i="4" s="1"/>
  <c r="C603" i="32"/>
  <c r="AD90" i="4" s="1"/>
  <c r="C602" i="32"/>
  <c r="C600" i="32"/>
  <c r="C598" i="32"/>
  <c r="AD89" i="4" s="1"/>
  <c r="D592" i="32"/>
  <c r="C587" i="32"/>
  <c r="C586" i="32"/>
  <c r="C585" i="32"/>
  <c r="C580" i="32"/>
  <c r="C595" i="32"/>
  <c r="C594" i="32"/>
  <c r="D591" i="32"/>
  <c r="AD88" i="4" s="1"/>
  <c r="C588" i="32"/>
  <c r="C581" i="32"/>
  <c r="C579" i="32"/>
  <c r="D578" i="32"/>
  <c r="C578" i="32"/>
  <c r="C576" i="32"/>
  <c r="C575" i="32"/>
  <c r="AD86" i="4" s="1"/>
  <c r="C574" i="32"/>
  <c r="C572" i="32"/>
  <c r="C593" i="32"/>
  <c r="C584" i="32"/>
  <c r="AD87" i="4" s="1"/>
  <c r="C570" i="32"/>
  <c r="C571" i="32"/>
  <c r="C562" i="32"/>
  <c r="C560" i="32"/>
  <c r="C559" i="32"/>
  <c r="C558" i="32"/>
  <c r="C750" i="31"/>
  <c r="C749" i="31"/>
  <c r="C748" i="31"/>
  <c r="C745" i="31"/>
  <c r="C742" i="31"/>
  <c r="C743" i="31"/>
  <c r="AC110" i="4" s="1"/>
  <c r="C741" i="31"/>
  <c r="C734" i="31"/>
  <c r="C735" i="31"/>
  <c r="AC108" i="4" s="1"/>
  <c r="C736" i="31"/>
  <c r="AC109" i="4" s="1"/>
  <c r="C737" i="31"/>
  <c r="C733" i="31"/>
  <c r="C637" i="31"/>
  <c r="C638" i="31"/>
  <c r="AC95" i="4" s="1"/>
  <c r="C636" i="31"/>
  <c r="C629" i="31"/>
  <c r="C630" i="31"/>
  <c r="C631" i="31"/>
  <c r="AC94" i="4" s="1"/>
  <c r="C628" i="31"/>
  <c r="C622" i="31"/>
  <c r="C623" i="31"/>
  <c r="C624" i="31"/>
  <c r="AC93" i="4" s="1"/>
  <c r="C625" i="31"/>
  <c r="C621" i="31"/>
  <c r="C608" i="31"/>
  <c r="C609" i="31"/>
  <c r="C610" i="31"/>
  <c r="AC91" i="4" s="1"/>
  <c r="C607" i="31"/>
  <c r="AC90" i="4" s="1"/>
  <c r="C586" i="31"/>
  <c r="C585" i="31"/>
  <c r="C584" i="31"/>
  <c r="C583" i="31"/>
  <c r="C587" i="31"/>
  <c r="C588" i="31"/>
  <c r="C589" i="31"/>
  <c r="AC88" i="4" s="1"/>
  <c r="C590" i="31"/>
  <c r="C591" i="31"/>
  <c r="C592" i="31"/>
  <c r="C593" i="31"/>
  <c r="C594" i="31"/>
  <c r="C595" i="31"/>
  <c r="C596" i="31"/>
  <c r="AC89" i="4" s="1"/>
  <c r="C597" i="31"/>
  <c r="C598" i="31"/>
  <c r="C582" i="31"/>
  <c r="AC87" i="4" s="1"/>
  <c r="C579" i="31"/>
  <c r="C577" i="31"/>
  <c r="C575" i="31"/>
  <c r="AC86" i="4" s="1"/>
  <c r="C576" i="31"/>
  <c r="C739" i="30"/>
  <c r="C740" i="30"/>
  <c r="C741" i="30"/>
  <c r="C742" i="30"/>
  <c r="C743" i="30"/>
  <c r="C744" i="30"/>
  <c r="C738" i="30"/>
  <c r="C732" i="30"/>
  <c r="C733" i="30"/>
  <c r="C734" i="30"/>
  <c r="C735" i="30"/>
  <c r="C736" i="30"/>
  <c r="AB109" i="4" s="1"/>
  <c r="C737" i="30"/>
  <c r="C731" i="30"/>
  <c r="AB108" i="4" s="1"/>
  <c r="C644" i="30"/>
  <c r="C645" i="30"/>
  <c r="AB96" i="4" s="1"/>
  <c r="C646" i="30"/>
  <c r="C647" i="30"/>
  <c r="C648" i="30"/>
  <c r="C649" i="30"/>
  <c r="C643" i="30"/>
  <c r="AB95" i="4" s="1"/>
  <c r="C630" i="30"/>
  <c r="C631" i="30"/>
  <c r="C632" i="30"/>
  <c r="AB94" i="4" s="1"/>
  <c r="C633" i="30"/>
  <c r="C634" i="30"/>
  <c r="C635" i="30"/>
  <c r="C629" i="30"/>
  <c r="C623" i="30"/>
  <c r="C624" i="30"/>
  <c r="AB93" i="4" s="1"/>
  <c r="C625" i="30"/>
  <c r="C626" i="30"/>
  <c r="C627" i="30"/>
  <c r="C628" i="30"/>
  <c r="C622" i="30"/>
  <c r="C616" i="30"/>
  <c r="C617" i="30"/>
  <c r="AB92" i="4" s="1"/>
  <c r="C618" i="30"/>
  <c r="C619" i="30"/>
  <c r="C620" i="30"/>
  <c r="C621" i="30"/>
  <c r="C615" i="30"/>
  <c r="C609" i="30"/>
  <c r="C610" i="30"/>
  <c r="AB91" i="4" s="1"/>
  <c r="C611" i="30"/>
  <c r="C612" i="30"/>
  <c r="C613" i="30"/>
  <c r="C614" i="30"/>
  <c r="C608" i="30"/>
  <c r="C602" i="30"/>
  <c r="C603" i="30"/>
  <c r="AB90" i="4" s="1"/>
  <c r="C604" i="30"/>
  <c r="C605" i="30"/>
  <c r="C606" i="30"/>
  <c r="C607" i="30"/>
  <c r="C601" i="30"/>
  <c r="C594" i="30"/>
  <c r="C595" i="30"/>
  <c r="C596" i="30"/>
  <c r="AB89" i="4" s="1"/>
  <c r="C597" i="30"/>
  <c r="C598" i="30"/>
  <c r="C599" i="30"/>
  <c r="C600" i="30"/>
  <c r="C593" i="30"/>
  <c r="C578" i="30"/>
  <c r="C579" i="30"/>
  <c r="C580" i="30"/>
  <c r="C581" i="30"/>
  <c r="C582" i="30"/>
  <c r="AB87" i="4" s="1"/>
  <c r="C583" i="30"/>
  <c r="C584" i="30"/>
  <c r="C585" i="30"/>
  <c r="C586" i="30"/>
  <c r="C587" i="30"/>
  <c r="C588" i="30"/>
  <c r="C589" i="30"/>
  <c r="AB88" i="4" s="1"/>
  <c r="C590" i="30"/>
  <c r="C591" i="30"/>
  <c r="C592" i="30"/>
  <c r="C577" i="30"/>
  <c r="AB86" i="4" s="1"/>
  <c r="C565" i="30"/>
  <c r="C566" i="30"/>
  <c r="C567" i="30"/>
  <c r="C568" i="30"/>
  <c r="C569" i="30"/>
  <c r="C570" i="30"/>
  <c r="C571" i="30"/>
  <c r="C572" i="30"/>
  <c r="AB85" i="4" s="1"/>
  <c r="C573" i="30"/>
  <c r="C574" i="30"/>
  <c r="C575" i="30"/>
  <c r="C576" i="30"/>
  <c r="C564" i="30"/>
  <c r="C746" i="29"/>
  <c r="AA110" i="4" s="1"/>
  <c r="C734" i="29"/>
  <c r="C741" i="29"/>
  <c r="C742" i="29"/>
  <c r="C739" i="29"/>
  <c r="C737" i="29"/>
  <c r="C738" i="29"/>
  <c r="C736" i="29"/>
  <c r="AA109" i="4" s="1"/>
  <c r="C735" i="29"/>
  <c r="C731" i="29"/>
  <c r="AA108" i="4" s="1"/>
  <c r="C732" i="29"/>
  <c r="C593" i="29"/>
  <c r="C595" i="29"/>
  <c r="C613" i="29"/>
  <c r="C589" i="29"/>
  <c r="C614" i="29"/>
  <c r="C617" i="29"/>
  <c r="AA92" i="4" s="1"/>
  <c r="C572" i="29"/>
  <c r="C607" i="29"/>
  <c r="C612" i="29"/>
  <c r="C611" i="29"/>
  <c r="AA91" i="4" s="1"/>
  <c r="C592" i="29"/>
  <c r="C578" i="29"/>
  <c r="C605" i="29"/>
  <c r="C609" i="29"/>
  <c r="C599" i="29"/>
  <c r="C591" i="29"/>
  <c r="AA88" i="4" s="1"/>
  <c r="C598" i="29"/>
  <c r="C582" i="29"/>
  <c r="AA87" i="4" s="1"/>
  <c r="C596" i="29"/>
  <c r="AA89" i="4" s="1"/>
  <c r="C594" i="29"/>
  <c r="C603" i="29"/>
  <c r="AA90" i="4" s="1"/>
  <c r="C604" i="29"/>
  <c r="C584" i="29"/>
  <c r="C570" i="29"/>
  <c r="C600" i="29"/>
  <c r="C590" i="29"/>
  <c r="C588" i="29"/>
  <c r="C585" i="29"/>
  <c r="C586" i="29"/>
  <c r="C571" i="29"/>
  <c r="C587" i="29"/>
  <c r="C583" i="29"/>
  <c r="C580" i="29"/>
  <c r="C575" i="29"/>
  <c r="AA86" i="4" s="1"/>
  <c r="C579" i="29"/>
  <c r="C573" i="29"/>
  <c r="C576" i="29"/>
  <c r="C577" i="29"/>
  <c r="C565" i="29"/>
  <c r="C568" i="29"/>
  <c r="C569" i="29"/>
  <c r="C563" i="29"/>
  <c r="C574" i="29"/>
  <c r="C567" i="29"/>
  <c r="C562" i="29"/>
  <c r="C566" i="29"/>
  <c r="C558" i="29"/>
  <c r="C559" i="29"/>
  <c r="AA83" i="4" s="1"/>
  <c r="C556" i="29"/>
  <c r="C561" i="29"/>
  <c r="C557" i="29"/>
  <c r="C560" i="29"/>
  <c r="C552" i="29"/>
  <c r="C553" i="29"/>
  <c r="C548" i="29"/>
  <c r="C550" i="29"/>
  <c r="AA82" i="4" s="1"/>
  <c r="C546" i="29"/>
  <c r="C543" i="29"/>
  <c r="C544" i="29"/>
  <c r="C542" i="29"/>
  <c r="C541" i="29"/>
  <c r="C731" i="27"/>
  <c r="C729" i="27"/>
  <c r="C656" i="27"/>
  <c r="C654" i="27"/>
  <c r="C652" i="27"/>
  <c r="Y97" i="4" s="1"/>
  <c r="C637" i="27"/>
  <c r="C634" i="27"/>
  <c r="C632" i="27"/>
  <c r="C631" i="27"/>
  <c r="Y94" i="4" s="1"/>
  <c r="C629" i="27"/>
  <c r="C625" i="27"/>
  <c r="Y93" i="4" s="1"/>
  <c r="C614" i="27"/>
  <c r="C612" i="27"/>
  <c r="Y91" i="4" s="1"/>
  <c r="C608" i="27"/>
  <c r="C607" i="27"/>
  <c r="C604" i="27"/>
  <c r="C603" i="27"/>
  <c r="Y90" i="4" s="1"/>
  <c r="C591" i="27"/>
  <c r="C590" i="27"/>
  <c r="C599" i="27"/>
  <c r="C598" i="27"/>
  <c r="C597" i="27"/>
  <c r="C596" i="27"/>
  <c r="Y89" i="4" s="1"/>
  <c r="C595" i="27"/>
  <c r="C593" i="27"/>
  <c r="C592" i="27"/>
  <c r="C589" i="27"/>
  <c r="Y88" i="4" s="1"/>
  <c r="C586" i="27"/>
  <c r="C585" i="27"/>
  <c r="C577" i="27"/>
  <c r="C584" i="27"/>
  <c r="C582" i="27"/>
  <c r="Y87" i="4" s="1"/>
  <c r="C579" i="27"/>
  <c r="C578" i="27"/>
  <c r="C576" i="27"/>
  <c r="C575" i="27"/>
  <c r="Y86" i="4" s="1"/>
  <c r="C574" i="27"/>
  <c r="C572" i="27"/>
  <c r="C570" i="27"/>
  <c r="C568" i="27"/>
  <c r="C560" i="27"/>
  <c r="D738" i="26"/>
  <c r="D739" i="26"/>
  <c r="D740" i="26"/>
  <c r="D741" i="26"/>
  <c r="D742" i="26"/>
  <c r="D743" i="26"/>
  <c r="D744" i="26"/>
  <c r="D745" i="26"/>
  <c r="D746" i="26"/>
  <c r="D737" i="26"/>
  <c r="C738" i="26"/>
  <c r="C739" i="26"/>
  <c r="C740" i="26"/>
  <c r="C741" i="26"/>
  <c r="C742" i="26"/>
  <c r="C743" i="26"/>
  <c r="X110" i="4" s="1"/>
  <c r="C744" i="26"/>
  <c r="C745" i="26"/>
  <c r="C746" i="26"/>
  <c r="C737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16" i="26"/>
  <c r="C717" i="26"/>
  <c r="C718" i="26"/>
  <c r="C719" i="26"/>
  <c r="C720" i="26"/>
  <c r="C721" i="26"/>
  <c r="C722" i="26"/>
  <c r="X107" i="4" s="1"/>
  <c r="C723" i="26"/>
  <c r="C724" i="26"/>
  <c r="C725" i="26"/>
  <c r="C726" i="26"/>
  <c r="C727" i="26"/>
  <c r="C728" i="26"/>
  <c r="C729" i="26"/>
  <c r="X108" i="4" s="1"/>
  <c r="C730" i="26"/>
  <c r="C731" i="26"/>
  <c r="C732" i="26"/>
  <c r="C733" i="26"/>
  <c r="C734" i="26"/>
  <c r="C735" i="26"/>
  <c r="C736" i="26"/>
  <c r="X109" i="4" s="1"/>
  <c r="C716" i="26"/>
  <c r="D677" i="26"/>
  <c r="D678" i="26"/>
  <c r="D679" i="26"/>
  <c r="D680" i="26"/>
  <c r="X101" i="4" s="1"/>
  <c r="D681" i="26"/>
  <c r="D682" i="26"/>
  <c r="D683" i="26"/>
  <c r="D684" i="26"/>
  <c r="D685" i="26"/>
  <c r="D686" i="26"/>
  <c r="D687" i="26"/>
  <c r="X102" i="4" s="1"/>
  <c r="D688" i="26"/>
  <c r="D689" i="26"/>
  <c r="D690" i="26"/>
  <c r="D691" i="26"/>
  <c r="D692" i="26"/>
  <c r="D693" i="26"/>
  <c r="D694" i="26"/>
  <c r="X103" i="4" s="1"/>
  <c r="D695" i="26"/>
  <c r="D696" i="26"/>
  <c r="D697" i="26"/>
  <c r="D698" i="26"/>
  <c r="D699" i="26"/>
  <c r="D700" i="26"/>
  <c r="D701" i="26"/>
  <c r="X104" i="4" s="1"/>
  <c r="D702" i="26"/>
  <c r="D703" i="26"/>
  <c r="D704" i="26"/>
  <c r="D705" i="26"/>
  <c r="D706" i="26"/>
  <c r="D707" i="26"/>
  <c r="D708" i="26"/>
  <c r="D709" i="26"/>
  <c r="D710" i="26"/>
  <c r="D711" i="26"/>
  <c r="D712" i="26"/>
  <c r="X105" i="4" s="1"/>
  <c r="D713" i="26"/>
  <c r="D714" i="26"/>
  <c r="D715" i="26"/>
  <c r="X106" i="4" s="1"/>
  <c r="D676" i="26"/>
  <c r="C656" i="26"/>
  <c r="C657" i="26"/>
  <c r="C658" i="26"/>
  <c r="C659" i="26"/>
  <c r="X98" i="4" s="1"/>
  <c r="C660" i="26"/>
  <c r="C661" i="26"/>
  <c r="C662" i="26"/>
  <c r="C663" i="26"/>
  <c r="C664" i="26"/>
  <c r="C665" i="26"/>
  <c r="C666" i="26"/>
  <c r="X99" i="4" s="1"/>
  <c r="C667" i="26"/>
  <c r="C668" i="26"/>
  <c r="C669" i="26"/>
  <c r="C670" i="26"/>
  <c r="C671" i="26"/>
  <c r="C672" i="26"/>
  <c r="C673" i="26"/>
  <c r="X100" i="4" s="1"/>
  <c r="C674" i="26"/>
  <c r="C675" i="26"/>
  <c r="C655" i="26"/>
  <c r="C647" i="26"/>
  <c r="C648" i="26"/>
  <c r="C649" i="26"/>
  <c r="C650" i="26"/>
  <c r="C651" i="26"/>
  <c r="C652" i="26"/>
  <c r="C653" i="26"/>
  <c r="X97" i="4" s="1"/>
  <c r="C654" i="26"/>
  <c r="C646" i="26"/>
  <c r="D636" i="26"/>
  <c r="D637" i="26"/>
  <c r="D638" i="26"/>
  <c r="D639" i="26"/>
  <c r="D640" i="26"/>
  <c r="D641" i="26"/>
  <c r="D642" i="26"/>
  <c r="D643" i="26"/>
  <c r="D644" i="26"/>
  <c r="D645" i="26"/>
  <c r="C636" i="26"/>
  <c r="C637" i="26"/>
  <c r="C638" i="26"/>
  <c r="X95" i="4" s="1"/>
  <c r="C639" i="26"/>
  <c r="C640" i="26"/>
  <c r="C641" i="26"/>
  <c r="C642" i="26"/>
  <c r="C643" i="26"/>
  <c r="C644" i="26"/>
  <c r="C645" i="26"/>
  <c r="X96" i="4" s="1"/>
  <c r="D635" i="26"/>
  <c r="C635" i="26"/>
  <c r="C626" i="26"/>
  <c r="C627" i="26"/>
  <c r="C628" i="26"/>
  <c r="C629" i="26"/>
  <c r="C630" i="26"/>
  <c r="C631" i="26"/>
  <c r="X94" i="4" s="1"/>
  <c r="C632" i="26"/>
  <c r="C633" i="26"/>
  <c r="C634" i="26"/>
  <c r="C625" i="26"/>
  <c r="C618" i="26"/>
  <c r="C619" i="26"/>
  <c r="C620" i="26"/>
  <c r="C621" i="26"/>
  <c r="C622" i="26"/>
  <c r="C623" i="26"/>
  <c r="C624" i="26"/>
  <c r="X93" i="4" s="1"/>
  <c r="C617" i="26"/>
  <c r="X92" i="4" s="1"/>
  <c r="C606" i="26"/>
  <c r="C607" i="26"/>
  <c r="C608" i="26"/>
  <c r="C609" i="26"/>
  <c r="C610" i="26"/>
  <c r="X91" i="4" s="1"/>
  <c r="C611" i="26"/>
  <c r="C612" i="26"/>
  <c r="C613" i="26"/>
  <c r="C614" i="26"/>
  <c r="C615" i="26"/>
  <c r="C616" i="26"/>
  <c r="C605" i="26"/>
  <c r="D597" i="26"/>
  <c r="D598" i="26"/>
  <c r="D599" i="26"/>
  <c r="D600" i="26"/>
  <c r="D601" i="26"/>
  <c r="D602" i="26"/>
  <c r="D603" i="26"/>
  <c r="D604" i="26"/>
  <c r="C597" i="26"/>
  <c r="C598" i="26"/>
  <c r="C599" i="26"/>
  <c r="C600" i="26"/>
  <c r="C601" i="26"/>
  <c r="C602" i="26"/>
  <c r="C603" i="26"/>
  <c r="X90" i="4" s="1"/>
  <c r="C604" i="26"/>
  <c r="D596" i="26"/>
  <c r="C596" i="26"/>
  <c r="X89" i="4" s="1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72" i="26"/>
  <c r="C573" i="26"/>
  <c r="C574" i="26"/>
  <c r="C575" i="26"/>
  <c r="X86" i="4" s="1"/>
  <c r="C576" i="26"/>
  <c r="C577" i="26"/>
  <c r="C578" i="26"/>
  <c r="C579" i="26"/>
  <c r="C580" i="26"/>
  <c r="C581" i="26"/>
  <c r="C582" i="26"/>
  <c r="X87" i="4" s="1"/>
  <c r="C583" i="26"/>
  <c r="C584" i="26"/>
  <c r="C585" i="26"/>
  <c r="C586" i="26"/>
  <c r="C587" i="26"/>
  <c r="C588" i="26"/>
  <c r="C589" i="26"/>
  <c r="X88" i="4" s="1"/>
  <c r="C590" i="26"/>
  <c r="C591" i="26"/>
  <c r="C592" i="26"/>
  <c r="C593" i="26"/>
  <c r="C594" i="26"/>
  <c r="C595" i="26"/>
  <c r="C572" i="26"/>
  <c r="D563" i="26"/>
  <c r="D564" i="26"/>
  <c r="D565" i="26"/>
  <c r="D566" i="26"/>
  <c r="D567" i="26"/>
  <c r="D568" i="26"/>
  <c r="D569" i="26"/>
  <c r="D570" i="26"/>
  <c r="D571" i="26"/>
  <c r="D562" i="26"/>
  <c r="C563" i="26"/>
  <c r="C564" i="26"/>
  <c r="C565" i="26"/>
  <c r="C566" i="26"/>
  <c r="C567" i="26"/>
  <c r="C568" i="26"/>
  <c r="C569" i="26"/>
  <c r="C570" i="26"/>
  <c r="C571" i="26"/>
  <c r="C562" i="26"/>
  <c r="C593" i="15"/>
  <c r="W88" i="4" s="1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C606" i="20"/>
  <c r="C607" i="20"/>
  <c r="C608" i="20"/>
  <c r="C609" i="20"/>
  <c r="C610" i="20"/>
  <c r="V91" i="4" s="1"/>
  <c r="C611" i="20"/>
  <c r="C612" i="20"/>
  <c r="C613" i="20"/>
  <c r="C614" i="20"/>
  <c r="C615" i="20"/>
  <c r="C616" i="20"/>
  <c r="C617" i="20"/>
  <c r="V92" i="4" s="1"/>
  <c r="C618" i="20"/>
  <c r="C619" i="20"/>
  <c r="C620" i="20"/>
  <c r="C621" i="20"/>
  <c r="C622" i="20"/>
  <c r="C623" i="20"/>
  <c r="C624" i="20"/>
  <c r="V93" i="4" s="1"/>
  <c r="C625" i="20"/>
  <c r="C626" i="20"/>
  <c r="C627" i="20"/>
  <c r="C605" i="20"/>
  <c r="V90" i="4" s="1"/>
  <c r="C628" i="20"/>
  <c r="D628" i="20"/>
  <c r="C744" i="9"/>
  <c r="C749" i="9"/>
  <c r="C746" i="9"/>
  <c r="D746" i="9"/>
  <c r="C743" i="9"/>
  <c r="U110" i="4" s="1"/>
  <c r="D745" i="9"/>
  <c r="D742" i="9"/>
  <c r="C739" i="9"/>
  <c r="C740" i="9"/>
  <c r="C741" i="9"/>
  <c r="D740" i="9"/>
  <c r="U109" i="4" s="1"/>
  <c r="C742" i="9"/>
  <c r="C736" i="9"/>
  <c r="C737" i="9"/>
  <c r="C734" i="9"/>
  <c r="C732" i="9"/>
  <c r="U108" i="4" s="1"/>
  <c r="C621" i="9"/>
  <c r="U92" i="4" s="1"/>
  <c r="C623" i="9"/>
  <c r="C615" i="9"/>
  <c r="U91" i="4" s="1"/>
  <c r="C605" i="9"/>
  <c r="C607" i="9"/>
  <c r="C604" i="9"/>
  <c r="U90" i="4" s="1"/>
  <c r="C606" i="9"/>
  <c r="C601" i="9"/>
  <c r="C599" i="9"/>
  <c r="C597" i="9"/>
  <c r="C600" i="9"/>
  <c r="C592" i="9"/>
  <c r="C598" i="9"/>
  <c r="C596" i="9"/>
  <c r="U89" i="4" s="1"/>
  <c r="C594" i="9"/>
  <c r="D585" i="9"/>
  <c r="U87" i="4" s="1"/>
  <c r="C593" i="9"/>
  <c r="C586" i="9"/>
  <c r="C591" i="9"/>
  <c r="C590" i="9"/>
  <c r="U88" i="4" s="1"/>
  <c r="C752" i="44"/>
  <c r="C751" i="44"/>
  <c r="C750" i="44"/>
  <c r="C746" i="44"/>
  <c r="C745" i="44"/>
  <c r="C743" i="44"/>
  <c r="T110" i="4" s="1"/>
  <c r="C740" i="44"/>
  <c r="C738" i="44"/>
  <c r="T109" i="4" s="1"/>
  <c r="C604" i="44"/>
  <c r="T90" i="4" s="1"/>
  <c r="C599" i="44"/>
  <c r="T89" i="4" s="1"/>
  <c r="C591" i="44"/>
  <c r="T88" i="4" s="1"/>
  <c r="C585" i="44"/>
  <c r="C584" i="44"/>
  <c r="C583" i="44"/>
  <c r="T87" i="4" s="1"/>
  <c r="C576" i="44"/>
  <c r="T86" i="4" s="1"/>
  <c r="D745" i="19"/>
  <c r="D746" i="19"/>
  <c r="D747" i="19"/>
  <c r="D748" i="19"/>
  <c r="D749" i="19"/>
  <c r="D750" i="19"/>
  <c r="C745" i="19"/>
  <c r="C746" i="19"/>
  <c r="C747" i="19"/>
  <c r="C748" i="19"/>
  <c r="C749" i="19"/>
  <c r="C750" i="19"/>
  <c r="S111" i="4" s="1"/>
  <c r="D744" i="19"/>
  <c r="C744" i="19"/>
  <c r="D739" i="19"/>
  <c r="D740" i="19"/>
  <c r="D741" i="19"/>
  <c r="D742" i="19"/>
  <c r="D743" i="19"/>
  <c r="D738" i="19"/>
  <c r="C739" i="19"/>
  <c r="C740" i="19"/>
  <c r="C741" i="19"/>
  <c r="C742" i="19"/>
  <c r="C743" i="19"/>
  <c r="S110" i="4" s="1"/>
  <c r="C738" i="19"/>
  <c r="C737" i="19"/>
  <c r="C736" i="19"/>
  <c r="S109" i="4" s="1"/>
  <c r="C735" i="19"/>
  <c r="C734" i="19"/>
  <c r="C733" i="19"/>
  <c r="D733" i="19"/>
  <c r="D734" i="19"/>
  <c r="D735" i="19"/>
  <c r="D736" i="19"/>
  <c r="D737" i="19"/>
  <c r="D732" i="19"/>
  <c r="C732" i="19"/>
  <c r="S108" i="4" s="1"/>
  <c r="D620" i="19"/>
  <c r="D621" i="19"/>
  <c r="D622" i="19"/>
  <c r="D623" i="19"/>
  <c r="D624" i="19"/>
  <c r="D625" i="19"/>
  <c r="D626" i="19"/>
  <c r="D627" i="19"/>
  <c r="D628" i="19"/>
  <c r="C620" i="19"/>
  <c r="C621" i="19"/>
  <c r="C622" i="19"/>
  <c r="C623" i="19"/>
  <c r="C624" i="19"/>
  <c r="S93" i="4" s="1"/>
  <c r="C625" i="19"/>
  <c r="C626" i="19"/>
  <c r="C627" i="19"/>
  <c r="C628" i="19"/>
  <c r="D619" i="19"/>
  <c r="C619" i="19"/>
  <c r="D611" i="19"/>
  <c r="D612" i="19"/>
  <c r="D613" i="19"/>
  <c r="D614" i="19"/>
  <c r="D615" i="19"/>
  <c r="D616" i="19"/>
  <c r="D617" i="19"/>
  <c r="D618" i="19"/>
  <c r="D610" i="19"/>
  <c r="C611" i="19"/>
  <c r="C612" i="19"/>
  <c r="C613" i="19"/>
  <c r="C614" i="19"/>
  <c r="C615" i="19"/>
  <c r="S91" i="4" s="1"/>
  <c r="C616" i="19"/>
  <c r="C617" i="19"/>
  <c r="S92" i="4" s="1"/>
  <c r="C618" i="19"/>
  <c r="C610" i="19"/>
  <c r="C601" i="19"/>
  <c r="C602" i="19"/>
  <c r="C603" i="19"/>
  <c r="S90" i="4" s="1"/>
  <c r="C604" i="19"/>
  <c r="C605" i="19"/>
  <c r="C606" i="19"/>
  <c r="C607" i="19"/>
  <c r="C600" i="19"/>
  <c r="C590" i="19"/>
  <c r="C591" i="19"/>
  <c r="C592" i="19"/>
  <c r="C593" i="19"/>
  <c r="C594" i="19"/>
  <c r="C595" i="19"/>
  <c r="C596" i="19"/>
  <c r="S89" i="4" s="1"/>
  <c r="C597" i="19"/>
  <c r="C598" i="19"/>
  <c r="C599" i="19"/>
  <c r="C583" i="19"/>
  <c r="C584" i="19"/>
  <c r="C585" i="19"/>
  <c r="C586" i="19"/>
  <c r="C587" i="19"/>
  <c r="C588" i="19"/>
  <c r="C589" i="19"/>
  <c r="S88" i="4" s="1"/>
  <c r="C573" i="19"/>
  <c r="C574" i="19"/>
  <c r="C575" i="19"/>
  <c r="S86" i="4" s="1"/>
  <c r="C571" i="19"/>
  <c r="C572" i="19"/>
  <c r="C570" i="19"/>
  <c r="S85" i="4" s="1"/>
  <c r="C576" i="19"/>
  <c r="C577" i="19"/>
  <c r="C578" i="19"/>
  <c r="C579" i="19"/>
  <c r="C580" i="19"/>
  <c r="C581" i="19"/>
  <c r="C582" i="19"/>
  <c r="S87" i="4" s="1"/>
  <c r="C752" i="13"/>
  <c r="R111" i="4" s="1"/>
  <c r="C746" i="13"/>
  <c r="C744" i="13"/>
  <c r="R110" i="4" s="1"/>
  <c r="C620" i="13"/>
  <c r="R92" i="4" s="1"/>
  <c r="C613" i="13"/>
  <c r="R91" i="4" s="1"/>
  <c r="C607" i="13"/>
  <c r="C604" i="13"/>
  <c r="R90" i="4" s="1"/>
  <c r="C599" i="13"/>
  <c r="C597" i="13"/>
  <c r="R89" i="4" s="1"/>
  <c r="C592" i="13"/>
  <c r="C591" i="13"/>
  <c r="R88" i="4" s="1"/>
  <c r="C578" i="13"/>
  <c r="R86" i="4" s="1"/>
  <c r="C745" i="11"/>
  <c r="C746" i="11"/>
  <c r="D745" i="11"/>
  <c r="D746" i="11"/>
  <c r="C739" i="11"/>
  <c r="C740" i="11"/>
  <c r="C741" i="11"/>
  <c r="C742" i="11"/>
  <c r="C743" i="11"/>
  <c r="P110" i="4" s="1"/>
  <c r="C744" i="11"/>
  <c r="C738" i="11"/>
  <c r="C737" i="11"/>
  <c r="P109" i="4" s="1"/>
  <c r="C600" i="11"/>
  <c r="C598" i="11"/>
  <c r="P89" i="4" s="1"/>
  <c r="D587" i="11"/>
  <c r="P87" i="4" s="1"/>
  <c r="C737" i="17"/>
  <c r="N109" i="4" s="1"/>
  <c r="C603" i="17"/>
  <c r="N90" i="4" s="1"/>
  <c r="D591" i="17"/>
  <c r="D592" i="17"/>
  <c r="D590" i="17"/>
  <c r="D589" i="17"/>
  <c r="D588" i="17"/>
  <c r="C590" i="17"/>
  <c r="C589" i="17"/>
  <c r="N88" i="4" s="1"/>
  <c r="C588" i="17"/>
  <c r="N87" i="4" s="1"/>
  <c r="C591" i="17"/>
  <c r="C592" i="17"/>
  <c r="D593" i="17"/>
  <c r="C593" i="17"/>
  <c r="D594" i="17"/>
  <c r="C594" i="17"/>
  <c r="C751" i="14"/>
  <c r="D750" i="14"/>
  <c r="D749" i="14"/>
  <c r="D748" i="14"/>
  <c r="C750" i="14"/>
  <c r="M111" i="4" s="1"/>
  <c r="C749" i="14"/>
  <c r="C748" i="14"/>
  <c r="D747" i="14"/>
  <c r="C747" i="14"/>
  <c r="C746" i="14"/>
  <c r="C745" i="14"/>
  <c r="C744" i="14"/>
  <c r="D742" i="14"/>
  <c r="D743" i="14"/>
  <c r="C742" i="14"/>
  <c r="C743" i="14"/>
  <c r="M110" i="4" s="1"/>
  <c r="D741" i="14"/>
  <c r="C741" i="14"/>
  <c r="C740" i="14"/>
  <c r="C739" i="14"/>
  <c r="D735" i="14"/>
  <c r="D736" i="14"/>
  <c r="D737" i="14"/>
  <c r="D734" i="14"/>
  <c r="C735" i="14"/>
  <c r="C736" i="14"/>
  <c r="M109" i="4" s="1"/>
  <c r="C737" i="14"/>
  <c r="C734" i="14"/>
  <c r="M108" i="4" s="1"/>
  <c r="D598" i="14"/>
  <c r="M89" i="4" s="1"/>
  <c r="C592" i="14"/>
  <c r="M88" i="4" s="1"/>
  <c r="C736" i="6"/>
  <c r="C737" i="6"/>
  <c r="C735" i="6"/>
  <c r="L108" i="4" s="1"/>
  <c r="C581" i="6"/>
  <c r="C582" i="6"/>
  <c r="L87" i="4" s="1"/>
  <c r="C583" i="6"/>
  <c r="C584" i="6"/>
  <c r="C585" i="6"/>
  <c r="C586" i="6"/>
  <c r="C587" i="6"/>
  <c r="C588" i="6"/>
  <c r="C589" i="6"/>
  <c r="L88" i="4" s="1"/>
  <c r="C590" i="6"/>
  <c r="C591" i="6"/>
  <c r="C592" i="6"/>
  <c r="C593" i="6"/>
  <c r="C579" i="6"/>
  <c r="C580" i="6"/>
  <c r="C578" i="6"/>
  <c r="C577" i="6"/>
  <c r="C573" i="6"/>
  <c r="C574" i="6"/>
  <c r="C575" i="6"/>
  <c r="L86" i="4" s="1"/>
  <c r="C576" i="6"/>
  <c r="C572" i="6"/>
  <c r="C571" i="6"/>
  <c r="C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70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51" i="6"/>
  <c r="L82" i="4" s="1"/>
  <c r="C744" i="7"/>
  <c r="K110" i="4" s="1"/>
  <c r="C742" i="7"/>
  <c r="C741" i="7"/>
  <c r="C739" i="7"/>
  <c r="K109" i="4" s="1"/>
  <c r="D747" i="18"/>
  <c r="C743" i="18"/>
  <c r="J110" i="4" s="1"/>
  <c r="C741" i="18"/>
  <c r="C742" i="18"/>
  <c r="C740" i="18"/>
  <c r="C739" i="18"/>
  <c r="D739" i="18"/>
  <c r="C738" i="18"/>
  <c r="C737" i="18"/>
  <c r="J109" i="4" s="1"/>
  <c r="C734" i="18"/>
  <c r="C733" i="18"/>
  <c r="C732" i="18"/>
  <c r="J108" i="4" s="1"/>
  <c r="C598" i="18"/>
  <c r="J89" i="4" s="1"/>
  <c r="C591" i="18"/>
  <c r="J88" i="4" s="1"/>
  <c r="C584" i="18"/>
  <c r="C577" i="18"/>
  <c r="D577" i="18"/>
  <c r="D578" i="18"/>
  <c r="C573" i="18"/>
  <c r="D576" i="18"/>
  <c r="J86" i="4" s="1"/>
  <c r="D736" i="16"/>
  <c r="D737" i="16"/>
  <c r="D738" i="16"/>
  <c r="D735" i="16"/>
  <c r="C736" i="16"/>
  <c r="C737" i="16"/>
  <c r="C738" i="16"/>
  <c r="C735" i="16"/>
  <c r="D734" i="16"/>
  <c r="C734" i="16"/>
  <c r="I108" i="4" s="1"/>
  <c r="C630" i="16"/>
  <c r="C631" i="16"/>
  <c r="C632" i="16"/>
  <c r="C633" i="16"/>
  <c r="C634" i="16"/>
  <c r="C629" i="16"/>
  <c r="C627" i="16"/>
  <c r="C628" i="16"/>
  <c r="C626" i="16"/>
  <c r="D605" i="16"/>
  <c r="D606" i="16"/>
  <c r="D607" i="16"/>
  <c r="D608" i="16"/>
  <c r="D609" i="16"/>
  <c r="D610" i="16"/>
  <c r="C605" i="16"/>
  <c r="C606" i="16"/>
  <c r="C607" i="16"/>
  <c r="C608" i="16"/>
  <c r="C609" i="16"/>
  <c r="C610" i="16"/>
  <c r="I91" i="4" s="1"/>
  <c r="D604" i="16"/>
  <c r="C604" i="16"/>
  <c r="D591" i="16"/>
  <c r="D590" i="16"/>
  <c r="D592" i="16"/>
  <c r="D593" i="16"/>
  <c r="D594" i="16"/>
  <c r="D595" i="16"/>
  <c r="D596" i="16"/>
  <c r="D597" i="16"/>
  <c r="C592" i="16"/>
  <c r="C593" i="16"/>
  <c r="C594" i="16"/>
  <c r="C595" i="16"/>
  <c r="C596" i="16"/>
  <c r="C597" i="16"/>
  <c r="C591" i="16"/>
  <c r="C590" i="16"/>
  <c r="D598" i="16"/>
  <c r="C598" i="16"/>
  <c r="D582" i="16"/>
  <c r="C582" i="16"/>
  <c r="C583" i="16"/>
  <c r="C584" i="16"/>
  <c r="C585" i="16"/>
  <c r="C586" i="16"/>
  <c r="C587" i="16"/>
  <c r="C588" i="16"/>
  <c r="C589" i="16"/>
  <c r="D583" i="16"/>
  <c r="D584" i="16"/>
  <c r="D585" i="16"/>
  <c r="D586" i="16"/>
  <c r="D587" i="16"/>
  <c r="D588" i="16"/>
  <c r="D589" i="16"/>
  <c r="C578" i="16"/>
  <c r="C579" i="16"/>
  <c r="C580" i="16"/>
  <c r="C581" i="16"/>
  <c r="C577" i="16"/>
  <c r="D577" i="16"/>
  <c r="D578" i="16"/>
  <c r="D579" i="16"/>
  <c r="D580" i="16"/>
  <c r="D581" i="16"/>
  <c r="C576" i="16"/>
  <c r="D569" i="16"/>
  <c r="D570" i="16"/>
  <c r="D571" i="16"/>
  <c r="D572" i="16"/>
  <c r="D573" i="16"/>
  <c r="D574" i="16"/>
  <c r="D575" i="16"/>
  <c r="D568" i="16"/>
  <c r="C568" i="16"/>
  <c r="C570" i="16"/>
  <c r="C571" i="16"/>
  <c r="C572" i="16"/>
  <c r="C573" i="16"/>
  <c r="C574" i="16"/>
  <c r="C575" i="16"/>
  <c r="C569" i="16"/>
  <c r="AT85" i="4"/>
  <c r="AT84" i="4"/>
  <c r="AT83" i="4"/>
  <c r="AT82" i="4"/>
  <c r="AT81" i="4"/>
  <c r="AT80" i="4"/>
  <c r="AS85" i="4"/>
  <c r="AS84" i="4"/>
  <c r="AS83" i="4"/>
  <c r="AS82" i="4"/>
  <c r="AS81" i="4"/>
  <c r="AS80" i="4"/>
  <c r="AR85" i="4"/>
  <c r="AR84" i="4"/>
  <c r="AR83" i="4"/>
  <c r="AR82" i="4"/>
  <c r="AR81" i="4"/>
  <c r="AR80" i="4"/>
  <c r="AQ85" i="4"/>
  <c r="AQ84" i="4"/>
  <c r="AQ83" i="4"/>
  <c r="AQ82" i="4"/>
  <c r="AQ81" i="4"/>
  <c r="AQ80" i="4"/>
  <c r="AP83" i="4"/>
  <c r="AP82" i="4"/>
  <c r="AP81" i="4"/>
  <c r="AP80" i="4"/>
  <c r="AO85" i="4"/>
  <c r="AO84" i="4"/>
  <c r="AO83" i="4"/>
  <c r="AO82" i="4"/>
  <c r="AO81" i="4"/>
  <c r="AO80" i="4"/>
  <c r="AM85" i="4"/>
  <c r="AM84" i="4"/>
  <c r="AM83" i="4"/>
  <c r="AM82" i="4"/>
  <c r="AM81" i="4"/>
  <c r="AM80" i="4"/>
  <c r="T85" i="4"/>
  <c r="T84" i="4"/>
  <c r="T83" i="4"/>
  <c r="T82" i="4"/>
  <c r="T81" i="4"/>
  <c r="T80" i="4"/>
  <c r="AL85" i="4"/>
  <c r="AL84" i="4"/>
  <c r="AL83" i="4"/>
  <c r="AL82" i="4"/>
  <c r="AL81" i="4"/>
  <c r="AL80" i="4"/>
  <c r="AK85" i="4"/>
  <c r="AK84" i="4"/>
  <c r="AK83" i="4"/>
  <c r="AK82" i="4"/>
  <c r="AK81" i="4"/>
  <c r="AK80" i="4"/>
  <c r="AI85" i="4"/>
  <c r="AI84" i="4"/>
  <c r="AI83" i="4"/>
  <c r="AI82" i="4"/>
  <c r="AI81" i="4"/>
  <c r="AI80" i="4"/>
  <c r="AH84" i="4"/>
  <c r="AH83" i="4"/>
  <c r="AH82" i="4"/>
  <c r="AH81" i="4"/>
  <c r="AH80" i="4"/>
  <c r="AG84" i="4"/>
  <c r="AG83" i="4"/>
  <c r="AG82" i="4"/>
  <c r="AG81" i="4"/>
  <c r="AG80" i="4"/>
  <c r="AF85" i="4"/>
  <c r="AF84" i="4"/>
  <c r="AF83" i="4"/>
  <c r="AF82" i="4"/>
  <c r="AF81" i="4"/>
  <c r="AF80" i="4"/>
  <c r="AE85" i="4"/>
  <c r="AE84" i="4"/>
  <c r="AE83" i="4"/>
  <c r="AE82" i="4"/>
  <c r="AE81" i="4"/>
  <c r="AE80" i="4"/>
  <c r="AD85" i="4"/>
  <c r="AD84" i="4"/>
  <c r="AD83" i="4"/>
  <c r="AD82" i="4"/>
  <c r="AD81" i="4"/>
  <c r="AD80" i="4"/>
  <c r="AC83" i="4"/>
  <c r="AC82" i="4"/>
  <c r="AC81" i="4"/>
  <c r="AC80" i="4"/>
  <c r="AA84" i="4"/>
  <c r="AA81" i="4"/>
  <c r="AA80" i="4"/>
  <c r="Z85" i="4"/>
  <c r="Z84" i="4"/>
  <c r="Z83" i="4"/>
  <c r="Z82" i="4"/>
  <c r="Z81" i="4"/>
  <c r="Z80" i="4"/>
  <c r="Y84" i="4"/>
  <c r="Y83" i="4"/>
  <c r="Y82" i="4"/>
  <c r="Y81" i="4"/>
  <c r="Y80" i="4"/>
  <c r="W85" i="4"/>
  <c r="W84" i="4"/>
  <c r="W83" i="4"/>
  <c r="W82" i="4"/>
  <c r="W81" i="4"/>
  <c r="W80" i="4"/>
  <c r="R85" i="4"/>
  <c r="R84" i="4"/>
  <c r="R83" i="4"/>
  <c r="R82" i="4"/>
  <c r="R81" i="4"/>
  <c r="R80" i="4"/>
  <c r="Q85" i="4"/>
  <c r="Q84" i="4"/>
  <c r="Q83" i="4"/>
  <c r="Q82" i="4"/>
  <c r="Q81" i="4"/>
  <c r="Q80" i="4"/>
  <c r="N85" i="4"/>
  <c r="N84" i="4"/>
  <c r="N83" i="4"/>
  <c r="N82" i="4"/>
  <c r="N81" i="4"/>
  <c r="N80" i="4"/>
  <c r="V85" i="4"/>
  <c r="V84" i="4"/>
  <c r="V83" i="4"/>
  <c r="V82" i="4"/>
  <c r="V81" i="4"/>
  <c r="V80" i="4"/>
  <c r="P85" i="4"/>
  <c r="P84" i="4"/>
  <c r="P83" i="4"/>
  <c r="P82" i="4"/>
  <c r="P81" i="4"/>
  <c r="P80" i="4"/>
  <c r="O85" i="4"/>
  <c r="O84" i="4"/>
  <c r="O83" i="4"/>
  <c r="O82" i="4"/>
  <c r="O81" i="4"/>
  <c r="O80" i="4"/>
  <c r="U85" i="4"/>
  <c r="U84" i="4"/>
  <c r="U83" i="4"/>
  <c r="U82" i="4"/>
  <c r="U81" i="4"/>
  <c r="U80" i="4"/>
  <c r="J85" i="4"/>
  <c r="J84" i="4"/>
  <c r="J83" i="4"/>
  <c r="J82" i="4"/>
  <c r="J81" i="4"/>
  <c r="J80" i="4"/>
  <c r="I84" i="4"/>
  <c r="I83" i="4"/>
  <c r="I82" i="4"/>
  <c r="I81" i="4"/>
  <c r="I80" i="4"/>
  <c r="M85" i="4"/>
  <c r="M84" i="4"/>
  <c r="M83" i="4"/>
  <c r="M82" i="4"/>
  <c r="M81" i="4"/>
  <c r="M80" i="4"/>
  <c r="K85" i="4"/>
  <c r="K84" i="4"/>
  <c r="K83" i="4"/>
  <c r="K82" i="4"/>
  <c r="K81" i="4"/>
  <c r="K80" i="4"/>
  <c r="L81" i="4"/>
  <c r="L80" i="4"/>
  <c r="AC79" i="4"/>
  <c r="AC78" i="4"/>
  <c r="AC77" i="4"/>
  <c r="AC74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C374" i="55"/>
  <c r="C562" i="50"/>
  <c r="C561" i="50"/>
  <c r="C563" i="50"/>
  <c r="C269" i="37"/>
  <c r="C270" i="37"/>
  <c r="C271" i="37"/>
  <c r="C375" i="55"/>
  <c r="C373" i="55"/>
  <c r="C288" i="50"/>
  <c r="AP45" i="4" s="1"/>
  <c r="AN80" i="4"/>
  <c r="AN69" i="4"/>
  <c r="AN65" i="4"/>
  <c r="AN54" i="4"/>
  <c r="C444" i="45"/>
  <c r="C443" i="45"/>
  <c r="C442" i="45"/>
  <c r="C441" i="45"/>
  <c r="C440" i="45"/>
  <c r="AM66" i="4" s="1"/>
  <c r="C507" i="39"/>
  <c r="AI76" i="4" s="1"/>
  <c r="C505" i="39"/>
  <c r="C568" i="31"/>
  <c r="AC85" i="4" s="1"/>
  <c r="C567" i="31"/>
  <c r="C566" i="31"/>
  <c r="C565" i="31"/>
  <c r="C505" i="31"/>
  <c r="C504" i="31"/>
  <c r="C503" i="31"/>
  <c r="C487" i="31"/>
  <c r="C486" i="31"/>
  <c r="C485" i="31"/>
  <c r="C484" i="31"/>
  <c r="C483" i="31"/>
  <c r="C373" i="31"/>
  <c r="C372" i="31"/>
  <c r="AC57" i="4" s="1"/>
  <c r="C371" i="31"/>
  <c r="C370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1" i="30"/>
  <c r="C540" i="30"/>
  <c r="AB81" i="4" s="1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19" i="30"/>
  <c r="AB78" i="4" s="1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00" i="30"/>
  <c r="AB61" i="4" s="1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3" i="30"/>
  <c r="C382" i="30"/>
  <c r="C381" i="30"/>
  <c r="C380" i="30"/>
  <c r="C379" i="30"/>
  <c r="C365" i="30"/>
  <c r="AB56" i="4" s="1"/>
  <c r="C364" i="30"/>
  <c r="C363" i="30"/>
  <c r="C362" i="30"/>
  <c r="C361" i="30"/>
  <c r="C360" i="30"/>
  <c r="C359" i="30"/>
  <c r="C358" i="30"/>
  <c r="C357" i="30"/>
  <c r="C356" i="30"/>
  <c r="C355" i="30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C542" i="26"/>
  <c r="C541" i="26"/>
  <c r="C540" i="26"/>
  <c r="C539" i="26"/>
  <c r="C538" i="26"/>
  <c r="C537" i="26"/>
  <c r="C536" i="26"/>
  <c r="C535" i="26"/>
  <c r="C534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C522" i="26"/>
  <c r="C521" i="26"/>
  <c r="C520" i="26"/>
  <c r="C519" i="26"/>
  <c r="C518" i="26"/>
  <c r="C517" i="26"/>
  <c r="C516" i="26"/>
  <c r="C515" i="26"/>
  <c r="C514" i="26"/>
  <c r="C513" i="26"/>
  <c r="C512" i="26"/>
  <c r="C511" i="26"/>
  <c r="C510" i="26"/>
  <c r="C509" i="26"/>
  <c r="C508" i="26"/>
  <c r="C507" i="26"/>
  <c r="C506" i="26"/>
  <c r="C505" i="26"/>
  <c r="C504" i="26"/>
  <c r="C503" i="26"/>
  <c r="C502" i="26"/>
  <c r="C510" i="19"/>
  <c r="C509" i="19"/>
  <c r="C508" i="19"/>
  <c r="C507" i="19"/>
  <c r="C506" i="19"/>
  <c r="C505" i="19"/>
  <c r="S76" i="4" s="1"/>
  <c r="C504" i="19"/>
  <c r="S75" i="4" s="1"/>
  <c r="C503" i="19"/>
  <c r="C502" i="19"/>
  <c r="C501" i="19"/>
  <c r="C500" i="19"/>
  <c r="C499" i="19"/>
  <c r="C498" i="19"/>
  <c r="C497" i="19"/>
  <c r="C496" i="19"/>
  <c r="C495" i="19"/>
  <c r="C494" i="19"/>
  <c r="D493" i="19"/>
  <c r="C493" i="19"/>
  <c r="D492" i="19"/>
  <c r="C492" i="19"/>
  <c r="D491" i="19"/>
  <c r="C491" i="19"/>
  <c r="S74" i="4" s="1"/>
  <c r="D490" i="19"/>
  <c r="C490" i="19"/>
  <c r="D489" i="19"/>
  <c r="C489" i="19"/>
  <c r="D488" i="19"/>
  <c r="C488" i="19"/>
  <c r="D487" i="19"/>
  <c r="C487" i="19"/>
  <c r="D486" i="19"/>
  <c r="C486" i="19"/>
  <c r="D485" i="19"/>
  <c r="C485" i="19"/>
  <c r="D484" i="19"/>
  <c r="C484" i="19"/>
  <c r="S73" i="4" s="1"/>
  <c r="D483" i="19"/>
  <c r="C483" i="19"/>
  <c r="D482" i="19"/>
  <c r="C482" i="19"/>
  <c r="C480" i="19"/>
  <c r="C479" i="19"/>
  <c r="C478" i="19"/>
  <c r="C477" i="19"/>
  <c r="S72" i="4" s="1"/>
  <c r="C476" i="19"/>
  <c r="C475" i="19"/>
  <c r="C474" i="19"/>
  <c r="C473" i="19"/>
  <c r="S71" i="4" s="1"/>
  <c r="C346" i="19"/>
  <c r="C345" i="19"/>
  <c r="C344" i="19"/>
  <c r="S53" i="4" s="1"/>
  <c r="C343" i="19"/>
  <c r="C342" i="19"/>
  <c r="C341" i="19"/>
  <c r="C340" i="19"/>
  <c r="C339" i="19"/>
  <c r="C338" i="19"/>
  <c r="C337" i="19"/>
  <c r="S52" i="4" s="1"/>
  <c r="C336" i="19"/>
  <c r="C335" i="19"/>
  <c r="C334" i="19"/>
  <c r="S51" i="4" s="1"/>
  <c r="C497" i="17"/>
  <c r="C496" i="17"/>
  <c r="C495" i="17"/>
  <c r="C490" i="17"/>
  <c r="C489" i="17"/>
  <c r="C488" i="17"/>
  <c r="C505" i="16"/>
  <c r="I76" i="4" s="1"/>
  <c r="C504" i="16"/>
  <c r="C503" i="16"/>
  <c r="C481" i="16"/>
  <c r="C480" i="16"/>
  <c r="C479" i="16"/>
  <c r="C478" i="16"/>
  <c r="C322" i="14"/>
  <c r="C321" i="14"/>
  <c r="C320" i="14"/>
  <c r="C319" i="14"/>
  <c r="C498" i="11"/>
  <c r="P75" i="4" s="1"/>
  <c r="C497" i="11"/>
  <c r="C496" i="11"/>
  <c r="C495" i="11"/>
  <c r="C487" i="10"/>
  <c r="C486" i="10"/>
  <c r="C485" i="10"/>
  <c r="C484" i="10"/>
  <c r="C483" i="10"/>
  <c r="C482" i="10"/>
  <c r="C481" i="10"/>
  <c r="D364" i="10"/>
  <c r="C364" i="10"/>
  <c r="D363" i="10"/>
  <c r="C363" i="10"/>
  <c r="D362" i="10"/>
  <c r="C362" i="10"/>
  <c r="D361" i="10"/>
  <c r="C361" i="10"/>
  <c r="D360" i="10"/>
  <c r="C360" i="10"/>
  <c r="D359" i="10"/>
  <c r="C359" i="10"/>
  <c r="D358" i="10"/>
  <c r="C358" i="10"/>
  <c r="D453" i="7"/>
  <c r="C453" i="7"/>
  <c r="D452" i="7"/>
  <c r="C452" i="7"/>
  <c r="D451" i="7"/>
  <c r="C451" i="7"/>
  <c r="D450" i="7"/>
  <c r="C450" i="7"/>
  <c r="D521" i="6"/>
  <c r="C521" i="6"/>
  <c r="D520" i="6"/>
  <c r="C520" i="6"/>
  <c r="D519" i="6"/>
  <c r="C519" i="6"/>
  <c r="D518" i="6"/>
  <c r="C518" i="6"/>
  <c r="D517" i="6"/>
  <c r="C517" i="6"/>
  <c r="D516" i="6"/>
  <c r="C516" i="6"/>
  <c r="D515" i="6"/>
  <c r="C515" i="6"/>
  <c r="D514" i="6"/>
  <c r="C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D506" i="6"/>
  <c r="C506" i="6"/>
  <c r="D505" i="6"/>
  <c r="C505" i="6"/>
  <c r="D504" i="6"/>
  <c r="C504" i="6"/>
  <c r="C503" i="6"/>
  <c r="C502" i="6"/>
  <c r="D501" i="6"/>
  <c r="C501" i="6"/>
  <c r="D500" i="6"/>
  <c r="C500" i="6"/>
  <c r="D499" i="6"/>
  <c r="C499" i="6"/>
  <c r="D498" i="6"/>
  <c r="C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D490" i="6"/>
  <c r="C490" i="6"/>
  <c r="D489" i="6"/>
  <c r="C489" i="6"/>
  <c r="D488" i="6"/>
  <c r="C488" i="6"/>
  <c r="D487" i="6"/>
  <c r="C487" i="6"/>
  <c r="D486" i="6"/>
  <c r="C486" i="6"/>
  <c r="C485" i="6"/>
  <c r="C484" i="6"/>
  <c r="C483" i="6"/>
  <c r="D482" i="6"/>
  <c r="C482" i="6"/>
  <c r="D481" i="6"/>
  <c r="C481" i="6"/>
  <c r="D480" i="6"/>
  <c r="C480" i="6"/>
  <c r="D479" i="6"/>
  <c r="C479" i="6"/>
  <c r="D478" i="6"/>
  <c r="C478" i="6"/>
  <c r="D477" i="6"/>
  <c r="C477" i="6"/>
  <c r="D386" i="6"/>
  <c r="C386" i="6"/>
  <c r="D385" i="6"/>
  <c r="C385" i="6"/>
  <c r="D384" i="6"/>
  <c r="C384" i="6"/>
  <c r="D383" i="6"/>
  <c r="C383" i="6"/>
  <c r="D382" i="6"/>
  <c r="C382" i="6"/>
  <c r="C373" i="6"/>
  <c r="C372" i="6"/>
  <c r="L57" i="4" s="1"/>
  <c r="C371" i="6"/>
  <c r="C370" i="6"/>
  <c r="C369" i="6"/>
  <c r="C368" i="6"/>
  <c r="C367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C217" i="6"/>
  <c r="C216" i="6"/>
  <c r="C215" i="6"/>
  <c r="AT79" i="4"/>
  <c r="AS79" i="4"/>
  <c r="AR79" i="4"/>
  <c r="AQ79" i="4"/>
  <c r="AP79" i="4"/>
  <c r="AO79" i="4"/>
  <c r="AM79" i="4"/>
  <c r="T79" i="4"/>
  <c r="AL79" i="4"/>
  <c r="AK79" i="4"/>
  <c r="AI79" i="4"/>
  <c r="AH79" i="4"/>
  <c r="AG79" i="4"/>
  <c r="AF79" i="4"/>
  <c r="AE79" i="4"/>
  <c r="AD79" i="4"/>
  <c r="AA79" i="4"/>
  <c r="Z79" i="4"/>
  <c r="Y79" i="4"/>
  <c r="W79" i="4"/>
  <c r="R79" i="4"/>
  <c r="Q79" i="4"/>
  <c r="N79" i="4"/>
  <c r="V79" i="4"/>
  <c r="P79" i="4"/>
  <c r="O79" i="4"/>
  <c r="U79" i="4"/>
  <c r="J79" i="4"/>
  <c r="I79" i="4"/>
  <c r="M79" i="4"/>
  <c r="K79" i="4"/>
  <c r="L79" i="4"/>
  <c r="AT78" i="4"/>
  <c r="AS78" i="4"/>
  <c r="AR78" i="4"/>
  <c r="AQ78" i="4"/>
  <c r="AP78" i="4"/>
  <c r="AO78" i="4"/>
  <c r="AM78" i="4"/>
  <c r="T78" i="4"/>
  <c r="AL78" i="4"/>
  <c r="AK78" i="4"/>
  <c r="AI78" i="4"/>
  <c r="AH78" i="4"/>
  <c r="AG78" i="4"/>
  <c r="AF78" i="4"/>
  <c r="AE78" i="4"/>
  <c r="AD78" i="4"/>
  <c r="AA78" i="4"/>
  <c r="Z78" i="4"/>
  <c r="Y78" i="4"/>
  <c r="W78" i="4"/>
  <c r="R78" i="4"/>
  <c r="Q78" i="4"/>
  <c r="N78" i="4"/>
  <c r="V78" i="4"/>
  <c r="P78" i="4"/>
  <c r="O78" i="4"/>
  <c r="U78" i="4"/>
  <c r="J78" i="4"/>
  <c r="I78" i="4"/>
  <c r="M78" i="4"/>
  <c r="K78" i="4"/>
  <c r="AT77" i="4"/>
  <c r="AS77" i="4"/>
  <c r="AR77" i="4"/>
  <c r="AQ77" i="4"/>
  <c r="AP77" i="4"/>
  <c r="AO77" i="4"/>
  <c r="AM77" i="4"/>
  <c r="T77" i="4"/>
  <c r="AL77" i="4"/>
  <c r="AK77" i="4"/>
  <c r="AI77" i="4"/>
  <c r="AH77" i="4"/>
  <c r="AG77" i="4"/>
  <c r="AF77" i="4"/>
  <c r="AE77" i="4"/>
  <c r="AD77" i="4"/>
  <c r="AA77" i="4"/>
  <c r="Z77" i="4"/>
  <c r="Y77" i="4"/>
  <c r="W77" i="4"/>
  <c r="R77" i="4"/>
  <c r="Q77" i="4"/>
  <c r="N77" i="4"/>
  <c r="V77" i="4"/>
  <c r="P77" i="4"/>
  <c r="O77" i="4"/>
  <c r="U77" i="4"/>
  <c r="J77" i="4"/>
  <c r="I77" i="4"/>
  <c r="M77" i="4"/>
  <c r="K77" i="4"/>
  <c r="AT76" i="4"/>
  <c r="AS76" i="4"/>
  <c r="AR76" i="4"/>
  <c r="AQ76" i="4"/>
  <c r="AP76" i="4"/>
  <c r="AO76" i="4"/>
  <c r="AM76" i="4"/>
  <c r="T76" i="4"/>
  <c r="AL76" i="4"/>
  <c r="AK76" i="4"/>
  <c r="AH76" i="4"/>
  <c r="AG76" i="4"/>
  <c r="AF76" i="4"/>
  <c r="AE76" i="4"/>
  <c r="AD76" i="4"/>
  <c r="AA76" i="4"/>
  <c r="Z76" i="4"/>
  <c r="Y76" i="4"/>
  <c r="W76" i="4"/>
  <c r="R76" i="4"/>
  <c r="Q76" i="4"/>
  <c r="N76" i="4"/>
  <c r="V76" i="4"/>
  <c r="P76" i="4"/>
  <c r="O76" i="4"/>
  <c r="U76" i="4"/>
  <c r="J76" i="4"/>
  <c r="M76" i="4"/>
  <c r="K76" i="4"/>
  <c r="AT75" i="4"/>
  <c r="AS75" i="4"/>
  <c r="AR75" i="4"/>
  <c r="AQ75" i="4"/>
  <c r="AP75" i="4"/>
  <c r="AO75" i="4"/>
  <c r="AM75" i="4"/>
  <c r="T75" i="4"/>
  <c r="AL75" i="4"/>
  <c r="AK75" i="4"/>
  <c r="AI75" i="4"/>
  <c r="AH75" i="4"/>
  <c r="AG75" i="4"/>
  <c r="AF75" i="4"/>
  <c r="AE75" i="4"/>
  <c r="AD75" i="4"/>
  <c r="AA75" i="4"/>
  <c r="Z75" i="4"/>
  <c r="Y75" i="4"/>
  <c r="W75" i="4"/>
  <c r="R75" i="4"/>
  <c r="Q75" i="4"/>
  <c r="N75" i="4"/>
  <c r="V75" i="4"/>
  <c r="O75" i="4"/>
  <c r="U75" i="4"/>
  <c r="J75" i="4"/>
  <c r="M75" i="4"/>
  <c r="K75" i="4"/>
  <c r="AT74" i="4"/>
  <c r="AS74" i="4"/>
  <c r="AR74" i="4"/>
  <c r="AQ74" i="4"/>
  <c r="AP74" i="4"/>
  <c r="AO74" i="4"/>
  <c r="AN74" i="4"/>
  <c r="AM74" i="4"/>
  <c r="T74" i="4"/>
  <c r="AL74" i="4"/>
  <c r="AK74" i="4"/>
  <c r="AI74" i="4"/>
  <c r="AH74" i="4"/>
  <c r="AG74" i="4"/>
  <c r="AF74" i="4"/>
  <c r="AE74" i="4"/>
  <c r="AD74" i="4"/>
  <c r="AA74" i="4"/>
  <c r="Z74" i="4"/>
  <c r="Y74" i="4"/>
  <c r="X74" i="4"/>
  <c r="W74" i="4"/>
  <c r="R74" i="4"/>
  <c r="Q74" i="4"/>
  <c r="V74" i="4"/>
  <c r="O74" i="4"/>
  <c r="U74" i="4"/>
  <c r="J74" i="4"/>
  <c r="I74" i="4"/>
  <c r="M74" i="4"/>
  <c r="K74" i="4"/>
  <c r="AT73" i="4"/>
  <c r="AS73" i="4"/>
  <c r="AR73" i="4"/>
  <c r="AQ73" i="4"/>
  <c r="AP73" i="4"/>
  <c r="AO73" i="4"/>
  <c r="AM73" i="4"/>
  <c r="T73" i="4"/>
  <c r="AL73" i="4"/>
  <c r="AK73" i="4"/>
  <c r="AI73" i="4"/>
  <c r="AH73" i="4"/>
  <c r="AG73" i="4"/>
  <c r="AF73" i="4"/>
  <c r="AE73" i="4"/>
  <c r="AD73" i="4"/>
  <c r="AA73" i="4"/>
  <c r="Z73" i="4"/>
  <c r="Y73" i="4"/>
  <c r="X73" i="4"/>
  <c r="W73" i="4"/>
  <c r="R73" i="4"/>
  <c r="Q73" i="4"/>
  <c r="V73" i="4"/>
  <c r="P73" i="4"/>
  <c r="U73" i="4"/>
  <c r="J73" i="4"/>
  <c r="I73" i="4"/>
  <c r="M73" i="4"/>
  <c r="K73" i="4"/>
  <c r="AT72" i="4"/>
  <c r="AS72" i="4"/>
  <c r="AR72" i="4"/>
  <c r="AQ72" i="4"/>
  <c r="AP72" i="4"/>
  <c r="AO72" i="4"/>
  <c r="AM72" i="4"/>
  <c r="T72" i="4"/>
  <c r="AL72" i="4"/>
  <c r="AK72" i="4"/>
  <c r="AI72" i="4"/>
  <c r="AH72" i="4"/>
  <c r="AG72" i="4"/>
  <c r="AF72" i="4"/>
  <c r="AE72" i="4"/>
  <c r="AD72" i="4"/>
  <c r="AA72" i="4"/>
  <c r="Z72" i="4"/>
  <c r="Y72" i="4"/>
  <c r="X72" i="4"/>
  <c r="W72" i="4"/>
  <c r="R72" i="4"/>
  <c r="Q72" i="4"/>
  <c r="N72" i="4"/>
  <c r="V72" i="4"/>
  <c r="P72" i="4"/>
  <c r="U72" i="4"/>
  <c r="J72" i="4"/>
  <c r="M72" i="4"/>
  <c r="K72" i="4"/>
  <c r="AT71" i="4"/>
  <c r="AS71" i="4"/>
  <c r="AR71" i="4"/>
  <c r="AQ71" i="4"/>
  <c r="AP71" i="4"/>
  <c r="AO71" i="4"/>
  <c r="AM71" i="4"/>
  <c r="T71" i="4"/>
  <c r="AL71" i="4"/>
  <c r="AK71" i="4"/>
  <c r="AI71" i="4"/>
  <c r="AH71" i="4"/>
  <c r="AG71" i="4"/>
  <c r="AF71" i="4"/>
  <c r="AE71" i="4"/>
  <c r="AD71" i="4"/>
  <c r="AA71" i="4"/>
  <c r="Z71" i="4"/>
  <c r="Y71" i="4"/>
  <c r="X71" i="4"/>
  <c r="W71" i="4"/>
  <c r="R71" i="4"/>
  <c r="Q71" i="4"/>
  <c r="N71" i="4"/>
  <c r="V71" i="4"/>
  <c r="P71" i="4"/>
  <c r="O71" i="4"/>
  <c r="U71" i="4"/>
  <c r="J71" i="4"/>
  <c r="I71" i="4"/>
  <c r="M71" i="4"/>
  <c r="K71" i="4"/>
  <c r="L71" i="4"/>
  <c r="AT70" i="4"/>
  <c r="AS70" i="4"/>
  <c r="AR70" i="4"/>
  <c r="AQ70" i="4"/>
  <c r="AP70" i="4"/>
  <c r="AO70" i="4"/>
  <c r="AM70" i="4"/>
  <c r="T70" i="4"/>
  <c r="AL70" i="4"/>
  <c r="AK70" i="4"/>
  <c r="AI70" i="4"/>
  <c r="AH70" i="4"/>
  <c r="AG70" i="4"/>
  <c r="AF70" i="4"/>
  <c r="AE70" i="4"/>
  <c r="AD70" i="4"/>
  <c r="AA70" i="4"/>
  <c r="Z70" i="4"/>
  <c r="Y70" i="4"/>
  <c r="X70" i="4"/>
  <c r="W70" i="4"/>
  <c r="R70" i="4"/>
  <c r="Q70" i="4"/>
  <c r="N70" i="4"/>
  <c r="V70" i="4"/>
  <c r="P70" i="4"/>
  <c r="O70" i="4"/>
  <c r="U70" i="4"/>
  <c r="J70" i="4"/>
  <c r="I70" i="4"/>
  <c r="M70" i="4"/>
  <c r="K70" i="4"/>
  <c r="L70" i="4"/>
  <c r="AT69" i="4"/>
  <c r="AS69" i="4"/>
  <c r="AR69" i="4"/>
  <c r="AQ69" i="4"/>
  <c r="AP69" i="4"/>
  <c r="AO69" i="4"/>
  <c r="AM69" i="4"/>
  <c r="T69" i="4"/>
  <c r="AL69" i="4"/>
  <c r="AK69" i="4"/>
  <c r="AI69" i="4"/>
  <c r="AH69" i="4"/>
  <c r="AG69" i="4"/>
  <c r="AF69" i="4"/>
  <c r="AE69" i="4"/>
  <c r="AD69" i="4"/>
  <c r="AA69" i="4"/>
  <c r="Z69" i="4"/>
  <c r="Y69" i="4"/>
  <c r="X69" i="4"/>
  <c r="W69" i="4"/>
  <c r="R69" i="4"/>
  <c r="Q69" i="4"/>
  <c r="N69" i="4"/>
  <c r="V69" i="4"/>
  <c r="P69" i="4"/>
  <c r="O69" i="4"/>
  <c r="U69" i="4"/>
  <c r="J69" i="4"/>
  <c r="I69" i="4"/>
  <c r="M69" i="4"/>
  <c r="K69" i="4"/>
  <c r="L69" i="4"/>
  <c r="AT68" i="4"/>
  <c r="AS68" i="4"/>
  <c r="AR68" i="4"/>
  <c r="AQ68" i="4"/>
  <c r="AP68" i="4"/>
  <c r="AO68" i="4"/>
  <c r="AM68" i="4"/>
  <c r="T68" i="4"/>
  <c r="AL68" i="4"/>
  <c r="AK68" i="4"/>
  <c r="AI68" i="4"/>
  <c r="AH68" i="4"/>
  <c r="AG68" i="4"/>
  <c r="AF68" i="4"/>
  <c r="AE68" i="4"/>
  <c r="AD68" i="4"/>
  <c r="AA68" i="4"/>
  <c r="Z68" i="4"/>
  <c r="Y68" i="4"/>
  <c r="X68" i="4"/>
  <c r="W68" i="4"/>
  <c r="R68" i="4"/>
  <c r="Q68" i="4"/>
  <c r="N68" i="4"/>
  <c r="V68" i="4"/>
  <c r="P68" i="4"/>
  <c r="O68" i="4"/>
  <c r="U68" i="4"/>
  <c r="J68" i="4"/>
  <c r="I68" i="4"/>
  <c r="M68" i="4"/>
  <c r="L68" i="4"/>
  <c r="AT67" i="4"/>
  <c r="AS67" i="4"/>
  <c r="AR67" i="4"/>
  <c r="AQ67" i="4"/>
  <c r="AP67" i="4"/>
  <c r="AO67" i="4"/>
  <c r="T67" i="4"/>
  <c r="AL67" i="4"/>
  <c r="AK67" i="4"/>
  <c r="AI67" i="4"/>
  <c r="AH67" i="4"/>
  <c r="AG67" i="4"/>
  <c r="AF67" i="4"/>
  <c r="AE67" i="4"/>
  <c r="AD67" i="4"/>
  <c r="AB67" i="4"/>
  <c r="AA67" i="4"/>
  <c r="Z67" i="4"/>
  <c r="Y67" i="4"/>
  <c r="X67" i="4"/>
  <c r="W67" i="4"/>
  <c r="R67" i="4"/>
  <c r="Q67" i="4"/>
  <c r="N67" i="4"/>
  <c r="V67" i="4"/>
  <c r="P67" i="4"/>
  <c r="O67" i="4"/>
  <c r="U67" i="4"/>
  <c r="J67" i="4"/>
  <c r="I67" i="4"/>
  <c r="M67" i="4"/>
  <c r="K67" i="4"/>
  <c r="L67" i="4"/>
  <c r="AT66" i="4"/>
  <c r="AS66" i="4"/>
  <c r="AR66" i="4"/>
  <c r="AQ66" i="4"/>
  <c r="AP66" i="4"/>
  <c r="AO66" i="4"/>
  <c r="T66" i="4"/>
  <c r="AL66" i="4"/>
  <c r="AK66" i="4"/>
  <c r="AI66" i="4"/>
  <c r="AH66" i="4"/>
  <c r="AG66" i="4"/>
  <c r="AF66" i="4"/>
  <c r="AE66" i="4"/>
  <c r="AD66" i="4"/>
  <c r="AB66" i="4"/>
  <c r="AA66" i="4"/>
  <c r="Z66" i="4"/>
  <c r="Y66" i="4"/>
  <c r="X66" i="4"/>
  <c r="W66" i="4"/>
  <c r="R66" i="4"/>
  <c r="Q66" i="4"/>
  <c r="N66" i="4"/>
  <c r="V66" i="4"/>
  <c r="P66" i="4"/>
  <c r="O66" i="4"/>
  <c r="U66" i="4"/>
  <c r="J66" i="4"/>
  <c r="I66" i="4"/>
  <c r="M66" i="4"/>
  <c r="K66" i="4"/>
  <c r="L66" i="4"/>
  <c r="AT65" i="4"/>
  <c r="AS65" i="4"/>
  <c r="AR65" i="4"/>
  <c r="AQ65" i="4"/>
  <c r="AP65" i="4"/>
  <c r="AO65" i="4"/>
  <c r="AM65" i="4"/>
  <c r="T65" i="4"/>
  <c r="AL65" i="4"/>
  <c r="AK65" i="4"/>
  <c r="AI65" i="4"/>
  <c r="AH65" i="4"/>
  <c r="AG65" i="4"/>
  <c r="AF65" i="4"/>
  <c r="AE65" i="4"/>
  <c r="AD65" i="4"/>
  <c r="AA65" i="4"/>
  <c r="Z65" i="4"/>
  <c r="Y65" i="4"/>
  <c r="X65" i="4"/>
  <c r="W65" i="4"/>
  <c r="R65" i="4"/>
  <c r="Q65" i="4"/>
  <c r="N65" i="4"/>
  <c r="V65" i="4"/>
  <c r="P65" i="4"/>
  <c r="O65" i="4"/>
  <c r="U65" i="4"/>
  <c r="J65" i="4"/>
  <c r="I65" i="4"/>
  <c r="M65" i="4"/>
  <c r="K65" i="4"/>
  <c r="L65" i="4"/>
  <c r="AT64" i="4"/>
  <c r="AS64" i="4"/>
  <c r="AR64" i="4"/>
  <c r="AQ64" i="4"/>
  <c r="AP64" i="4"/>
  <c r="AO64" i="4"/>
  <c r="AN64" i="4"/>
  <c r="AM64" i="4"/>
  <c r="T64" i="4"/>
  <c r="AL64" i="4"/>
  <c r="AK64" i="4"/>
  <c r="AI64" i="4"/>
  <c r="AH64" i="4"/>
  <c r="AG64" i="4"/>
  <c r="AF64" i="4"/>
  <c r="AE64" i="4"/>
  <c r="AD64" i="4"/>
  <c r="AA64" i="4"/>
  <c r="Z64" i="4"/>
  <c r="Y64" i="4"/>
  <c r="X64" i="4"/>
  <c r="W64" i="4"/>
  <c r="R64" i="4"/>
  <c r="Q64" i="4"/>
  <c r="N64" i="4"/>
  <c r="V64" i="4"/>
  <c r="P64" i="4"/>
  <c r="O64" i="4"/>
  <c r="U64" i="4"/>
  <c r="J64" i="4"/>
  <c r="I64" i="4"/>
  <c r="M64" i="4"/>
  <c r="K64" i="4"/>
  <c r="L64" i="4"/>
  <c r="AT63" i="4"/>
  <c r="AS63" i="4"/>
  <c r="AR63" i="4"/>
  <c r="AQ63" i="4"/>
  <c r="AP63" i="4"/>
  <c r="AO63" i="4"/>
  <c r="AN63" i="4"/>
  <c r="AM63" i="4"/>
  <c r="T63" i="4"/>
  <c r="AL63" i="4"/>
  <c r="AK63" i="4"/>
  <c r="AI63" i="4"/>
  <c r="AH63" i="4"/>
  <c r="AG63" i="4"/>
  <c r="AF63" i="4"/>
  <c r="AE63" i="4"/>
  <c r="AD63" i="4"/>
  <c r="AB63" i="4"/>
  <c r="AA63" i="4"/>
  <c r="Z63" i="4"/>
  <c r="Y63" i="4"/>
  <c r="X63" i="4"/>
  <c r="W63" i="4"/>
  <c r="R63" i="4"/>
  <c r="Q63" i="4"/>
  <c r="N63" i="4"/>
  <c r="V63" i="4"/>
  <c r="P63" i="4"/>
  <c r="O63" i="4"/>
  <c r="U63" i="4"/>
  <c r="J63" i="4"/>
  <c r="I63" i="4"/>
  <c r="M63" i="4"/>
  <c r="K63" i="4"/>
  <c r="L63" i="4"/>
  <c r="AT62" i="4"/>
  <c r="AS62" i="4"/>
  <c r="AR62" i="4"/>
  <c r="AQ62" i="4"/>
  <c r="AP62" i="4"/>
  <c r="AO62" i="4"/>
  <c r="AN62" i="4"/>
  <c r="AM62" i="4"/>
  <c r="T62" i="4"/>
  <c r="AL62" i="4"/>
  <c r="AK62" i="4"/>
  <c r="AI62" i="4"/>
  <c r="AH62" i="4"/>
  <c r="AG62" i="4"/>
  <c r="AF62" i="4"/>
  <c r="AE62" i="4"/>
  <c r="AD62" i="4"/>
  <c r="AB62" i="4"/>
  <c r="AA62" i="4"/>
  <c r="Z62" i="4"/>
  <c r="Y62" i="4"/>
  <c r="X62" i="4"/>
  <c r="W62" i="4"/>
  <c r="R62" i="4"/>
  <c r="Q62" i="4"/>
  <c r="N62" i="4"/>
  <c r="V62" i="4"/>
  <c r="P62" i="4"/>
  <c r="O62" i="4"/>
  <c r="U62" i="4"/>
  <c r="J62" i="4"/>
  <c r="I62" i="4"/>
  <c r="M62" i="4"/>
  <c r="K62" i="4"/>
  <c r="L62" i="4"/>
  <c r="AT61" i="4"/>
  <c r="AS61" i="4"/>
  <c r="AR61" i="4"/>
  <c r="AQ61" i="4"/>
  <c r="AP61" i="4"/>
  <c r="AO61" i="4"/>
  <c r="AM61" i="4"/>
  <c r="T61" i="4"/>
  <c r="AL61" i="4"/>
  <c r="AK61" i="4"/>
  <c r="AI61" i="4"/>
  <c r="AH61" i="4"/>
  <c r="AG61" i="4"/>
  <c r="AF61" i="4"/>
  <c r="AE61" i="4"/>
  <c r="AD61" i="4"/>
  <c r="AA61" i="4"/>
  <c r="Z61" i="4"/>
  <c r="Y61" i="4"/>
  <c r="X61" i="4"/>
  <c r="W61" i="4"/>
  <c r="R61" i="4"/>
  <c r="Q61" i="4"/>
  <c r="N61" i="4"/>
  <c r="V61" i="4"/>
  <c r="P61" i="4"/>
  <c r="O61" i="4"/>
  <c r="U61" i="4"/>
  <c r="J61" i="4"/>
  <c r="I61" i="4"/>
  <c r="M61" i="4"/>
  <c r="K61" i="4"/>
  <c r="L61" i="4"/>
  <c r="AT60" i="4"/>
  <c r="AS60" i="4"/>
  <c r="AR60" i="4"/>
  <c r="AQ60" i="4"/>
  <c r="AP60" i="4"/>
  <c r="AO60" i="4"/>
  <c r="AM60" i="4"/>
  <c r="T60" i="4"/>
  <c r="AL60" i="4"/>
  <c r="AK60" i="4"/>
  <c r="AI60" i="4"/>
  <c r="AH60" i="4"/>
  <c r="AG60" i="4"/>
  <c r="AF60" i="4"/>
  <c r="AE60" i="4"/>
  <c r="AD60" i="4"/>
  <c r="AA60" i="4"/>
  <c r="Z60" i="4"/>
  <c r="Y60" i="4"/>
  <c r="X60" i="4"/>
  <c r="W60" i="4"/>
  <c r="R60" i="4"/>
  <c r="Q60" i="4"/>
  <c r="N60" i="4"/>
  <c r="V60" i="4"/>
  <c r="P60" i="4"/>
  <c r="O60" i="4"/>
  <c r="U60" i="4"/>
  <c r="J60" i="4"/>
  <c r="I60" i="4"/>
  <c r="M60" i="4"/>
  <c r="K60" i="4"/>
  <c r="L60" i="4"/>
  <c r="AT59" i="4"/>
  <c r="AS59" i="4"/>
  <c r="AR59" i="4"/>
  <c r="AQ59" i="4"/>
  <c r="AP59" i="4"/>
  <c r="AO59" i="4"/>
  <c r="AM59" i="4"/>
  <c r="T59" i="4"/>
  <c r="AL59" i="4"/>
  <c r="AK59" i="4"/>
  <c r="AI59" i="4"/>
  <c r="AH59" i="4"/>
  <c r="AG59" i="4"/>
  <c r="AF59" i="4"/>
  <c r="AE59" i="4"/>
  <c r="AD59" i="4"/>
  <c r="AA59" i="4"/>
  <c r="Z59" i="4"/>
  <c r="Y59" i="4"/>
  <c r="X59" i="4"/>
  <c r="W59" i="4"/>
  <c r="R59" i="4"/>
  <c r="Q59" i="4"/>
  <c r="N59" i="4"/>
  <c r="V59" i="4"/>
  <c r="P59" i="4"/>
  <c r="O59" i="4"/>
  <c r="U59" i="4"/>
  <c r="J59" i="4"/>
  <c r="I59" i="4"/>
  <c r="M59" i="4"/>
  <c r="K59" i="4"/>
  <c r="AT58" i="4"/>
  <c r="AS58" i="4"/>
  <c r="AR58" i="4"/>
  <c r="AQ58" i="4"/>
  <c r="AP58" i="4"/>
  <c r="AO58" i="4"/>
  <c r="AM58" i="4"/>
  <c r="T58" i="4"/>
  <c r="AL58" i="4"/>
  <c r="AK58" i="4"/>
  <c r="AI58" i="4"/>
  <c r="AH58" i="4"/>
  <c r="AG58" i="4"/>
  <c r="AF58" i="4"/>
  <c r="AE58" i="4"/>
  <c r="AD58" i="4"/>
  <c r="AA58" i="4"/>
  <c r="Z58" i="4"/>
  <c r="Y58" i="4"/>
  <c r="X58" i="4"/>
  <c r="W58" i="4"/>
  <c r="R58" i="4"/>
  <c r="Q58" i="4"/>
  <c r="N58" i="4"/>
  <c r="V58" i="4"/>
  <c r="P58" i="4"/>
  <c r="O58" i="4"/>
  <c r="U58" i="4"/>
  <c r="J58" i="4"/>
  <c r="I58" i="4"/>
  <c r="M58" i="4"/>
  <c r="K58" i="4"/>
  <c r="AS57" i="4"/>
  <c r="AR57" i="4"/>
  <c r="AQ57" i="4"/>
  <c r="AP57" i="4"/>
  <c r="AO57" i="4"/>
  <c r="AM57" i="4"/>
  <c r="T57" i="4"/>
  <c r="AL57" i="4"/>
  <c r="AK57" i="4"/>
  <c r="AI57" i="4"/>
  <c r="AH57" i="4"/>
  <c r="AG57" i="4"/>
  <c r="AF57" i="4"/>
  <c r="AE57" i="4"/>
  <c r="AD57" i="4"/>
  <c r="AB57" i="4"/>
  <c r="AA57" i="4"/>
  <c r="Z57" i="4"/>
  <c r="Y57" i="4"/>
  <c r="X57" i="4"/>
  <c r="W57" i="4"/>
  <c r="R57" i="4"/>
  <c r="Q57" i="4"/>
  <c r="N57" i="4"/>
  <c r="V57" i="4"/>
  <c r="P57" i="4"/>
  <c r="O57" i="4"/>
  <c r="U57" i="4"/>
  <c r="J57" i="4"/>
  <c r="I57" i="4"/>
  <c r="M57" i="4"/>
  <c r="K57" i="4"/>
  <c r="AT56" i="4"/>
  <c r="AS56" i="4"/>
  <c r="AR56" i="4"/>
  <c r="AQ56" i="4"/>
  <c r="AP56" i="4"/>
  <c r="AO56" i="4"/>
  <c r="AM56" i="4"/>
  <c r="T56" i="4"/>
  <c r="AL56" i="4"/>
  <c r="AK56" i="4"/>
  <c r="AI56" i="4"/>
  <c r="AH56" i="4"/>
  <c r="AG56" i="4"/>
  <c r="AF56" i="4"/>
  <c r="AE56" i="4"/>
  <c r="AD56" i="4"/>
  <c r="AA56" i="4"/>
  <c r="Z56" i="4"/>
  <c r="Y56" i="4"/>
  <c r="X56" i="4"/>
  <c r="W56" i="4"/>
  <c r="R56" i="4"/>
  <c r="Q56" i="4"/>
  <c r="N56" i="4"/>
  <c r="V56" i="4"/>
  <c r="P56" i="4"/>
  <c r="O56" i="4"/>
  <c r="U56" i="4"/>
  <c r="J56" i="4"/>
  <c r="I56" i="4"/>
  <c r="M56" i="4"/>
  <c r="K56" i="4"/>
  <c r="AT55" i="4"/>
  <c r="AS55" i="4"/>
  <c r="AR55" i="4"/>
  <c r="AQ55" i="4"/>
  <c r="AP55" i="4"/>
  <c r="AO55" i="4"/>
  <c r="AM55" i="4"/>
  <c r="T55" i="4"/>
  <c r="AL55" i="4"/>
  <c r="AK55" i="4"/>
  <c r="AI55" i="4"/>
  <c r="AH55" i="4"/>
  <c r="AG55" i="4"/>
  <c r="AF55" i="4"/>
  <c r="AE55" i="4"/>
  <c r="AD55" i="4"/>
  <c r="AA55" i="4"/>
  <c r="Z55" i="4"/>
  <c r="Y55" i="4"/>
  <c r="X55" i="4"/>
  <c r="W55" i="4"/>
  <c r="R55" i="4"/>
  <c r="Q55" i="4"/>
  <c r="N55" i="4"/>
  <c r="V55" i="4"/>
  <c r="P55" i="4"/>
  <c r="U55" i="4"/>
  <c r="J55" i="4"/>
  <c r="I55" i="4"/>
  <c r="M55" i="4"/>
  <c r="K55" i="4"/>
  <c r="L55" i="4"/>
  <c r="AT54" i="4"/>
  <c r="AS54" i="4"/>
  <c r="AR54" i="4"/>
  <c r="AQ54" i="4"/>
  <c r="AP54" i="4"/>
  <c r="AO54" i="4"/>
  <c r="AM54" i="4"/>
  <c r="T54" i="4"/>
  <c r="AL54" i="4"/>
  <c r="AK54" i="4"/>
  <c r="AI54" i="4"/>
  <c r="AH54" i="4"/>
  <c r="AG54" i="4"/>
  <c r="AF54" i="4"/>
  <c r="AE54" i="4"/>
  <c r="AD54" i="4"/>
  <c r="AA54" i="4"/>
  <c r="Z54" i="4"/>
  <c r="Y54" i="4"/>
  <c r="X54" i="4"/>
  <c r="W54" i="4"/>
  <c r="R54" i="4"/>
  <c r="Q54" i="4"/>
  <c r="N54" i="4"/>
  <c r="V54" i="4"/>
  <c r="P54" i="4"/>
  <c r="O54" i="4"/>
  <c r="U54" i="4"/>
  <c r="J54" i="4"/>
  <c r="I54" i="4"/>
  <c r="M54" i="4"/>
  <c r="K54" i="4"/>
  <c r="L54" i="4"/>
  <c r="AT53" i="4"/>
  <c r="AS53" i="4"/>
  <c r="AR53" i="4"/>
  <c r="AQ53" i="4"/>
  <c r="AP53" i="4"/>
  <c r="AO53" i="4"/>
  <c r="AN53" i="4"/>
  <c r="AM53" i="4"/>
  <c r="T53" i="4"/>
  <c r="AL53" i="4"/>
  <c r="AK53" i="4"/>
  <c r="AI53" i="4"/>
  <c r="AH53" i="4"/>
  <c r="AG53" i="4"/>
  <c r="AF53" i="4"/>
  <c r="AE53" i="4"/>
  <c r="AD53" i="4"/>
  <c r="AB53" i="4"/>
  <c r="AA53" i="4"/>
  <c r="Z53" i="4"/>
  <c r="Y53" i="4"/>
  <c r="X53" i="4"/>
  <c r="W53" i="4"/>
  <c r="R53" i="4"/>
  <c r="Q53" i="4"/>
  <c r="N53" i="4"/>
  <c r="V53" i="4"/>
  <c r="P53" i="4"/>
  <c r="O53" i="4"/>
  <c r="U53" i="4"/>
  <c r="J53" i="4"/>
  <c r="I53" i="4"/>
  <c r="M53" i="4"/>
  <c r="K53" i="4"/>
  <c r="L53" i="4"/>
  <c r="AT52" i="4"/>
  <c r="AS52" i="4"/>
  <c r="AR52" i="4"/>
  <c r="AQ52" i="4"/>
  <c r="AP52" i="4"/>
  <c r="AO52" i="4"/>
  <c r="AN52" i="4"/>
  <c r="AM52" i="4"/>
  <c r="T52" i="4"/>
  <c r="AL52" i="4"/>
  <c r="AK52" i="4"/>
  <c r="AI52" i="4"/>
  <c r="AH52" i="4"/>
  <c r="AG52" i="4"/>
  <c r="AF52" i="4"/>
  <c r="AE52" i="4"/>
  <c r="AD52" i="4"/>
  <c r="AB52" i="4"/>
  <c r="AA52" i="4"/>
  <c r="Z52" i="4"/>
  <c r="Y52" i="4"/>
  <c r="X52" i="4"/>
  <c r="W52" i="4"/>
  <c r="R52" i="4"/>
  <c r="Q52" i="4"/>
  <c r="N52" i="4"/>
  <c r="V52" i="4"/>
  <c r="P52" i="4"/>
  <c r="O52" i="4"/>
  <c r="U52" i="4"/>
  <c r="J52" i="4"/>
  <c r="I52" i="4"/>
  <c r="M52" i="4"/>
  <c r="K52" i="4"/>
  <c r="L52" i="4"/>
  <c r="AT51" i="4"/>
  <c r="AS51" i="4"/>
  <c r="AR51" i="4"/>
  <c r="AQ51" i="4"/>
  <c r="AP51" i="4"/>
  <c r="AO51" i="4"/>
  <c r="AN51" i="4"/>
  <c r="AM51" i="4"/>
  <c r="T51" i="4"/>
  <c r="AL51" i="4"/>
  <c r="AK51" i="4"/>
  <c r="AI51" i="4"/>
  <c r="AH51" i="4"/>
  <c r="AG51" i="4"/>
  <c r="AF51" i="4"/>
  <c r="AE51" i="4"/>
  <c r="AD51" i="4"/>
  <c r="AB51" i="4"/>
  <c r="AA51" i="4"/>
  <c r="Z51" i="4"/>
  <c r="Y51" i="4"/>
  <c r="X51" i="4"/>
  <c r="W51" i="4"/>
  <c r="R51" i="4"/>
  <c r="Q51" i="4"/>
  <c r="N51" i="4"/>
  <c r="V51" i="4"/>
  <c r="P51" i="4"/>
  <c r="O51" i="4"/>
  <c r="U51" i="4"/>
  <c r="J51" i="4"/>
  <c r="I51" i="4"/>
  <c r="M51" i="4"/>
  <c r="K51" i="4"/>
  <c r="L51" i="4"/>
  <c r="AT50" i="4"/>
  <c r="AS50" i="4"/>
  <c r="AR50" i="4"/>
  <c r="AQ50" i="4"/>
  <c r="AP50" i="4"/>
  <c r="AO50" i="4"/>
  <c r="AN50" i="4"/>
  <c r="AM50" i="4"/>
  <c r="T50" i="4"/>
  <c r="AL50" i="4"/>
  <c r="AK50" i="4"/>
  <c r="AI50" i="4"/>
  <c r="AH50" i="4"/>
  <c r="AG50" i="4"/>
  <c r="AF50" i="4"/>
  <c r="AE50" i="4"/>
  <c r="AD50" i="4"/>
  <c r="AB50" i="4"/>
  <c r="AA50" i="4"/>
  <c r="Z50" i="4"/>
  <c r="Y50" i="4"/>
  <c r="X50" i="4"/>
  <c r="W50" i="4"/>
  <c r="R50" i="4"/>
  <c r="Q50" i="4"/>
  <c r="N50" i="4"/>
  <c r="V50" i="4"/>
  <c r="P50" i="4"/>
  <c r="O50" i="4"/>
  <c r="U50" i="4"/>
  <c r="J50" i="4"/>
  <c r="I50" i="4"/>
  <c r="M50" i="4"/>
  <c r="K50" i="4"/>
  <c r="L50" i="4"/>
  <c r="AT49" i="4"/>
  <c r="AS49" i="4"/>
  <c r="AR49" i="4"/>
  <c r="AQ49" i="4"/>
  <c r="AP49" i="4"/>
  <c r="AO49" i="4"/>
  <c r="AN49" i="4"/>
  <c r="AM49" i="4"/>
  <c r="T49" i="4"/>
  <c r="AL49" i="4"/>
  <c r="AK49" i="4"/>
  <c r="AI49" i="4"/>
  <c r="AH49" i="4"/>
  <c r="AG49" i="4"/>
  <c r="AF49" i="4"/>
  <c r="AE49" i="4"/>
  <c r="AD49" i="4"/>
  <c r="AB49" i="4"/>
  <c r="AA49" i="4"/>
  <c r="Z49" i="4"/>
  <c r="Y49" i="4"/>
  <c r="X49" i="4"/>
  <c r="W49" i="4"/>
  <c r="R49" i="4"/>
  <c r="Q49" i="4"/>
  <c r="N49" i="4"/>
  <c r="V49" i="4"/>
  <c r="P49" i="4"/>
  <c r="O49" i="4"/>
  <c r="U49" i="4"/>
  <c r="J49" i="4"/>
  <c r="I49" i="4"/>
  <c r="K49" i="4"/>
  <c r="L49" i="4"/>
  <c r="AT48" i="4"/>
  <c r="AS48" i="4"/>
  <c r="AR48" i="4"/>
  <c r="AQ48" i="4"/>
  <c r="AP48" i="4"/>
  <c r="AO48" i="4"/>
  <c r="AN48" i="4"/>
  <c r="AM48" i="4"/>
  <c r="T48" i="4"/>
  <c r="AL48" i="4"/>
  <c r="AK48" i="4"/>
  <c r="AI48" i="4"/>
  <c r="AH48" i="4"/>
  <c r="AG48" i="4"/>
  <c r="AF48" i="4"/>
  <c r="AE48" i="4"/>
  <c r="AD48" i="4"/>
  <c r="AB48" i="4"/>
  <c r="AA48" i="4"/>
  <c r="Z48" i="4"/>
  <c r="Y48" i="4"/>
  <c r="X48" i="4"/>
  <c r="W48" i="4"/>
  <c r="R48" i="4"/>
  <c r="Q48" i="4"/>
  <c r="N48" i="4"/>
  <c r="V48" i="4"/>
  <c r="P48" i="4"/>
  <c r="O48" i="4"/>
  <c r="U48" i="4"/>
  <c r="J48" i="4"/>
  <c r="I48" i="4"/>
  <c r="M48" i="4"/>
  <c r="K48" i="4"/>
  <c r="AT47" i="4"/>
  <c r="AS47" i="4"/>
  <c r="AR47" i="4"/>
  <c r="AQ47" i="4"/>
  <c r="AP47" i="4"/>
  <c r="AO47" i="4"/>
  <c r="AN47" i="4"/>
  <c r="AM47" i="4"/>
  <c r="T47" i="4"/>
  <c r="AL47" i="4"/>
  <c r="AK47" i="4"/>
  <c r="AI47" i="4"/>
  <c r="AH47" i="4"/>
  <c r="AG47" i="4"/>
  <c r="AF47" i="4"/>
  <c r="AE47" i="4"/>
  <c r="AD47" i="4"/>
  <c r="AB47" i="4"/>
  <c r="AA47" i="4"/>
  <c r="Z47" i="4"/>
  <c r="Y47" i="4"/>
  <c r="X47" i="4"/>
  <c r="W47" i="4"/>
  <c r="R47" i="4"/>
  <c r="Q47" i="4"/>
  <c r="N47" i="4"/>
  <c r="V47" i="4"/>
  <c r="P47" i="4"/>
  <c r="O47" i="4"/>
  <c r="U47" i="4"/>
  <c r="J47" i="4"/>
  <c r="I47" i="4"/>
  <c r="M47" i="4"/>
  <c r="K47" i="4"/>
  <c r="AT46" i="4"/>
  <c r="AS46" i="4"/>
  <c r="AR46" i="4"/>
  <c r="AQ46" i="4"/>
  <c r="AP46" i="4"/>
  <c r="AO46" i="4"/>
  <c r="AN46" i="4"/>
  <c r="AM46" i="4"/>
  <c r="T46" i="4"/>
  <c r="AL46" i="4"/>
  <c r="AK46" i="4"/>
  <c r="AI46" i="4"/>
  <c r="AH46" i="4"/>
  <c r="AG46" i="4"/>
  <c r="AF46" i="4"/>
  <c r="AE46" i="4"/>
  <c r="AD46" i="4"/>
  <c r="AB46" i="4"/>
  <c r="AA46" i="4"/>
  <c r="Z46" i="4"/>
  <c r="Y46" i="4"/>
  <c r="X46" i="4"/>
  <c r="W46" i="4"/>
  <c r="R46" i="4"/>
  <c r="Q46" i="4"/>
  <c r="N46" i="4"/>
  <c r="V46" i="4"/>
  <c r="P46" i="4"/>
  <c r="O46" i="4"/>
  <c r="U46" i="4"/>
  <c r="J46" i="4"/>
  <c r="I46" i="4"/>
  <c r="M46" i="4"/>
  <c r="K46" i="4"/>
  <c r="L46" i="4"/>
  <c r="AT45" i="4"/>
  <c r="AS45" i="4"/>
  <c r="AR45" i="4"/>
  <c r="AQ45" i="4"/>
  <c r="AO45" i="4"/>
  <c r="AN45" i="4"/>
  <c r="AM45" i="4"/>
  <c r="T45" i="4"/>
  <c r="AL45" i="4"/>
  <c r="AK45" i="4"/>
  <c r="AI45" i="4"/>
  <c r="AH45" i="4"/>
  <c r="AG45" i="4"/>
  <c r="AF45" i="4"/>
  <c r="AE45" i="4"/>
  <c r="AD45" i="4"/>
  <c r="AB45" i="4"/>
  <c r="AA45" i="4"/>
  <c r="Z45" i="4"/>
  <c r="Y45" i="4"/>
  <c r="X45" i="4"/>
  <c r="W45" i="4"/>
  <c r="R45" i="4"/>
  <c r="Q45" i="4"/>
  <c r="N45" i="4"/>
  <c r="V45" i="4"/>
  <c r="P45" i="4"/>
  <c r="O45" i="4"/>
  <c r="U45" i="4"/>
  <c r="J45" i="4"/>
  <c r="I45" i="4"/>
  <c r="M45" i="4"/>
  <c r="K45" i="4"/>
  <c r="L45" i="4"/>
  <c r="AT44" i="4"/>
  <c r="AS44" i="4"/>
  <c r="AR44" i="4"/>
  <c r="AQ44" i="4"/>
  <c r="AP44" i="4"/>
  <c r="AO44" i="4"/>
  <c r="AN44" i="4"/>
  <c r="AM44" i="4"/>
  <c r="T44" i="4"/>
  <c r="AL44" i="4"/>
  <c r="AK44" i="4"/>
  <c r="AI44" i="4"/>
  <c r="AH44" i="4"/>
  <c r="AG44" i="4"/>
  <c r="AF44" i="4"/>
  <c r="AE44" i="4"/>
  <c r="AD44" i="4"/>
  <c r="AB44" i="4"/>
  <c r="AA44" i="4"/>
  <c r="Z44" i="4"/>
  <c r="Y44" i="4"/>
  <c r="X44" i="4"/>
  <c r="W44" i="4"/>
  <c r="R44" i="4"/>
  <c r="Q44" i="4"/>
  <c r="N44" i="4"/>
  <c r="V44" i="4"/>
  <c r="P44" i="4"/>
  <c r="O44" i="4"/>
  <c r="U44" i="4"/>
  <c r="J44" i="4"/>
  <c r="I44" i="4"/>
  <c r="M44" i="4"/>
  <c r="K44" i="4"/>
  <c r="L44" i="4"/>
  <c r="AT43" i="4"/>
  <c r="AS43" i="4"/>
  <c r="AR43" i="4"/>
  <c r="AQ43" i="4"/>
  <c r="AP43" i="4"/>
  <c r="AO43" i="4"/>
  <c r="AN43" i="4"/>
  <c r="AM43" i="4"/>
  <c r="T43" i="4"/>
  <c r="AL43" i="4"/>
  <c r="AK43" i="4"/>
  <c r="AI43" i="4"/>
  <c r="AH43" i="4"/>
  <c r="AG43" i="4"/>
  <c r="AF43" i="4"/>
  <c r="AE43" i="4"/>
  <c r="AD43" i="4"/>
  <c r="AB43" i="4"/>
  <c r="AA43" i="4"/>
  <c r="Z43" i="4"/>
  <c r="Y43" i="4"/>
  <c r="X43" i="4"/>
  <c r="W43" i="4"/>
  <c r="R43" i="4"/>
  <c r="Q43" i="4"/>
  <c r="N43" i="4"/>
  <c r="V43" i="4"/>
  <c r="P43" i="4"/>
  <c r="O43" i="4"/>
  <c r="U43" i="4"/>
  <c r="J43" i="4"/>
  <c r="I43" i="4"/>
  <c r="M43" i="4"/>
  <c r="K43" i="4"/>
  <c r="L43" i="4"/>
  <c r="AT42" i="4"/>
  <c r="AS42" i="4"/>
  <c r="AR42" i="4"/>
  <c r="AQ42" i="4"/>
  <c r="AP42" i="4"/>
  <c r="AO42" i="4"/>
  <c r="AN42" i="4"/>
  <c r="AM42" i="4"/>
  <c r="T42" i="4"/>
  <c r="AL42" i="4"/>
  <c r="AK42" i="4"/>
  <c r="AI42" i="4"/>
  <c r="AH42" i="4"/>
  <c r="AF42" i="4"/>
  <c r="AE42" i="4"/>
  <c r="AD42" i="4"/>
  <c r="AB42" i="4"/>
  <c r="AA42" i="4"/>
  <c r="Z42" i="4"/>
  <c r="Y42" i="4"/>
  <c r="X42" i="4"/>
  <c r="W42" i="4"/>
  <c r="R42" i="4"/>
  <c r="Q42" i="4"/>
  <c r="N42" i="4"/>
  <c r="V42" i="4"/>
  <c r="P42" i="4"/>
  <c r="O42" i="4"/>
  <c r="U42" i="4"/>
  <c r="J42" i="4"/>
  <c r="I42" i="4"/>
  <c r="M42" i="4"/>
  <c r="K42" i="4"/>
  <c r="L42" i="4"/>
  <c r="AT41" i="4"/>
  <c r="AS41" i="4"/>
  <c r="AR41" i="4"/>
  <c r="AQ41" i="4"/>
  <c r="AP41" i="4"/>
  <c r="AO41" i="4"/>
  <c r="AN41" i="4"/>
  <c r="AM41" i="4"/>
  <c r="T41" i="4"/>
  <c r="AL41" i="4"/>
  <c r="AK41" i="4"/>
  <c r="AI41" i="4"/>
  <c r="AH41" i="4"/>
  <c r="AG41" i="4"/>
  <c r="AF41" i="4"/>
  <c r="AE41" i="4"/>
  <c r="AD41" i="4"/>
  <c r="AB41" i="4"/>
  <c r="AA41" i="4"/>
  <c r="Z41" i="4"/>
  <c r="Y41" i="4"/>
  <c r="X41" i="4"/>
  <c r="W41" i="4"/>
  <c r="R41" i="4"/>
  <c r="Q41" i="4"/>
  <c r="N41" i="4"/>
  <c r="V41" i="4"/>
  <c r="P41" i="4"/>
  <c r="O41" i="4"/>
  <c r="U41" i="4"/>
  <c r="J41" i="4"/>
  <c r="I41" i="4"/>
  <c r="M41" i="4"/>
  <c r="K41" i="4"/>
  <c r="L41" i="4"/>
  <c r="AT40" i="4"/>
  <c r="AS40" i="4"/>
  <c r="AR40" i="4"/>
  <c r="AQ40" i="4"/>
  <c r="AP40" i="4"/>
  <c r="AO40" i="4"/>
  <c r="AN40" i="4"/>
  <c r="AM40" i="4"/>
  <c r="T40" i="4"/>
  <c r="AL40" i="4"/>
  <c r="AK40" i="4"/>
  <c r="AI40" i="4"/>
  <c r="AH40" i="4"/>
  <c r="AG40" i="4"/>
  <c r="AF40" i="4"/>
  <c r="AE40" i="4"/>
  <c r="AD40" i="4"/>
  <c r="AB40" i="4"/>
  <c r="AA40" i="4"/>
  <c r="Z40" i="4"/>
  <c r="Y40" i="4"/>
  <c r="X40" i="4"/>
  <c r="W40" i="4"/>
  <c r="R40" i="4"/>
  <c r="Q40" i="4"/>
  <c r="N40" i="4"/>
  <c r="V40" i="4"/>
  <c r="P40" i="4"/>
  <c r="O40" i="4"/>
  <c r="U40" i="4"/>
  <c r="J40" i="4"/>
  <c r="I40" i="4"/>
  <c r="M40" i="4"/>
  <c r="K40" i="4"/>
  <c r="L40" i="4"/>
  <c r="AT39" i="4"/>
  <c r="AS39" i="4"/>
  <c r="AR39" i="4"/>
  <c r="AQ39" i="4"/>
  <c r="AP39" i="4"/>
  <c r="AO39" i="4"/>
  <c r="AN39" i="4"/>
  <c r="AM39" i="4"/>
  <c r="T39" i="4"/>
  <c r="AL39" i="4"/>
  <c r="AK39" i="4"/>
  <c r="AI39" i="4"/>
  <c r="AH39" i="4"/>
  <c r="AG39" i="4"/>
  <c r="AF39" i="4"/>
  <c r="AE39" i="4"/>
  <c r="AD39" i="4"/>
  <c r="AB39" i="4"/>
  <c r="AA39" i="4"/>
  <c r="Z39" i="4"/>
  <c r="Y39" i="4"/>
  <c r="X39" i="4"/>
  <c r="W39" i="4"/>
  <c r="R39" i="4"/>
  <c r="Q39" i="4"/>
  <c r="N39" i="4"/>
  <c r="V39" i="4"/>
  <c r="P39" i="4"/>
  <c r="O39" i="4"/>
  <c r="U39" i="4"/>
  <c r="J39" i="4"/>
  <c r="I39" i="4"/>
  <c r="M39" i="4"/>
  <c r="K39" i="4"/>
  <c r="L39" i="4"/>
  <c r="AT38" i="4"/>
  <c r="AS38" i="4"/>
  <c r="AR38" i="4"/>
  <c r="AQ38" i="4"/>
  <c r="AP38" i="4"/>
  <c r="AO38" i="4"/>
  <c r="AN38" i="4"/>
  <c r="AM38" i="4"/>
  <c r="T38" i="4"/>
  <c r="AL38" i="4"/>
  <c r="AK38" i="4"/>
  <c r="AI38" i="4"/>
  <c r="AH38" i="4"/>
  <c r="AG38" i="4"/>
  <c r="AF38" i="4"/>
  <c r="AE38" i="4"/>
  <c r="AD38" i="4"/>
  <c r="AB38" i="4"/>
  <c r="AA38" i="4"/>
  <c r="Z38" i="4"/>
  <c r="Y38" i="4"/>
  <c r="X38" i="4"/>
  <c r="W38" i="4"/>
  <c r="R38" i="4"/>
  <c r="Q38" i="4"/>
  <c r="N38" i="4"/>
  <c r="V38" i="4"/>
  <c r="P38" i="4"/>
  <c r="O38" i="4"/>
  <c r="U38" i="4"/>
  <c r="J38" i="4"/>
  <c r="I38" i="4"/>
  <c r="M38" i="4"/>
  <c r="K38" i="4"/>
  <c r="L38" i="4"/>
  <c r="AT37" i="4"/>
  <c r="AS37" i="4"/>
  <c r="AR37" i="4"/>
  <c r="AQ37" i="4"/>
  <c r="AP37" i="4"/>
  <c r="AO37" i="4"/>
  <c r="AN37" i="4"/>
  <c r="AM37" i="4"/>
  <c r="T37" i="4"/>
  <c r="AL37" i="4"/>
  <c r="AK37" i="4"/>
  <c r="AI37" i="4"/>
  <c r="AH37" i="4"/>
  <c r="AG37" i="4"/>
  <c r="AF37" i="4"/>
  <c r="AE37" i="4"/>
  <c r="AD37" i="4"/>
  <c r="AB37" i="4"/>
  <c r="AA37" i="4"/>
  <c r="Z37" i="4"/>
  <c r="Y37" i="4"/>
  <c r="X37" i="4"/>
  <c r="W37" i="4"/>
  <c r="R37" i="4"/>
  <c r="Q37" i="4"/>
  <c r="N37" i="4"/>
  <c r="V37" i="4"/>
  <c r="P37" i="4"/>
  <c r="O37" i="4"/>
  <c r="U37" i="4"/>
  <c r="J37" i="4"/>
  <c r="I37" i="4"/>
  <c r="M37" i="4"/>
  <c r="K37" i="4"/>
  <c r="L37" i="4"/>
  <c r="AT36" i="4"/>
  <c r="AS36" i="4"/>
  <c r="AR36" i="4"/>
  <c r="AQ36" i="4"/>
  <c r="AP36" i="4"/>
  <c r="AO36" i="4"/>
  <c r="AN36" i="4"/>
  <c r="AM36" i="4"/>
  <c r="T36" i="4"/>
  <c r="AL36" i="4"/>
  <c r="AK36" i="4"/>
  <c r="AI36" i="4"/>
  <c r="AH36" i="4"/>
  <c r="AG36" i="4"/>
  <c r="AF36" i="4"/>
  <c r="AE36" i="4"/>
  <c r="AD36" i="4"/>
  <c r="AB36" i="4"/>
  <c r="AA36" i="4"/>
  <c r="Z36" i="4"/>
  <c r="Y36" i="4"/>
  <c r="X36" i="4"/>
  <c r="W36" i="4"/>
  <c r="R36" i="4"/>
  <c r="Q36" i="4"/>
  <c r="N36" i="4"/>
  <c r="V36" i="4"/>
  <c r="P36" i="4"/>
  <c r="O36" i="4"/>
  <c r="U36" i="4"/>
  <c r="J36" i="4"/>
  <c r="I36" i="4"/>
  <c r="M36" i="4"/>
  <c r="K36" i="4"/>
  <c r="L36" i="4"/>
  <c r="AT35" i="4"/>
  <c r="AS35" i="4"/>
  <c r="AR35" i="4"/>
  <c r="AQ35" i="4"/>
  <c r="AP35" i="4"/>
  <c r="AO35" i="4"/>
  <c r="AN35" i="4"/>
  <c r="AM35" i="4"/>
  <c r="T35" i="4"/>
  <c r="AL35" i="4"/>
  <c r="AK35" i="4"/>
  <c r="AI35" i="4"/>
  <c r="AH35" i="4"/>
  <c r="AG35" i="4"/>
  <c r="AF35" i="4"/>
  <c r="AE35" i="4"/>
  <c r="AD35" i="4"/>
  <c r="AB35" i="4"/>
  <c r="AA35" i="4"/>
  <c r="Z35" i="4"/>
  <c r="Y35" i="4"/>
  <c r="X35" i="4"/>
  <c r="W35" i="4"/>
  <c r="R35" i="4"/>
  <c r="Q35" i="4"/>
  <c r="N35" i="4"/>
  <c r="V35" i="4"/>
  <c r="P35" i="4"/>
  <c r="O35" i="4"/>
  <c r="U35" i="4"/>
  <c r="J35" i="4"/>
  <c r="I35" i="4"/>
  <c r="M35" i="4"/>
  <c r="K35" i="4"/>
  <c r="L35" i="4"/>
  <c r="AT34" i="4"/>
  <c r="AS34" i="4"/>
  <c r="AR34" i="4"/>
  <c r="AQ34" i="4"/>
  <c r="AP34" i="4"/>
  <c r="AO34" i="4"/>
  <c r="AN34" i="4"/>
  <c r="AM34" i="4"/>
  <c r="T34" i="4"/>
  <c r="AL34" i="4"/>
  <c r="AK34" i="4"/>
  <c r="AI34" i="4"/>
  <c r="AH34" i="4"/>
  <c r="AG34" i="4"/>
  <c r="AF34" i="4"/>
  <c r="AE34" i="4"/>
  <c r="AD34" i="4"/>
  <c r="AB34" i="4"/>
  <c r="AA34" i="4"/>
  <c r="Z34" i="4"/>
  <c r="Y34" i="4"/>
  <c r="X34" i="4"/>
  <c r="W34" i="4"/>
  <c r="R34" i="4"/>
  <c r="Q34" i="4"/>
  <c r="N34" i="4"/>
  <c r="V34" i="4"/>
  <c r="P34" i="4"/>
  <c r="O34" i="4"/>
  <c r="U34" i="4"/>
  <c r="J34" i="4"/>
  <c r="I34" i="4"/>
  <c r="M34" i="4"/>
  <c r="K34" i="4"/>
  <c r="AT33" i="4"/>
  <c r="AS33" i="4"/>
  <c r="AR33" i="4"/>
  <c r="AQ33" i="4"/>
  <c r="AP33" i="4"/>
  <c r="AO33" i="4"/>
  <c r="AN33" i="4"/>
  <c r="AM33" i="4"/>
  <c r="T33" i="4"/>
  <c r="AL33" i="4"/>
  <c r="AK33" i="4"/>
  <c r="AI33" i="4"/>
  <c r="AH33" i="4"/>
  <c r="AG33" i="4"/>
  <c r="AF33" i="4"/>
  <c r="AE33" i="4"/>
  <c r="AD33" i="4"/>
  <c r="AB33" i="4"/>
  <c r="AA33" i="4"/>
  <c r="Z33" i="4"/>
  <c r="Y33" i="4"/>
  <c r="X33" i="4"/>
  <c r="W33" i="4"/>
  <c r="R33" i="4"/>
  <c r="Q33" i="4"/>
  <c r="N33" i="4"/>
  <c r="V33" i="4"/>
  <c r="P33" i="4"/>
  <c r="O33" i="4"/>
  <c r="U33" i="4"/>
  <c r="J33" i="4"/>
  <c r="I33" i="4"/>
  <c r="M33" i="4"/>
  <c r="K33" i="4"/>
  <c r="L33" i="4"/>
  <c r="AT32" i="4"/>
  <c r="AS32" i="4"/>
  <c r="AR32" i="4"/>
  <c r="AQ32" i="4"/>
  <c r="AP32" i="4"/>
  <c r="AO32" i="4"/>
  <c r="AN32" i="4"/>
  <c r="AM32" i="4"/>
  <c r="T32" i="4"/>
  <c r="AL32" i="4"/>
  <c r="AK32" i="4"/>
  <c r="AI32" i="4"/>
  <c r="AH32" i="4"/>
  <c r="AG32" i="4"/>
  <c r="AF32" i="4"/>
  <c r="AE32" i="4"/>
  <c r="AD32" i="4"/>
  <c r="AB32" i="4"/>
  <c r="AA32" i="4"/>
  <c r="Z32" i="4"/>
  <c r="Y32" i="4"/>
  <c r="X32" i="4"/>
  <c r="W32" i="4"/>
  <c r="R32" i="4"/>
  <c r="Q32" i="4"/>
  <c r="N32" i="4"/>
  <c r="V32" i="4"/>
  <c r="P32" i="4"/>
  <c r="O32" i="4"/>
  <c r="U32" i="4"/>
  <c r="J32" i="4"/>
  <c r="I32" i="4"/>
  <c r="M32" i="4"/>
  <c r="K32" i="4"/>
  <c r="L32" i="4"/>
  <c r="AT31" i="4"/>
  <c r="AS31" i="4"/>
  <c r="AR31" i="4"/>
  <c r="AQ31" i="4"/>
  <c r="AP31" i="4"/>
  <c r="AO31" i="4"/>
  <c r="AN31" i="4"/>
  <c r="AM31" i="4"/>
  <c r="T31" i="4"/>
  <c r="AL31" i="4"/>
  <c r="AK31" i="4"/>
  <c r="AI31" i="4"/>
  <c r="AH31" i="4"/>
  <c r="AG31" i="4"/>
  <c r="AF31" i="4"/>
  <c r="AE31" i="4"/>
  <c r="AD31" i="4"/>
  <c r="AB31" i="4"/>
  <c r="AA31" i="4"/>
  <c r="Z31" i="4"/>
  <c r="Y31" i="4"/>
  <c r="X31" i="4"/>
  <c r="W31" i="4"/>
  <c r="R31" i="4"/>
  <c r="Q31" i="4"/>
  <c r="N31" i="4"/>
  <c r="V31" i="4"/>
  <c r="P31" i="4"/>
  <c r="O31" i="4"/>
  <c r="U31" i="4"/>
  <c r="J31" i="4"/>
  <c r="I31" i="4"/>
  <c r="M31" i="4"/>
  <c r="K31" i="4"/>
  <c r="L31" i="4"/>
  <c r="AT30" i="4"/>
  <c r="AS30" i="4"/>
  <c r="AR30" i="4"/>
  <c r="AQ30" i="4"/>
  <c r="AP30" i="4"/>
  <c r="AO30" i="4"/>
  <c r="AN30" i="4"/>
  <c r="AM30" i="4"/>
  <c r="T30" i="4"/>
  <c r="AL30" i="4"/>
  <c r="AK30" i="4"/>
  <c r="AI30" i="4"/>
  <c r="AH30" i="4"/>
  <c r="AG30" i="4"/>
  <c r="AF30" i="4"/>
  <c r="AE30" i="4"/>
  <c r="AD30" i="4"/>
  <c r="AB30" i="4"/>
  <c r="AA30" i="4"/>
  <c r="Z30" i="4"/>
  <c r="Y30" i="4"/>
  <c r="X30" i="4"/>
  <c r="W30" i="4"/>
  <c r="R30" i="4"/>
  <c r="Q30" i="4"/>
  <c r="N30" i="4"/>
  <c r="V30" i="4"/>
  <c r="P30" i="4"/>
  <c r="O30" i="4"/>
  <c r="U30" i="4"/>
  <c r="J30" i="4"/>
  <c r="I30" i="4"/>
  <c r="M30" i="4"/>
  <c r="K30" i="4"/>
  <c r="L30" i="4"/>
  <c r="AT29" i="4"/>
  <c r="AS29" i="4"/>
  <c r="AR29" i="4"/>
  <c r="AQ29" i="4"/>
  <c r="AP29" i="4"/>
  <c r="AO29" i="4"/>
  <c r="AN29" i="4"/>
  <c r="AM29" i="4"/>
  <c r="T29" i="4"/>
  <c r="AL29" i="4"/>
  <c r="AK29" i="4"/>
  <c r="AI29" i="4"/>
  <c r="AH29" i="4"/>
  <c r="AG29" i="4"/>
  <c r="AF29" i="4"/>
  <c r="AE29" i="4"/>
  <c r="AD29" i="4"/>
  <c r="AB29" i="4"/>
  <c r="AA29" i="4"/>
  <c r="Z29" i="4"/>
  <c r="Y29" i="4"/>
  <c r="X29" i="4"/>
  <c r="W29" i="4"/>
  <c r="R29" i="4"/>
  <c r="Q29" i="4"/>
  <c r="N29" i="4"/>
  <c r="V29" i="4"/>
  <c r="P29" i="4"/>
  <c r="O29" i="4"/>
  <c r="U29" i="4"/>
  <c r="J29" i="4"/>
  <c r="I29" i="4"/>
  <c r="M29" i="4"/>
  <c r="K29" i="4"/>
  <c r="L29" i="4"/>
  <c r="AT28" i="4"/>
  <c r="AS28" i="4"/>
  <c r="AR28" i="4"/>
  <c r="AQ28" i="4"/>
  <c r="AP28" i="4"/>
  <c r="AO28" i="4"/>
  <c r="AN28" i="4"/>
  <c r="AM28" i="4"/>
  <c r="T28" i="4"/>
  <c r="AL28" i="4"/>
  <c r="AK28" i="4"/>
  <c r="AI28" i="4"/>
  <c r="AH28" i="4"/>
  <c r="AG28" i="4"/>
  <c r="AF28" i="4"/>
  <c r="AE28" i="4"/>
  <c r="AD28" i="4"/>
  <c r="AB28" i="4"/>
  <c r="AA28" i="4"/>
  <c r="Z28" i="4"/>
  <c r="Y28" i="4"/>
  <c r="X28" i="4"/>
  <c r="W28" i="4"/>
  <c r="R28" i="4"/>
  <c r="Q28" i="4"/>
  <c r="N28" i="4"/>
  <c r="V28" i="4"/>
  <c r="P28" i="4"/>
  <c r="O28" i="4"/>
  <c r="U28" i="4"/>
  <c r="J28" i="4"/>
  <c r="I28" i="4"/>
  <c r="M28" i="4"/>
  <c r="K28" i="4"/>
  <c r="L28" i="4"/>
  <c r="AT27" i="4"/>
  <c r="AS27" i="4"/>
  <c r="AR27" i="4"/>
  <c r="AQ27" i="4"/>
  <c r="AP27" i="4"/>
  <c r="AO27" i="4"/>
  <c r="AN27" i="4"/>
  <c r="AM27" i="4"/>
  <c r="T27" i="4"/>
  <c r="AL27" i="4"/>
  <c r="AK27" i="4"/>
  <c r="AI27" i="4"/>
  <c r="AH27" i="4"/>
  <c r="AG27" i="4"/>
  <c r="AF27" i="4"/>
  <c r="AE27" i="4"/>
  <c r="AD27" i="4"/>
  <c r="AB27" i="4"/>
  <c r="AA27" i="4"/>
  <c r="Z27" i="4"/>
  <c r="Y27" i="4"/>
  <c r="X27" i="4"/>
  <c r="W27" i="4"/>
  <c r="R27" i="4"/>
  <c r="Q27" i="4"/>
  <c r="N27" i="4"/>
  <c r="V27" i="4"/>
  <c r="P27" i="4"/>
  <c r="O27" i="4"/>
  <c r="U27" i="4"/>
  <c r="J27" i="4"/>
  <c r="I27" i="4"/>
  <c r="M27" i="4"/>
  <c r="K27" i="4"/>
  <c r="L27" i="4"/>
  <c r="AT26" i="4"/>
  <c r="AS26" i="4"/>
  <c r="AR26" i="4"/>
  <c r="AQ26" i="4"/>
  <c r="AP26" i="4"/>
  <c r="AO26" i="4"/>
  <c r="AN26" i="4"/>
  <c r="AM26" i="4"/>
  <c r="T26" i="4"/>
  <c r="AL26" i="4"/>
  <c r="AK26" i="4"/>
  <c r="AI26" i="4"/>
  <c r="AH26" i="4"/>
  <c r="AG26" i="4"/>
  <c r="AF26" i="4"/>
  <c r="AE26" i="4"/>
  <c r="AD26" i="4"/>
  <c r="AB26" i="4"/>
  <c r="AA26" i="4"/>
  <c r="Z26" i="4"/>
  <c r="Y26" i="4"/>
  <c r="X26" i="4"/>
  <c r="W26" i="4"/>
  <c r="R26" i="4"/>
  <c r="Q26" i="4"/>
  <c r="N26" i="4"/>
  <c r="V26" i="4"/>
  <c r="P26" i="4"/>
  <c r="O26" i="4"/>
  <c r="U26" i="4"/>
  <c r="J26" i="4"/>
  <c r="I26" i="4"/>
  <c r="M26" i="4"/>
  <c r="K26" i="4"/>
  <c r="L26" i="4"/>
  <c r="AT25" i="4"/>
  <c r="AS25" i="4"/>
  <c r="AR25" i="4"/>
  <c r="AQ25" i="4"/>
  <c r="AP25" i="4"/>
  <c r="AO25" i="4"/>
  <c r="AN25" i="4"/>
  <c r="AM25" i="4"/>
  <c r="T25" i="4"/>
  <c r="AL25" i="4"/>
  <c r="AK25" i="4"/>
  <c r="AI25" i="4"/>
  <c r="AH25" i="4"/>
  <c r="AG25" i="4"/>
  <c r="AF25" i="4"/>
  <c r="AE25" i="4"/>
  <c r="AD25" i="4"/>
  <c r="AB25" i="4"/>
  <c r="AA25" i="4"/>
  <c r="Z25" i="4"/>
  <c r="Y25" i="4"/>
  <c r="X25" i="4"/>
  <c r="W25" i="4"/>
  <c r="R25" i="4"/>
  <c r="Q25" i="4"/>
  <c r="N25" i="4"/>
  <c r="V25" i="4"/>
  <c r="P25" i="4"/>
  <c r="O25" i="4"/>
  <c r="U25" i="4"/>
  <c r="J25" i="4"/>
  <c r="I25" i="4"/>
  <c r="M25" i="4"/>
  <c r="K25" i="4"/>
  <c r="L25" i="4"/>
  <c r="AT24" i="4"/>
  <c r="AS24" i="4"/>
  <c r="AR24" i="4"/>
  <c r="AQ24" i="4"/>
  <c r="AP24" i="4"/>
  <c r="AO24" i="4"/>
  <c r="AN24" i="4"/>
  <c r="AM24" i="4"/>
  <c r="T24" i="4"/>
  <c r="AL24" i="4"/>
  <c r="AK24" i="4"/>
  <c r="AI24" i="4"/>
  <c r="AH24" i="4"/>
  <c r="AG24" i="4"/>
  <c r="AF24" i="4"/>
  <c r="AE24" i="4"/>
  <c r="AD24" i="4"/>
  <c r="AB24" i="4"/>
  <c r="AA24" i="4"/>
  <c r="Z24" i="4"/>
  <c r="Y24" i="4"/>
  <c r="X24" i="4"/>
  <c r="W24" i="4"/>
  <c r="R24" i="4"/>
  <c r="Q24" i="4"/>
  <c r="N24" i="4"/>
  <c r="V24" i="4"/>
  <c r="P24" i="4"/>
  <c r="O24" i="4"/>
  <c r="U24" i="4"/>
  <c r="J24" i="4"/>
  <c r="I24" i="4"/>
  <c r="M24" i="4"/>
  <c r="K24" i="4"/>
  <c r="L24" i="4"/>
  <c r="AT23" i="4"/>
  <c r="AS23" i="4"/>
  <c r="AR23" i="4"/>
  <c r="AQ23" i="4"/>
  <c r="AP23" i="4"/>
  <c r="AO23" i="4"/>
  <c r="AN23" i="4"/>
  <c r="AM23" i="4"/>
  <c r="T23" i="4"/>
  <c r="AL23" i="4"/>
  <c r="AK23" i="4"/>
  <c r="AI23" i="4"/>
  <c r="AH23" i="4"/>
  <c r="AG23" i="4"/>
  <c r="AF23" i="4"/>
  <c r="AE23" i="4"/>
  <c r="AD23" i="4"/>
  <c r="AB23" i="4"/>
  <c r="AA23" i="4"/>
  <c r="Z23" i="4"/>
  <c r="Y23" i="4"/>
  <c r="X23" i="4"/>
  <c r="W23" i="4"/>
  <c r="R23" i="4"/>
  <c r="Q23" i="4"/>
  <c r="N23" i="4"/>
  <c r="V23" i="4"/>
  <c r="P23" i="4"/>
  <c r="O23" i="4"/>
  <c r="U23" i="4"/>
  <c r="J23" i="4"/>
  <c r="I23" i="4"/>
  <c r="M23" i="4"/>
  <c r="K23" i="4"/>
  <c r="L23" i="4"/>
  <c r="AT22" i="4"/>
  <c r="AS22" i="4"/>
  <c r="AR22" i="4"/>
  <c r="AQ22" i="4"/>
  <c r="AP22" i="4"/>
  <c r="AO22" i="4"/>
  <c r="AN22" i="4"/>
  <c r="AM22" i="4"/>
  <c r="T22" i="4"/>
  <c r="AL22" i="4"/>
  <c r="AK22" i="4"/>
  <c r="AI22" i="4"/>
  <c r="AH22" i="4"/>
  <c r="AG22" i="4"/>
  <c r="AF22" i="4"/>
  <c r="AE22" i="4"/>
  <c r="AD22" i="4"/>
  <c r="AB22" i="4"/>
  <c r="AA22" i="4"/>
  <c r="Z22" i="4"/>
  <c r="Y22" i="4"/>
  <c r="X22" i="4"/>
  <c r="W22" i="4"/>
  <c r="R22" i="4"/>
  <c r="Q22" i="4"/>
  <c r="N22" i="4"/>
  <c r="V22" i="4"/>
  <c r="P22" i="4"/>
  <c r="O22" i="4"/>
  <c r="U22" i="4"/>
  <c r="J22" i="4"/>
  <c r="I22" i="4"/>
  <c r="M22" i="4"/>
  <c r="K22" i="4"/>
  <c r="L22" i="4"/>
  <c r="AT21" i="4"/>
  <c r="AS21" i="4"/>
  <c r="AR21" i="4"/>
  <c r="AQ21" i="4"/>
  <c r="AP21" i="4"/>
  <c r="AO21" i="4"/>
  <c r="AN21" i="4"/>
  <c r="AM21" i="4"/>
  <c r="T21" i="4"/>
  <c r="AL21" i="4"/>
  <c r="AK21" i="4"/>
  <c r="AI21" i="4"/>
  <c r="AH21" i="4"/>
  <c r="AG21" i="4"/>
  <c r="AF21" i="4"/>
  <c r="AE21" i="4"/>
  <c r="AD21" i="4"/>
  <c r="AB21" i="4"/>
  <c r="AA21" i="4"/>
  <c r="Z21" i="4"/>
  <c r="Y21" i="4"/>
  <c r="X21" i="4"/>
  <c r="W21" i="4"/>
  <c r="R21" i="4"/>
  <c r="Q21" i="4"/>
  <c r="N21" i="4"/>
  <c r="V21" i="4"/>
  <c r="P21" i="4"/>
  <c r="O21" i="4"/>
  <c r="U21" i="4"/>
  <c r="J21" i="4"/>
  <c r="I21" i="4"/>
  <c r="M21" i="4"/>
  <c r="K21" i="4"/>
  <c r="L21" i="4"/>
  <c r="AT20" i="4"/>
  <c r="AS20" i="4"/>
  <c r="AR20" i="4"/>
  <c r="AQ20" i="4"/>
  <c r="AP20" i="4"/>
  <c r="AO20" i="4"/>
  <c r="AN20" i="4"/>
  <c r="AM20" i="4"/>
  <c r="T20" i="4"/>
  <c r="AL20" i="4"/>
  <c r="AK20" i="4"/>
  <c r="AI20" i="4"/>
  <c r="AH20" i="4"/>
  <c r="AG20" i="4"/>
  <c r="AF20" i="4"/>
  <c r="AE20" i="4"/>
  <c r="AD20" i="4"/>
  <c r="AB20" i="4"/>
  <c r="AA20" i="4"/>
  <c r="Z20" i="4"/>
  <c r="Y20" i="4"/>
  <c r="X20" i="4"/>
  <c r="W20" i="4"/>
  <c r="R20" i="4"/>
  <c r="Q20" i="4"/>
  <c r="N20" i="4"/>
  <c r="V20" i="4"/>
  <c r="P20" i="4"/>
  <c r="O20" i="4"/>
  <c r="U20" i="4"/>
  <c r="J20" i="4"/>
  <c r="I20" i="4"/>
  <c r="M20" i="4"/>
  <c r="K20" i="4"/>
  <c r="L20" i="4"/>
  <c r="AT19" i="4"/>
  <c r="AS19" i="4"/>
  <c r="AR19" i="4"/>
  <c r="AQ19" i="4"/>
  <c r="AP19" i="4"/>
  <c r="AO19" i="4"/>
  <c r="AN19" i="4"/>
  <c r="AM19" i="4"/>
  <c r="T19" i="4"/>
  <c r="AL19" i="4"/>
  <c r="AK19" i="4"/>
  <c r="AI19" i="4"/>
  <c r="AH19" i="4"/>
  <c r="AG19" i="4"/>
  <c r="AF19" i="4"/>
  <c r="AE19" i="4"/>
  <c r="AD19" i="4"/>
  <c r="AB19" i="4"/>
  <c r="AA19" i="4"/>
  <c r="Z19" i="4"/>
  <c r="Y19" i="4"/>
  <c r="X19" i="4"/>
  <c r="W19" i="4"/>
  <c r="R19" i="4"/>
  <c r="Q19" i="4"/>
  <c r="N19" i="4"/>
  <c r="V19" i="4"/>
  <c r="P19" i="4"/>
  <c r="O19" i="4"/>
  <c r="U19" i="4"/>
  <c r="J19" i="4"/>
  <c r="I19" i="4"/>
  <c r="M19" i="4"/>
  <c r="K19" i="4"/>
  <c r="L19" i="4"/>
  <c r="AT18" i="4"/>
  <c r="AS18" i="4"/>
  <c r="AR18" i="4"/>
  <c r="AQ18" i="4"/>
  <c r="AP18" i="4"/>
  <c r="AO18" i="4"/>
  <c r="AN18" i="4"/>
  <c r="AM18" i="4"/>
  <c r="T18" i="4"/>
  <c r="AL18" i="4"/>
  <c r="AK18" i="4"/>
  <c r="AI18" i="4"/>
  <c r="AH18" i="4"/>
  <c r="AG18" i="4"/>
  <c r="AF18" i="4"/>
  <c r="AE18" i="4"/>
  <c r="AD18" i="4"/>
  <c r="AB18" i="4"/>
  <c r="AA18" i="4"/>
  <c r="Z18" i="4"/>
  <c r="Y18" i="4"/>
  <c r="X18" i="4"/>
  <c r="W18" i="4"/>
  <c r="R18" i="4"/>
  <c r="Q18" i="4"/>
  <c r="N18" i="4"/>
  <c r="V18" i="4"/>
  <c r="P18" i="4"/>
  <c r="O18" i="4"/>
  <c r="U18" i="4"/>
  <c r="J18" i="4"/>
  <c r="I18" i="4"/>
  <c r="M18" i="4"/>
  <c r="K18" i="4"/>
  <c r="L18" i="4"/>
  <c r="AT17" i="4"/>
  <c r="AS17" i="4"/>
  <c r="AR17" i="4"/>
  <c r="AQ17" i="4"/>
  <c r="AP17" i="4"/>
  <c r="AO17" i="4"/>
  <c r="AN17" i="4"/>
  <c r="AM17" i="4"/>
  <c r="T17" i="4"/>
  <c r="AL17" i="4"/>
  <c r="AK17" i="4"/>
  <c r="AI17" i="4"/>
  <c r="AH17" i="4"/>
  <c r="AG17" i="4"/>
  <c r="AF17" i="4"/>
  <c r="AE17" i="4"/>
  <c r="AD17" i="4"/>
  <c r="AB17" i="4"/>
  <c r="AA17" i="4"/>
  <c r="Z17" i="4"/>
  <c r="Y17" i="4"/>
  <c r="X17" i="4"/>
  <c r="W17" i="4"/>
  <c r="R17" i="4"/>
  <c r="Q17" i="4"/>
  <c r="N17" i="4"/>
  <c r="V17" i="4"/>
  <c r="P17" i="4"/>
  <c r="O17" i="4"/>
  <c r="U17" i="4"/>
  <c r="J17" i="4"/>
  <c r="I17" i="4"/>
  <c r="M17" i="4"/>
  <c r="K17" i="4"/>
  <c r="L17" i="4"/>
  <c r="AT16" i="4"/>
  <c r="AS16" i="4"/>
  <c r="AR16" i="4"/>
  <c r="AQ16" i="4"/>
  <c r="AP16" i="4"/>
  <c r="AO16" i="4"/>
  <c r="AN16" i="4"/>
  <c r="AM16" i="4"/>
  <c r="T16" i="4"/>
  <c r="AL16" i="4"/>
  <c r="AK16" i="4"/>
  <c r="AI16" i="4"/>
  <c r="AH16" i="4"/>
  <c r="AG16" i="4"/>
  <c r="AF16" i="4"/>
  <c r="AE16" i="4"/>
  <c r="AD16" i="4"/>
  <c r="AB16" i="4"/>
  <c r="AA16" i="4"/>
  <c r="Z16" i="4"/>
  <c r="Y16" i="4"/>
  <c r="X16" i="4"/>
  <c r="W16" i="4"/>
  <c r="R16" i="4"/>
  <c r="Q16" i="4"/>
  <c r="N16" i="4"/>
  <c r="V16" i="4"/>
  <c r="P16" i="4"/>
  <c r="O16" i="4"/>
  <c r="U16" i="4"/>
  <c r="J16" i="4"/>
  <c r="I16" i="4"/>
  <c r="M16" i="4"/>
  <c r="K16" i="4"/>
  <c r="L16" i="4"/>
  <c r="AT15" i="4"/>
  <c r="AS15" i="4"/>
  <c r="AR15" i="4"/>
  <c r="AQ15" i="4"/>
  <c r="AP15" i="4"/>
  <c r="AO15" i="4"/>
  <c r="AN15" i="4"/>
  <c r="AM15" i="4"/>
  <c r="T15" i="4"/>
  <c r="AL15" i="4"/>
  <c r="AK15" i="4"/>
  <c r="AI15" i="4"/>
  <c r="AH15" i="4"/>
  <c r="AG15" i="4"/>
  <c r="AF15" i="4"/>
  <c r="AE15" i="4"/>
  <c r="AD15" i="4"/>
  <c r="AB15" i="4"/>
  <c r="AA15" i="4"/>
  <c r="Z15" i="4"/>
  <c r="Y15" i="4"/>
  <c r="X15" i="4"/>
  <c r="W15" i="4"/>
  <c r="R15" i="4"/>
  <c r="Q15" i="4"/>
  <c r="N15" i="4"/>
  <c r="V15" i="4"/>
  <c r="P15" i="4"/>
  <c r="O15" i="4"/>
  <c r="U15" i="4"/>
  <c r="J15" i="4"/>
  <c r="I15" i="4"/>
  <c r="M15" i="4"/>
  <c r="K15" i="4"/>
  <c r="L15" i="4"/>
  <c r="AT14" i="4"/>
  <c r="AS14" i="4"/>
  <c r="AR14" i="4"/>
  <c r="AQ14" i="4"/>
  <c r="AP14" i="4"/>
  <c r="AO14" i="4"/>
  <c r="AN14" i="4"/>
  <c r="AM14" i="4"/>
  <c r="T14" i="4"/>
  <c r="AL14" i="4"/>
  <c r="AK14" i="4"/>
  <c r="AI14" i="4"/>
  <c r="AH14" i="4"/>
  <c r="AG14" i="4"/>
  <c r="AF14" i="4"/>
  <c r="AE14" i="4"/>
  <c r="AD14" i="4"/>
  <c r="AB14" i="4"/>
  <c r="AA14" i="4"/>
  <c r="Z14" i="4"/>
  <c r="Y14" i="4"/>
  <c r="X14" i="4"/>
  <c r="W14" i="4"/>
  <c r="R14" i="4"/>
  <c r="Q14" i="4"/>
  <c r="N14" i="4"/>
  <c r="V14" i="4"/>
  <c r="P14" i="4"/>
  <c r="O14" i="4"/>
  <c r="U14" i="4"/>
  <c r="J14" i="4"/>
  <c r="I14" i="4"/>
  <c r="M14" i="4"/>
  <c r="K14" i="4"/>
  <c r="L14" i="4"/>
  <c r="AT13" i="4"/>
  <c r="AS13" i="4"/>
  <c r="AR13" i="4"/>
  <c r="AQ13" i="4"/>
  <c r="AP13" i="4"/>
  <c r="AO13" i="4"/>
  <c r="AN13" i="4"/>
  <c r="AM13" i="4"/>
  <c r="T13" i="4"/>
  <c r="AL13" i="4"/>
  <c r="AK13" i="4"/>
  <c r="AI13" i="4"/>
  <c r="AH13" i="4"/>
  <c r="AG13" i="4"/>
  <c r="AF13" i="4"/>
  <c r="AE13" i="4"/>
  <c r="AD13" i="4"/>
  <c r="AB13" i="4"/>
  <c r="AA13" i="4"/>
  <c r="Z13" i="4"/>
  <c r="Y13" i="4"/>
  <c r="X13" i="4"/>
  <c r="W13" i="4"/>
  <c r="R13" i="4"/>
  <c r="Q13" i="4"/>
  <c r="N13" i="4"/>
  <c r="V13" i="4"/>
  <c r="P13" i="4"/>
  <c r="O13" i="4"/>
  <c r="U13" i="4"/>
  <c r="J13" i="4"/>
  <c r="I13" i="4"/>
  <c r="M13" i="4"/>
  <c r="K13" i="4"/>
  <c r="L13" i="4"/>
  <c r="AT12" i="4"/>
  <c r="AS12" i="4"/>
  <c r="AR12" i="4"/>
  <c r="AQ12" i="4"/>
  <c r="AP12" i="4"/>
  <c r="AO12" i="4"/>
  <c r="AN12" i="4"/>
  <c r="AM12" i="4"/>
  <c r="T12" i="4"/>
  <c r="AL12" i="4"/>
  <c r="AK12" i="4"/>
  <c r="AI12" i="4"/>
  <c r="AH12" i="4"/>
  <c r="AG12" i="4"/>
  <c r="AF12" i="4"/>
  <c r="AE12" i="4"/>
  <c r="AD12" i="4"/>
  <c r="AB12" i="4"/>
  <c r="AA12" i="4"/>
  <c r="Z12" i="4"/>
  <c r="Y12" i="4"/>
  <c r="X12" i="4"/>
  <c r="W12" i="4"/>
  <c r="R12" i="4"/>
  <c r="Q12" i="4"/>
  <c r="N12" i="4"/>
  <c r="V12" i="4"/>
  <c r="P12" i="4"/>
  <c r="O12" i="4"/>
  <c r="U12" i="4"/>
  <c r="J12" i="4"/>
  <c r="I12" i="4"/>
  <c r="M12" i="4"/>
  <c r="K12" i="4"/>
  <c r="L12" i="4"/>
  <c r="AT11" i="4"/>
  <c r="AS11" i="4"/>
  <c r="AR11" i="4"/>
  <c r="AQ11" i="4"/>
  <c r="AP11" i="4"/>
  <c r="AO11" i="4"/>
  <c r="AN11" i="4"/>
  <c r="AM11" i="4"/>
  <c r="T11" i="4"/>
  <c r="AL11" i="4"/>
  <c r="AK11" i="4"/>
  <c r="AI11" i="4"/>
  <c r="AH11" i="4"/>
  <c r="AG11" i="4"/>
  <c r="AF11" i="4"/>
  <c r="AE11" i="4"/>
  <c r="AD11" i="4"/>
  <c r="AB11" i="4"/>
  <c r="AA11" i="4"/>
  <c r="Z11" i="4"/>
  <c r="Y11" i="4"/>
  <c r="X11" i="4"/>
  <c r="W11" i="4"/>
  <c r="R11" i="4"/>
  <c r="Q11" i="4"/>
  <c r="N11" i="4"/>
  <c r="V11" i="4"/>
  <c r="P11" i="4"/>
  <c r="O11" i="4"/>
  <c r="U11" i="4"/>
  <c r="J11" i="4"/>
  <c r="I11" i="4"/>
  <c r="M11" i="4"/>
  <c r="K11" i="4"/>
  <c r="L11" i="4"/>
  <c r="AT10" i="4"/>
  <c r="AS10" i="4"/>
  <c r="AR10" i="4"/>
  <c r="AQ10" i="4"/>
  <c r="AP10" i="4"/>
  <c r="AO10" i="4"/>
  <c r="AN10" i="4"/>
  <c r="AM10" i="4"/>
  <c r="T10" i="4"/>
  <c r="AL10" i="4"/>
  <c r="AK10" i="4"/>
  <c r="AI10" i="4"/>
  <c r="AH10" i="4"/>
  <c r="AG10" i="4"/>
  <c r="AF10" i="4"/>
  <c r="AE10" i="4"/>
  <c r="AD10" i="4"/>
  <c r="AB10" i="4"/>
  <c r="AA10" i="4"/>
  <c r="Z10" i="4"/>
  <c r="Y10" i="4"/>
  <c r="X10" i="4"/>
  <c r="W10" i="4"/>
  <c r="R10" i="4"/>
  <c r="Q10" i="4"/>
  <c r="N10" i="4"/>
  <c r="V10" i="4"/>
  <c r="P10" i="4"/>
  <c r="O10" i="4"/>
  <c r="U10" i="4"/>
  <c r="J10" i="4"/>
  <c r="I10" i="4"/>
  <c r="M10" i="4"/>
  <c r="K10" i="4"/>
  <c r="L10" i="4"/>
  <c r="AT9" i="4"/>
  <c r="AS9" i="4"/>
  <c r="AR9" i="4"/>
  <c r="AQ9" i="4"/>
  <c r="AP9" i="4"/>
  <c r="AO9" i="4"/>
  <c r="AN9" i="4"/>
  <c r="AM9" i="4"/>
  <c r="T9" i="4"/>
  <c r="AL9" i="4"/>
  <c r="AK9" i="4"/>
  <c r="AI9" i="4"/>
  <c r="AH9" i="4"/>
  <c r="AG9" i="4"/>
  <c r="AF9" i="4"/>
  <c r="AE9" i="4"/>
  <c r="AD9" i="4"/>
  <c r="AB9" i="4"/>
  <c r="AA9" i="4"/>
  <c r="Z9" i="4"/>
  <c r="Y9" i="4"/>
  <c r="X9" i="4"/>
  <c r="W9" i="4"/>
  <c r="R9" i="4"/>
  <c r="Q9" i="4"/>
  <c r="N9" i="4"/>
  <c r="V9" i="4"/>
  <c r="P9" i="4"/>
  <c r="O9" i="4"/>
  <c r="U9" i="4"/>
  <c r="J9" i="4"/>
  <c r="I9" i="4"/>
  <c r="M9" i="4"/>
  <c r="K9" i="4"/>
  <c r="L9" i="4"/>
  <c r="AT8" i="4"/>
  <c r="AS8" i="4"/>
  <c r="AR8" i="4"/>
  <c r="AQ8" i="4"/>
  <c r="AP8" i="4"/>
  <c r="AO8" i="4"/>
  <c r="AN8" i="4"/>
  <c r="AM8" i="4"/>
  <c r="T8" i="4"/>
  <c r="AL8" i="4"/>
  <c r="AK8" i="4"/>
  <c r="AI8" i="4"/>
  <c r="AH8" i="4"/>
  <c r="AG8" i="4"/>
  <c r="AF8" i="4"/>
  <c r="AE8" i="4"/>
  <c r="AD8" i="4"/>
  <c r="AB8" i="4"/>
  <c r="AA8" i="4"/>
  <c r="Z8" i="4"/>
  <c r="Y8" i="4"/>
  <c r="X8" i="4"/>
  <c r="W8" i="4"/>
  <c r="R8" i="4"/>
  <c r="Q8" i="4"/>
  <c r="N8" i="4"/>
  <c r="V8" i="4"/>
  <c r="P8" i="4"/>
  <c r="O8" i="4"/>
  <c r="U8" i="4"/>
  <c r="J8" i="4"/>
  <c r="I8" i="4"/>
  <c r="M8" i="4"/>
  <c r="K8" i="4"/>
  <c r="L8" i="4"/>
  <c r="AT7" i="4"/>
  <c r="AS7" i="4"/>
  <c r="AR7" i="4"/>
  <c r="AQ7" i="4"/>
  <c r="AP7" i="4"/>
  <c r="AO7" i="4"/>
  <c r="AN7" i="4"/>
  <c r="AM7" i="4"/>
  <c r="T7" i="4"/>
  <c r="AL7" i="4"/>
  <c r="AK7" i="4"/>
  <c r="AI7" i="4"/>
  <c r="AH7" i="4"/>
  <c r="AG7" i="4"/>
  <c r="AF7" i="4"/>
  <c r="AE7" i="4"/>
  <c r="AD7" i="4"/>
  <c r="AB7" i="4"/>
  <c r="AA7" i="4"/>
  <c r="Z7" i="4"/>
  <c r="Y7" i="4"/>
  <c r="X7" i="4"/>
  <c r="W7" i="4"/>
  <c r="R7" i="4"/>
  <c r="Q7" i="4"/>
  <c r="N7" i="4"/>
  <c r="V7" i="4"/>
  <c r="P7" i="4"/>
  <c r="O7" i="4"/>
  <c r="U7" i="4"/>
  <c r="J7" i="4"/>
  <c r="I7" i="4"/>
  <c r="M7" i="4"/>
  <c r="K7" i="4"/>
  <c r="L7" i="4"/>
  <c r="AT6" i="4"/>
  <c r="AS6" i="4"/>
  <c r="AR6" i="4"/>
  <c r="AQ6" i="4"/>
  <c r="AP6" i="4"/>
  <c r="AO6" i="4"/>
  <c r="AN6" i="4"/>
  <c r="AM6" i="4"/>
  <c r="T6" i="4"/>
  <c r="AL6" i="4"/>
  <c r="AK6" i="4"/>
  <c r="AI6" i="4"/>
  <c r="AH6" i="4"/>
  <c r="AG6" i="4"/>
  <c r="AF6" i="4"/>
  <c r="AE6" i="4"/>
  <c r="AD6" i="4"/>
  <c r="AB6" i="4"/>
  <c r="AA6" i="4"/>
  <c r="Z6" i="4"/>
  <c r="Y6" i="4"/>
  <c r="X6" i="4"/>
  <c r="W6" i="4"/>
  <c r="R6" i="4"/>
  <c r="Q6" i="4"/>
  <c r="N6" i="4"/>
  <c r="V6" i="4"/>
  <c r="P6" i="4"/>
  <c r="O6" i="4"/>
  <c r="U6" i="4"/>
  <c r="J6" i="4"/>
  <c r="I6" i="4"/>
  <c r="M6" i="4"/>
  <c r="K6" i="4"/>
  <c r="L6" i="4"/>
  <c r="AT5" i="4"/>
  <c r="AS5" i="4"/>
  <c r="AR5" i="4"/>
  <c r="AQ5" i="4"/>
  <c r="AP5" i="4"/>
  <c r="AO5" i="4"/>
  <c r="AN5" i="4"/>
  <c r="AM5" i="4"/>
  <c r="T5" i="4"/>
  <c r="AL5" i="4"/>
  <c r="AK5" i="4"/>
  <c r="AI5" i="4"/>
  <c r="AH5" i="4"/>
  <c r="AG5" i="4"/>
  <c r="AF5" i="4"/>
  <c r="AE5" i="4"/>
  <c r="AD5" i="4"/>
  <c r="AB5" i="4"/>
  <c r="AA5" i="4"/>
  <c r="Z5" i="4"/>
  <c r="Y5" i="4"/>
  <c r="X5" i="4"/>
  <c r="W5" i="4"/>
  <c r="R5" i="4"/>
  <c r="Q5" i="4"/>
  <c r="N5" i="4"/>
  <c r="V5" i="4"/>
  <c r="P5" i="4"/>
  <c r="O5" i="4"/>
  <c r="U5" i="4"/>
  <c r="J5" i="4"/>
  <c r="I5" i="4"/>
  <c r="M5" i="4"/>
  <c r="K5" i="4"/>
  <c r="L5" i="4"/>
  <c r="AM87" i="4" l="1"/>
  <c r="AM93" i="4"/>
  <c r="AM107" i="4"/>
  <c r="AM91" i="4"/>
  <c r="AM92" i="4"/>
  <c r="AM109" i="4"/>
  <c r="AM110" i="4"/>
  <c r="AM108" i="4"/>
  <c r="AM89" i="4"/>
  <c r="AM90" i="4"/>
  <c r="AM86" i="4"/>
  <c r="AM88" i="4"/>
  <c r="AM94" i="4"/>
  <c r="AJ115" i="4"/>
  <c r="AJ110" i="4"/>
  <c r="AJ114" i="4"/>
  <c r="AJ111" i="4"/>
  <c r="AJ113" i="4"/>
  <c r="AH109" i="4"/>
  <c r="AH110" i="4"/>
  <c r="AH91" i="4"/>
  <c r="AH87" i="4"/>
  <c r="AH86" i="4"/>
  <c r="AH88" i="4"/>
  <c r="AH108" i="4"/>
  <c r="I90" i="4"/>
  <c r="I111" i="4"/>
  <c r="I89" i="4"/>
  <c r="I86" i="4"/>
  <c r="I87" i="4"/>
  <c r="I88" i="4"/>
  <c r="I109" i="4"/>
  <c r="I94" i="4"/>
  <c r="I93" i="4"/>
  <c r="AC113" i="4"/>
  <c r="L113" i="4"/>
  <c r="AB114" i="4"/>
  <c r="AE112" i="4"/>
  <c r="Y109" i="4"/>
  <c r="U114" i="4"/>
  <c r="AC56" i="4"/>
  <c r="L83" i="4"/>
  <c r="AB112" i="4"/>
  <c r="AL113" i="4"/>
  <c r="AN113" i="4"/>
  <c r="AN114" i="4"/>
  <c r="L76" i="4"/>
  <c r="AB83" i="4"/>
  <c r="AC111" i="4"/>
  <c r="AC114" i="4"/>
  <c r="AK110" i="4"/>
  <c r="AL112" i="4"/>
  <c r="AK115" i="4"/>
  <c r="L84" i="4"/>
  <c r="Y115" i="4"/>
  <c r="Y114" i="4"/>
  <c r="Y113" i="4"/>
  <c r="Y112" i="4"/>
  <c r="AE114" i="4"/>
  <c r="AP84" i="4"/>
  <c r="T111" i="4"/>
  <c r="Y85" i="4"/>
  <c r="AI115" i="4"/>
  <c r="L56" i="4"/>
  <c r="X80" i="4"/>
  <c r="AB82" i="4"/>
  <c r="AC73" i="4"/>
  <c r="AM115" i="4"/>
  <c r="AD114" i="4"/>
  <c r="AH115" i="4"/>
  <c r="AL115" i="4"/>
  <c r="AO115" i="4"/>
  <c r="AO114" i="4"/>
  <c r="AA115" i="4"/>
  <c r="X115" i="4"/>
  <c r="S114" i="4"/>
  <c r="P115" i="4"/>
  <c r="P114" i="4"/>
  <c r="U115" i="4"/>
  <c r="J114" i="4"/>
  <c r="AT112" i="4"/>
  <c r="AQ114" i="4"/>
  <c r="AQ113" i="4"/>
  <c r="AQ112" i="4"/>
  <c r="AP112" i="4"/>
  <c r="AM114" i="4"/>
  <c r="AM113" i="4"/>
  <c r="AM112" i="4"/>
  <c r="AM111" i="4"/>
  <c r="AL114" i="4"/>
  <c r="AK114" i="4"/>
  <c r="AK113" i="4"/>
  <c r="AK112" i="4"/>
  <c r="AH114" i="4"/>
  <c r="AH113" i="4"/>
  <c r="AG111" i="4"/>
  <c r="AG112" i="4"/>
  <c r="AD113" i="4"/>
  <c r="AD112" i="4"/>
  <c r="AC112" i="4"/>
  <c r="AB113" i="4"/>
  <c r="AA114" i="4"/>
  <c r="Y110" i="4"/>
  <c r="Y111" i="4"/>
  <c r="Y108" i="4"/>
  <c r="X114" i="4"/>
  <c r="X113" i="4"/>
  <c r="X112" i="4"/>
  <c r="X111" i="4"/>
  <c r="S113" i="4"/>
  <c r="S112" i="4"/>
  <c r="J113" i="4"/>
  <c r="J112" i="4"/>
  <c r="I113" i="4"/>
  <c r="I112" i="4"/>
  <c r="I110" i="4"/>
  <c r="M114" i="4"/>
  <c r="M113" i="4"/>
  <c r="M112" i="4"/>
  <c r="R113" i="4"/>
  <c r="R112" i="4"/>
  <c r="U111" i="4"/>
  <c r="L109" i="4"/>
  <c r="AH85" i="4"/>
  <c r="AA85" i="4"/>
  <c r="X85" i="4"/>
  <c r="L85" i="4"/>
  <c r="I85" i="4"/>
  <c r="X83" i="4"/>
  <c r="AC84" i="4"/>
  <c r="X81" i="4"/>
  <c r="X82" i="4"/>
  <c r="AB69" i="4"/>
  <c r="AB80" i="4"/>
  <c r="AN81" i="4"/>
  <c r="AN84" i="4"/>
  <c r="AN83" i="4"/>
  <c r="X84" i="4"/>
  <c r="AB84" i="4"/>
  <c r="AC75" i="4"/>
  <c r="AN82" i="4"/>
  <c r="I75" i="4"/>
  <c r="L47" i="4"/>
  <c r="L48" i="4"/>
  <c r="M49" i="4"/>
  <c r="AB58" i="4"/>
  <c r="AC55" i="4"/>
  <c r="AN57" i="4"/>
  <c r="AN66" i="4"/>
  <c r="AG42" i="4"/>
  <c r="L34" i="4"/>
  <c r="L58" i="4"/>
  <c r="L59" i="4"/>
  <c r="O72" i="4"/>
  <c r="P74" i="4"/>
  <c r="I72" i="4"/>
  <c r="N73" i="4"/>
  <c r="AB54" i="4"/>
  <c r="AC54" i="4"/>
  <c r="AM67" i="4"/>
  <c r="AN67" i="4"/>
  <c r="AC72" i="4"/>
  <c r="L72" i="4"/>
  <c r="L73" i="4"/>
  <c r="L74" i="4"/>
  <c r="L75" i="4"/>
  <c r="L77" i="4"/>
  <c r="L78" i="4"/>
  <c r="O73" i="4"/>
  <c r="AN68" i="4"/>
  <c r="AN70" i="4"/>
  <c r="AN78" i="4"/>
  <c r="AC76" i="4"/>
  <c r="K68" i="4"/>
  <c r="X75" i="4"/>
  <c r="X77" i="4"/>
  <c r="X78" i="4"/>
  <c r="AB55" i="4"/>
  <c r="AB59" i="4"/>
  <c r="AB60" i="4"/>
  <c r="AB64" i="4"/>
  <c r="AB65" i="4"/>
  <c r="AB68" i="4"/>
  <c r="AB70" i="4"/>
  <c r="AB71" i="4"/>
  <c r="AB72" i="4"/>
  <c r="AB73" i="4"/>
  <c r="AB74" i="4"/>
  <c r="AB75" i="4"/>
  <c r="AN55" i="4"/>
  <c r="AN56" i="4"/>
  <c r="AN58" i="4"/>
  <c r="AN59" i="4"/>
  <c r="AN60" i="4"/>
  <c r="AN61" i="4"/>
  <c r="AN71" i="4"/>
  <c r="AN72" i="4"/>
  <c r="AN73" i="4"/>
  <c r="AN75" i="4"/>
  <c r="AN76" i="4"/>
  <c r="AN77" i="4"/>
  <c r="AN79" i="4"/>
  <c r="O55" i="4"/>
  <c r="N74" i="4"/>
  <c r="X76" i="4"/>
  <c r="X79" i="4"/>
  <c r="AB76" i="4"/>
  <c r="AB77" i="4"/>
  <c r="AB79" i="4"/>
  <c r="AT57" i="4"/>
</calcChain>
</file>

<file path=xl/sharedStrings.xml><?xml version="1.0" encoding="utf-8"?>
<sst xmlns="http://schemas.openxmlformats.org/spreadsheetml/2006/main" count="1395" uniqueCount="438">
  <si>
    <t>https://toyokeizai.net/articles/-/190960?page=3</t>
  </si>
  <si>
    <t>http://www.saitama-u.ac.jp/news_archives/2020-0824-0955-9.html</t>
  </si>
  <si>
    <t>https://www.kanazawa-u.ac.jp/university/corporation/risk_management/new_coronavirus</t>
  </si>
  <si>
    <t>https://www.nagoya-u.ac.jp/info/kansen.html</t>
  </si>
  <si>
    <t>課外活動による感染1</t>
  </si>
  <si>
    <t>4/13以降はホームページの資料に基づく</t>
  </si>
  <si>
    <t>本学の附属中学校生徒1名感染</t>
  </si>
  <si>
    <t>https://www.meiji.ac.jp/koho/natural-disaster/6t5h7p000034myo0.html</t>
  </si>
  <si>
    <t>https://www.meijo-u.ac.jp/news/?page_num=1</t>
  </si>
  <si>
    <t>https://www.tohoku-gakuin.ac.jp/emergency/student-6.html</t>
    <phoneticPr fontId="13"/>
  </si>
  <si>
    <t>https://www.chubu.jp/main/news/8844/</t>
    <phoneticPr fontId="13"/>
  </si>
  <si>
    <t>https://www.kobegakuin.ac.jp/news/4feb672ff3714c6c7288.html</t>
    <phoneticPr fontId="13"/>
  </si>
  <si>
    <t>https://www.ris.ac.jp/whatsnew/2020/index.html
https://www.ris.ac.jp/introduction/Covid19/report.html</t>
    <phoneticPr fontId="13"/>
  </si>
  <si>
    <t>https://www.aichi-u.ac.jp/news?p=1&amp;m=l&amp;c=3547</t>
    <phoneticPr fontId="13"/>
  </si>
  <si>
    <t>https://www.it-chiba.ac.jp/institute/covid/</t>
    <phoneticPr fontId="13"/>
  </si>
  <si>
    <t>https://www.nanzan-u.ac.jp/Menu/news/2020/covid-19/</t>
    <phoneticPr fontId="13"/>
  </si>
  <si>
    <t>https://www.konan-u.ac.jp/news/archives/28522
https://www.konan-u.ac.jp/news/archives/32330</t>
    <phoneticPr fontId="13"/>
  </si>
  <si>
    <t>https://www.tmu.ac.jp/news/topics/24000/30446.html</t>
    <phoneticPr fontId="13"/>
  </si>
  <si>
    <t>https://www.aasa.ac.jp/topics/202007_001.html</t>
    <phoneticPr fontId="13"/>
  </si>
  <si>
    <t>https://www.dokkyo.ac.jp/about/covid_19/2021/infection.html
https://www.dokkyo.ac.jp/information/news/
https://www.dokkyo.ac.jp/information/news/2020/</t>
    <phoneticPr fontId="13"/>
  </si>
  <si>
    <t>https://info.mukogawa-u.ac.jp/publicity/newsdetail?id=3441</t>
    <phoneticPr fontId="13"/>
  </si>
  <si>
    <t>https://www.hgu.jp/info/news/COVID-19-infection.html
https://www.hgu.jp/info/news/20201013-01.html</t>
    <phoneticPr fontId="13"/>
  </si>
  <si>
    <t>https://www.shibaura-it.ac.jp/about/info/crisis_management/covid-19.html</t>
    <phoneticPr fontId="13"/>
  </si>
  <si>
    <t>https://www.osaka-sandai.ac.jp/news/</t>
    <phoneticPr fontId="13"/>
  </si>
  <si>
    <t>https://www.seinan-gu.ac.jp/news.html?tag=%E6%96%B0%E5%9E%8B%E3%82%B3%E3%83%AD%E3%83%8A%E3%82%A6%E3%82%A4%E3%83%AB%E3%82%B9&amp;page=1</t>
    <phoneticPr fontId="13"/>
  </si>
  <si>
    <t>https://www.soka.ac.jp/</t>
    <phoneticPr fontId="13"/>
  </si>
  <si>
    <t>1+2</t>
    <phoneticPr fontId="13"/>
  </si>
  <si>
    <r>
      <rPr>
        <sz val="11"/>
        <color rgb="FF333333"/>
        <rFont val="メイリオ"/>
        <family val="3"/>
        <charset val="128"/>
      </rPr>
      <t>東広島</t>
    </r>
  </si>
  <si>
    <r>
      <t xml:space="preserve">https://www.hiroshima-u.ac.jp/2020covid-19/news?page=3
</t>
    </r>
    <r>
      <rPr>
        <u/>
        <sz val="11"/>
        <color rgb="FF1155CC"/>
        <rFont val="Calibri"/>
        <family val="2"/>
      </rPr>
      <t>https://www.hiroshima-u.ac.jp/2020covid-19/news/65733</t>
    </r>
    <phoneticPr fontId="13"/>
  </si>
  <si>
    <t>https://www.chiba-u.ac.jp/others/topics/2020covid-19/post_3.html</t>
    <phoneticPr fontId="13"/>
  </si>
  <si>
    <t>https://www.niigata-u.ac.jp/information/2021/87992/</t>
    <phoneticPr fontId="13"/>
  </si>
  <si>
    <t>https://www.shizuoka.ac.jp/news/2020/covid-19_portal.html
https://www.shizuoka.ac.jp/news/2020/covid-19.html#hassei</t>
    <phoneticPr fontId="13"/>
  </si>
  <si>
    <t>https://www.u-ryukyu.ac.jp/infected-person-information-of-covid-19/</t>
    <phoneticPr fontId="13"/>
  </si>
  <si>
    <t>https://www.mie-u.ac.jp/topics/university/2020/09/202084.html
https://www.mie-u.ac.jp/topics/university/2022/01/120201124.html</t>
    <phoneticPr fontId="13"/>
  </si>
  <si>
    <t>https://www.doshisha.ac.jp/information/public/covid_old_infection.html</t>
    <phoneticPr fontId="13"/>
  </si>
  <si>
    <t>https://www.senshu-u.ac.jp/about/efforts/for_covid-19/kako_joukyou.html
https://www.senshu-u.ac.jp/about/efforts/for_covid-19/information.html</t>
    <phoneticPr fontId="13"/>
  </si>
  <si>
    <t>7+1</t>
    <phoneticPr fontId="13"/>
  </si>
  <si>
    <t>https://www.kyoto-su.ac.jp/news/past_2020_345_attention.html#00</t>
    <phoneticPr fontId="13"/>
  </si>
  <si>
    <t>https://www.hokudai.ac.jp/news/
https://www.hokudai.ac.jp/news/news/
https://www.hokudai.ac.jp/covid-19/
https://www.hokudai.ac.jp/news/archives.html</t>
    <phoneticPr fontId="13"/>
  </si>
  <si>
    <t>Source</t>
    <phoneticPr fontId="13"/>
  </si>
  <si>
    <t>Hokkaio</t>
    <phoneticPr fontId="13"/>
  </si>
  <si>
    <t>Tohoku</t>
    <phoneticPr fontId="13"/>
  </si>
  <si>
    <t>Nagoya</t>
    <phoneticPr fontId="13"/>
  </si>
  <si>
    <t>Kyoto</t>
    <phoneticPr fontId="13"/>
  </si>
  <si>
    <t>Kyushu</t>
    <phoneticPr fontId="13"/>
  </si>
  <si>
    <t>Saitama</t>
    <phoneticPr fontId="13"/>
  </si>
  <si>
    <t>Chiba</t>
    <phoneticPr fontId="13"/>
  </si>
  <si>
    <t>Niigata</t>
    <phoneticPr fontId="13"/>
  </si>
  <si>
    <t>Ryukyus</t>
    <phoneticPr fontId="13"/>
  </si>
  <si>
    <t>Hiroshima</t>
    <phoneticPr fontId="13"/>
  </si>
  <si>
    <t>Kumamoto</t>
    <phoneticPr fontId="13"/>
  </si>
  <si>
    <t>Kanazawa</t>
    <phoneticPr fontId="13"/>
  </si>
  <si>
    <t>Shizuoka</t>
    <phoneticPr fontId="13"/>
  </si>
  <si>
    <t>Mie</t>
    <phoneticPr fontId="13"/>
  </si>
  <si>
    <t>Meiji</t>
    <phoneticPr fontId="13"/>
  </si>
  <si>
    <t>Doshisha</t>
    <phoneticPr fontId="13"/>
  </si>
  <si>
    <t>Ryukoku</t>
    <phoneticPr fontId="13"/>
  </si>
  <si>
    <t>Senshu</t>
    <phoneticPr fontId="13"/>
  </si>
  <si>
    <t>Meijo</t>
    <phoneticPr fontId="13"/>
  </si>
  <si>
    <t>Chukyo</t>
    <phoneticPr fontId="13"/>
  </si>
  <si>
    <t>Kyoto Sangyo</t>
    <phoneticPr fontId="13"/>
  </si>
  <si>
    <t>Tohoku Gakuin</t>
    <phoneticPr fontId="13"/>
  </si>
  <si>
    <t>Chubu</t>
    <phoneticPr fontId="13"/>
  </si>
  <si>
    <t>Kobe Gakuin</t>
    <phoneticPr fontId="13"/>
  </si>
  <si>
    <t>Rissho</t>
    <phoneticPr fontId="13"/>
  </si>
  <si>
    <t>Aichi</t>
    <phoneticPr fontId="13"/>
  </si>
  <si>
    <t>Nanzan</t>
    <phoneticPr fontId="13"/>
  </si>
  <si>
    <t>Konan</t>
    <phoneticPr fontId="13"/>
  </si>
  <si>
    <t>Tokyo Metropolitan</t>
    <phoneticPr fontId="13"/>
  </si>
  <si>
    <t>Aichi Shukutoku</t>
    <phoneticPr fontId="13"/>
  </si>
  <si>
    <t>Tokkyo</t>
    <phoneticPr fontId="13"/>
  </si>
  <si>
    <t>Hokkai-Gakuen</t>
    <phoneticPr fontId="13"/>
  </si>
  <si>
    <t xml:space="preserve">Shibaura </t>
    <phoneticPr fontId="13"/>
  </si>
  <si>
    <t>Osaka Sangyo</t>
    <phoneticPr fontId="13"/>
  </si>
  <si>
    <t>Seinan Gakuin</t>
    <phoneticPr fontId="13"/>
  </si>
  <si>
    <t>Soka</t>
    <phoneticPr fontId="13"/>
  </si>
  <si>
    <t>Chiba Tech</t>
    <phoneticPr fontId="13"/>
  </si>
  <si>
    <t>week numbers</t>
    <phoneticPr fontId="13"/>
  </si>
  <si>
    <t>date</t>
    <phoneticPr fontId="13"/>
  </si>
  <si>
    <t>Student + Faculty + Staff</t>
    <phoneticPr fontId="13"/>
  </si>
  <si>
    <t>53, 0</t>
    <phoneticPr fontId="13"/>
  </si>
  <si>
    <t>Nagoya</t>
  </si>
  <si>
    <t>Shizuoka</t>
  </si>
  <si>
    <r>
      <rPr>
        <sz val="11"/>
        <color theme="1"/>
        <rFont val="Calibri"/>
        <family val="3"/>
      </rP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2022/03/09</t>
    </r>
    <phoneticPr fontId="13"/>
  </si>
  <si>
    <t>Last updated：2022/03/08</t>
  </si>
  <si>
    <t xml:space="preserve">Cases of infection in extracurricular activities and lodging facilities have been reported.	</t>
    <phoneticPr fontId="13"/>
  </si>
  <si>
    <t>Note</t>
    <phoneticPr fontId="13"/>
  </si>
  <si>
    <t>https://www.kyoto-u.ac.jp/ja/about/foundation/coronavirus/rikansha</t>
    <phoneticPr fontId="13"/>
  </si>
  <si>
    <t>Date</t>
    <phoneticPr fontId="13"/>
  </si>
  <si>
    <t>Week</t>
    <phoneticPr fontId="13"/>
  </si>
  <si>
    <t>Student</t>
    <phoneticPr fontId="13"/>
  </si>
  <si>
    <t>Faculty &amp; Staff</t>
    <phoneticPr fontId="13"/>
  </si>
  <si>
    <t>Campus(Stu)</t>
    <phoneticPr fontId="13"/>
  </si>
  <si>
    <t>Campus(Fac&amp;Sta)</t>
    <phoneticPr fontId="13"/>
  </si>
  <si>
    <t>7/20, 4 Infected through close contact with infected persons in extracurricular activities</t>
    <phoneticPr fontId="13"/>
  </si>
  <si>
    <r>
      <t xml:space="preserve">8/20, 1 </t>
    </r>
    <r>
      <rPr>
        <sz val="11"/>
        <color theme="1"/>
        <rFont val="Calibri"/>
        <family val="3"/>
      </rPr>
      <t>person infected by close contact with an infected person in a dormitory</t>
    </r>
    <phoneticPr fontId="13"/>
  </si>
  <si>
    <t>4/5, 4 infected by close contact with infected persons in a dormitory</t>
    <phoneticPr fontId="13"/>
  </si>
  <si>
    <t>4/5, 2 infected by close contact with infected persons in a dormitory</t>
    <phoneticPr fontId="13"/>
  </si>
  <si>
    <t>1. Infection cases until March 2021 are based on data sent by the school.</t>
    <phoneticPr fontId="13"/>
  </si>
  <si>
    <t>https://www.kyushu-u.ac.jp/ja/notices/index/2021</t>
    <phoneticPr fontId="13"/>
  </si>
  <si>
    <t>Ito</t>
  </si>
  <si>
    <t>Ito3</t>
  </si>
  <si>
    <t>Ito1</t>
  </si>
  <si>
    <t>Ito6+2</t>
  </si>
  <si>
    <t>Ito4</t>
  </si>
  <si>
    <t>Ito2</t>
  </si>
  <si>
    <t>Ito1</t>
    <phoneticPr fontId="13"/>
  </si>
  <si>
    <t>Ito3</t>
    <phoneticPr fontId="13"/>
  </si>
  <si>
    <t>Ito2</t>
    <phoneticPr fontId="13"/>
  </si>
  <si>
    <t>Ito4</t>
    <phoneticPr fontId="13"/>
  </si>
  <si>
    <t>Ohashi</t>
  </si>
  <si>
    <t>Ito、Ohashi</t>
  </si>
  <si>
    <t>Ohashi1</t>
    <phoneticPr fontId="13"/>
  </si>
  <si>
    <t>Tsukushi</t>
  </si>
  <si>
    <t>Tsukushi1、Ito12+2</t>
    <phoneticPr fontId="13"/>
  </si>
  <si>
    <t>Tsukushi1</t>
    <phoneticPr fontId="13"/>
  </si>
  <si>
    <t>Maidashi</t>
  </si>
  <si>
    <t>Ito、Maidashi</t>
  </si>
  <si>
    <t>Maidashi2、Ito1</t>
  </si>
  <si>
    <t>Maidashi1、Ito1</t>
  </si>
  <si>
    <t>Ito1、Maidashi1</t>
  </si>
  <si>
    <t>Ito7、Maidashi1</t>
    <phoneticPr fontId="13"/>
  </si>
  <si>
    <t>Ito3+4+2、Ohashi1、Maidashi2</t>
  </si>
  <si>
    <t>Maidashi4、Ito20</t>
  </si>
  <si>
    <t>Ohashi2、Maidashi1+1、Ito21+1</t>
    <phoneticPr fontId="13"/>
  </si>
  <si>
    <t>Maidashi1、Ito2</t>
    <phoneticPr fontId="13"/>
  </si>
  <si>
    <t>Maidashi2</t>
  </si>
  <si>
    <t>Maidashi3</t>
    <phoneticPr fontId="13"/>
  </si>
  <si>
    <t>Maidashi1</t>
    <phoneticPr fontId="13"/>
  </si>
  <si>
    <t>Etc.</t>
  </si>
  <si>
    <t>Ito、Etc.</t>
    <phoneticPr fontId="13"/>
  </si>
  <si>
    <t>Etc.</t>
    <phoneticPr fontId="13"/>
  </si>
  <si>
    <t>Ito2,  Ohashi1</t>
  </si>
  <si>
    <t>Ito2, Tsukushi1</t>
  </si>
  <si>
    <t>Ito, Maidashi</t>
  </si>
  <si>
    <t>Ito1, Maidashi1, Ohashi1</t>
  </si>
  <si>
    <t>Ito, Ohashi</t>
  </si>
  <si>
    <t>Ito4, Maidashi1</t>
  </si>
  <si>
    <t>Ito, Etc.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</si>
  <si>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2022/03/09</t>
    </r>
  </si>
  <si>
    <r>
      <t>Maidashi1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Ito10</t>
    </r>
    <phoneticPr fontId="13"/>
  </si>
  <si>
    <r>
      <t>Ohashi1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Maidashi4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Ito8</t>
    </r>
    <phoneticPr fontId="13"/>
  </si>
  <si>
    <r>
      <t>Maidashi3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Ito10</t>
    </r>
    <phoneticPr fontId="13"/>
  </si>
  <si>
    <r>
      <t>Maidashi4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Ito10</t>
    </r>
    <phoneticPr fontId="13"/>
  </si>
  <si>
    <r>
      <t>Ito2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Tsukushi2</t>
    </r>
  </si>
  <si>
    <r>
      <t>Ito1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Maidashi1</t>
    </r>
  </si>
  <si>
    <r>
      <t>Ito6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Ohashi1, Tsukushi1</t>
    </r>
  </si>
  <si>
    <r>
      <t>Ito4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</si>
  <si>
    <r>
      <t>Ito2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Maidashi3</t>
    </r>
  </si>
  <si>
    <r>
      <t>Ito10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Ohashi1, Tsukushi1</t>
    </r>
  </si>
  <si>
    <r>
      <t>Ito2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Tsukushi1</t>
    </r>
    <phoneticPr fontId="13"/>
  </si>
  <si>
    <r>
      <t>Ito11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Tsukushi1</t>
    </r>
    <r>
      <rPr>
        <sz val="11"/>
        <color theme="1"/>
        <rFont val="Calibri"/>
        <family val="2"/>
        <charset val="128"/>
      </rPr>
      <t>、</t>
    </r>
    <r>
      <rPr>
        <sz val="11"/>
        <color theme="1"/>
        <rFont val="Calibri"/>
        <family val="2"/>
      </rPr>
      <t>Ohashi1</t>
    </r>
  </si>
  <si>
    <r>
      <t>Ito1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</si>
  <si>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Ito7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Tsukushi3</t>
    </r>
    <phoneticPr fontId="13"/>
  </si>
  <si>
    <r>
      <t>Ito2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Ohashi1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Tsukushi1</t>
    </r>
    <phoneticPr fontId="13"/>
  </si>
  <si>
    <r>
      <t>Ito12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</si>
  <si>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Ito6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</si>
  <si>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</si>
  <si>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</si>
  <si>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Tsukushi1</t>
    </r>
    <phoneticPr fontId="13"/>
  </si>
  <si>
    <r>
      <t>Ito12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Ohashi2</t>
    </r>
    <phoneticPr fontId="13"/>
  </si>
  <si>
    <r>
      <t>Ito4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</si>
  <si>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Ito7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Tsukushi1</t>
    </r>
    <phoneticPr fontId="13"/>
  </si>
  <si>
    <r>
      <t>Ito2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Ohashi2</t>
    </r>
    <phoneticPr fontId="13"/>
  </si>
  <si>
    <r>
      <t>Ito2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</si>
  <si>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Ito2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</si>
  <si>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Tsukushi2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</si>
  <si>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</si>
  <si>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Ito6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</si>
  <si>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Maidashi3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</si>
  <si>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phoneticPr fontId="13"/>
  </si>
  <si>
    <r>
      <t>Ito6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</si>
  <si>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Etc.1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</si>
  <si>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</si>
  <si>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Tsukushi1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Ito1</t>
    </r>
    <phoneticPr fontId="13"/>
  </si>
  <si>
    <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</si>
  <si>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Ohashi1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Ito3</t>
    </r>
    <phoneticPr fontId="13"/>
  </si>
  <si>
    <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Ito2</t>
    </r>
    <phoneticPr fontId="13"/>
  </si>
  <si>
    <r>
      <t>Ito4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Maidashi3</t>
    </r>
    <phoneticPr fontId="13"/>
  </si>
  <si>
    <r>
      <t>Ito1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</si>
  <si>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Ito8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</si>
  <si>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Tsukushi2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Ito3</t>
    </r>
    <phoneticPr fontId="13"/>
  </si>
  <si>
    <r>
      <t>Ito3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</si>
  <si>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Ito4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Maidashi1</t>
    </r>
    <phoneticPr fontId="13"/>
  </si>
  <si>
    <r>
      <t>Tsukushi2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Ito5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Ohashi1</t>
    </r>
    <phoneticPr fontId="13"/>
  </si>
  <si>
    <r>
      <t>Ohashi1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Ito1</t>
    </r>
    <phoneticPr fontId="13"/>
  </si>
  <si>
    <r>
      <t>Maidashi1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Ito1</t>
    </r>
    <phoneticPr fontId="13"/>
  </si>
  <si>
    <t>http://www.bureau.tohoku.ac.jp/covid19BCP/campus.html
https://www.bureau.tohoku.ac.jp/covid19BCP/index.html#news_index</t>
    <phoneticPr fontId="13"/>
  </si>
  <si>
    <t>Infection from extracurricular activities</t>
  </si>
  <si>
    <t>Infection from extracurricular activities</t>
    <phoneticPr fontId="13"/>
  </si>
  <si>
    <t>Daiko</t>
  </si>
  <si>
    <t>Higashiyama</t>
  </si>
  <si>
    <t>Higashiyama12</t>
  </si>
  <si>
    <t>Higashiyama7</t>
  </si>
  <si>
    <t>Higashiyama2</t>
  </si>
  <si>
    <t>Higashiyama4</t>
  </si>
  <si>
    <t>Higashiyama10</t>
  </si>
  <si>
    <t>Higashiyama3</t>
  </si>
  <si>
    <t>Higashiyama6</t>
  </si>
  <si>
    <t>Higashiyama5</t>
  </si>
  <si>
    <t>Higashiyama1</t>
  </si>
  <si>
    <t>Higashiyama2, Daiko1</t>
  </si>
  <si>
    <t>Higashiyama1, Tsurumai1</t>
  </si>
  <si>
    <t>Tsurumai</t>
  </si>
  <si>
    <t>Tsurumai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</si>
  <si>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2022/3/1</t>
    </r>
  </si>
  <si>
    <r>
      <t>Higashiyama2</t>
    </r>
    <r>
      <rPr>
        <sz val="11"/>
        <color theme="1"/>
        <rFont val="ＭＳ ゴシック"/>
        <family val="3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</si>
  <si>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Higashiyama1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</si>
  <si>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Higashiyama3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Tsurumai1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Daiko1</t>
    </r>
    <phoneticPr fontId="13"/>
  </si>
  <si>
    <r>
      <t>Higashiyama6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</si>
  <si>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Higashiyama15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Tsurumai4</t>
    </r>
    <phoneticPr fontId="13"/>
  </si>
  <si>
    <r>
      <t>Higashiyama1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</si>
  <si>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Higashiyama7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Tsurumai1</t>
    </r>
    <phoneticPr fontId="13"/>
  </si>
  <si>
    <r>
      <t>Higashiyama8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Tsurumai4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Daiko3</t>
    </r>
    <phoneticPr fontId="13"/>
  </si>
  <si>
    <r>
      <t>Higashiyama4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</si>
  <si>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Higashiyama8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Tsurumai1</t>
    </r>
    <phoneticPr fontId="13"/>
  </si>
  <si>
    <r>
      <t>Higashiyama17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Tsurumai1</t>
    </r>
    <phoneticPr fontId="13"/>
  </si>
  <si>
    <r>
      <t>Higashiyama3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</si>
  <si>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Higashiyama2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</si>
  <si>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Higashiyama6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</si>
  <si>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Higashiyama15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Daiko2</t>
    </r>
  </si>
  <si>
    <r>
      <t>Higashiyama3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</si>
  <si>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Higashiyama3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Daiko2</t>
    </r>
  </si>
  <si>
    <r>
      <t>Higashiyama3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</si>
  <si>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Higashiyama4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Calibri"/>
        <family val="2"/>
      </rPr>
      <t>Tsurumai1</t>
    </r>
  </si>
  <si>
    <r>
      <t>Higashiyama2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Calibri"/>
        <family val="2"/>
      </rPr>
      <t>Daiko1</t>
    </r>
  </si>
  <si>
    <r>
      <t>Higashiyama10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Tsurumai1</t>
    </r>
    <r>
      <rPr>
        <sz val="11"/>
        <color theme="1"/>
        <rFont val="Calibri"/>
        <family val="3"/>
        <charset val="128"/>
      </rPr>
      <t>、</t>
    </r>
    <r>
      <rPr>
        <sz val="11"/>
        <color theme="1"/>
        <rFont val="Calibri"/>
        <family val="2"/>
      </rPr>
      <t>Daiko1</t>
    </r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</si>
  <si>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2022/02/28</t>
    </r>
  </si>
  <si>
    <t>2 infected in the handball team</t>
    <phoneticPr fontId="13"/>
  </si>
  <si>
    <t>1. Positive test date is reported.</t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</si>
  <si>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2022/03/03(77th Report)</t>
    </r>
    <phoneticPr fontId="13"/>
  </si>
  <si>
    <r>
      <t>1</t>
    </r>
    <r>
      <rPr>
        <sz val="11"/>
        <color theme="1"/>
        <rFont val="ＭＳ ゴシック"/>
        <family val="3"/>
        <charset val="128"/>
      </rPr>
      <t>．</t>
    </r>
    <r>
      <rPr>
        <sz val="11"/>
        <color theme="1"/>
        <rFont val="Calibri"/>
        <family val="2"/>
      </rPr>
      <t>The date on which the school discloses the infected person is recorded.</t>
    </r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</si>
  <si>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2022/03/01</t>
    </r>
  </si>
  <si>
    <t>One nurse working at a university hospital was infected.</t>
    <phoneticPr fontId="13"/>
  </si>
  <si>
    <t>Shizuoka1</t>
    <phoneticPr fontId="13"/>
  </si>
  <si>
    <t>Shizuoka2</t>
  </si>
  <si>
    <t>Shizuoka10</t>
  </si>
  <si>
    <t>Hamamatsu</t>
  </si>
  <si>
    <t>Shizuoka１,Hamamatsu2</t>
  </si>
  <si>
    <t>Hamamatsu2</t>
  </si>
  <si>
    <t>Hamamatsu2</t>
    <phoneticPr fontId="13"/>
  </si>
  <si>
    <t>Hamamatsu1</t>
  </si>
  <si>
    <t>Hamamatsu1</t>
    <phoneticPr fontId="13"/>
  </si>
  <si>
    <t>Hamamatsu3</t>
    <phoneticPr fontId="13"/>
  </si>
  <si>
    <t>Shizuoka2, Hamamatsu1</t>
  </si>
  <si>
    <t>Shizuoka7, Hamamatsu1</t>
  </si>
  <si>
    <t>Shizuoka1, Hamamatsu2</t>
  </si>
  <si>
    <t>Shizuoka1, Hamamatsu6</t>
  </si>
  <si>
    <t>Shizuoka14, Hamamatsu2</t>
  </si>
  <si>
    <t>Shizuoka2, Hamamatsu2</t>
  </si>
  <si>
    <t>Shizuoka3, Hamamatsu2</t>
  </si>
  <si>
    <t>Shizuoka8, Hamamatsu7</t>
  </si>
  <si>
    <t>Shizuoka5, Hamamatsu7</t>
  </si>
  <si>
    <t>Shizuoka7, Hamamatsu2</t>
  </si>
  <si>
    <t>Shizuoka1, Hamamatsu3</t>
  </si>
  <si>
    <t>Shizuoka12, Hamamatsu3</t>
  </si>
  <si>
    <t>Shizuoka5, Hamamatsu3</t>
  </si>
  <si>
    <t>Shizuoka1, Hamamatsu1</t>
  </si>
  <si>
    <t>Shizuoka9, Hamamatsu5</t>
  </si>
  <si>
    <t>https://www.kumamoto-u.ac.jp/whatsnew/koho/2020/info_corona
https://www.kumamoto-u.ac.jp/whatsnew/koho/jyokyo</t>
    <phoneticPr fontId="13"/>
  </si>
  <si>
    <t>1 physician infected at Kumamoto University Hospital</t>
    <phoneticPr fontId="13"/>
  </si>
  <si>
    <t>1 Kumamoto University Hospital employee infected</t>
    <phoneticPr fontId="13"/>
  </si>
  <si>
    <t>1/7-1/11, 5 students were infected by extracurricular activities</t>
    <phoneticPr fontId="13"/>
  </si>
  <si>
    <t>Minami-Osawa</t>
  </si>
  <si>
    <t>Minami-Osawa3</t>
  </si>
  <si>
    <t>Minami-Osawa1</t>
  </si>
  <si>
    <t>Minami-Osawa1</t>
    <phoneticPr fontId="13"/>
  </si>
  <si>
    <t>Minami-Osawa3</t>
    <phoneticPr fontId="13"/>
  </si>
  <si>
    <t>Minami-Osawa2</t>
  </si>
  <si>
    <t>Minami-Osawa2</t>
    <phoneticPr fontId="13"/>
  </si>
  <si>
    <t>Minami-Osawa5</t>
  </si>
  <si>
    <t>Minami-Osawa6</t>
  </si>
  <si>
    <t>Minami-Osawa4</t>
  </si>
  <si>
    <t>Hino</t>
    <phoneticPr fontId="13"/>
  </si>
  <si>
    <t>Hino1, Minami-Osawa1</t>
    <phoneticPr fontId="13"/>
  </si>
  <si>
    <t>Minami-Osawa6, Hino1</t>
    <phoneticPr fontId="13"/>
  </si>
  <si>
    <t>Hino1</t>
  </si>
  <si>
    <t>Hino1</t>
    <phoneticPr fontId="13"/>
  </si>
  <si>
    <t>Hino2</t>
    <phoneticPr fontId="13"/>
  </si>
  <si>
    <t>Minami-Osawa2, Hino1</t>
    <phoneticPr fontId="13"/>
  </si>
  <si>
    <t>Minami-Osawa1, Hino1</t>
    <phoneticPr fontId="13"/>
  </si>
  <si>
    <t>Minami-Osawa5, Hino1</t>
    <phoneticPr fontId="13"/>
  </si>
  <si>
    <t>Minami-Osawa6, Hino2</t>
    <phoneticPr fontId="13"/>
  </si>
  <si>
    <t>Minami-Osawa11, Hino2</t>
    <phoneticPr fontId="13"/>
  </si>
  <si>
    <t>Minami-Osawa3, Hino1</t>
    <phoneticPr fontId="13"/>
  </si>
  <si>
    <t>Arakawa</t>
  </si>
  <si>
    <t>Arakawa1, Minami-Osawa1</t>
  </si>
  <si>
    <t>Hino1, Minami-Osawa2, Arakawa1</t>
    <phoneticPr fontId="13"/>
  </si>
  <si>
    <t>Arakawa4, Minami-Osawa12</t>
    <phoneticPr fontId="13"/>
  </si>
  <si>
    <t>Minami-Osawa6, Hino2, Arakawa1</t>
    <phoneticPr fontId="13"/>
  </si>
  <si>
    <t>Minami-Osawa2, Arakawa1</t>
  </si>
  <si>
    <t>Minami-Osawa2, Arakawa1</t>
    <phoneticPr fontId="13"/>
  </si>
  <si>
    <t>Minami-Osawa6, Arakawa1</t>
    <phoneticPr fontId="13"/>
  </si>
  <si>
    <t>Arakawa1</t>
  </si>
  <si>
    <t>Minami-Osawa4, Arakawa1</t>
  </si>
  <si>
    <t>Minami-Osawa4, Arakawa1</t>
    <phoneticPr fontId="13"/>
  </si>
  <si>
    <t>Minami-Osawa5, Hino2, Arakawa2</t>
    <phoneticPr fontId="13"/>
  </si>
  <si>
    <t>Minami-Osawa1, Arakawa1</t>
  </si>
  <si>
    <t>Minami-Osawa1, Arakawa2</t>
  </si>
  <si>
    <t>Arakawa1, Hino1</t>
    <phoneticPr fontId="13"/>
  </si>
  <si>
    <t>Arakawa1</t>
    <phoneticPr fontId="13"/>
  </si>
  <si>
    <t>Arakawa1, Minami-Osawa1, Hino1</t>
    <phoneticPr fontId="13"/>
  </si>
  <si>
    <t>Minami-Osawa1, Arakawa1</t>
    <phoneticPr fontId="13"/>
  </si>
  <si>
    <r>
      <t>1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Calibri"/>
        <family val="2"/>
      </rPr>
      <t>The date on which the school discloses the infected person is recorded.</t>
    </r>
    <phoneticPr fontId="13"/>
  </si>
  <si>
    <t>Minami-Osawa2, Harumi1</t>
  </si>
  <si>
    <t>Minami-Osawa9, Hino2, Arakawa1, Harumi1</t>
  </si>
  <si>
    <t>Minami-Osawa4, Hino1, Arakawa2, Harumi1</t>
  </si>
  <si>
    <t>Iidabashi1</t>
  </si>
  <si>
    <t>Minami-Osawa6, Marunouchi1, Arakawa1, Hino1</t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</si>
  <si>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2022/03/04(Rows 417-423)</t>
    </r>
    <phoneticPr fontId="13"/>
  </si>
  <si>
    <r>
      <t>1</t>
    </r>
    <r>
      <rPr>
        <sz val="11"/>
        <color theme="1"/>
        <rFont val="游ゴシック"/>
        <family val="3"/>
        <charset val="128"/>
      </rPr>
      <t>．</t>
    </r>
    <r>
      <rPr>
        <sz val="11"/>
        <color theme="1"/>
        <rFont val="Calibri"/>
        <family val="2"/>
      </rPr>
      <t>The date on which the school discloses the infected person is recorded.</t>
    </r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</si>
  <si>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2022/02/25(54th Report)</t>
    </r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</si>
  <si>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2022/03/01(85th Report)</t>
    </r>
    <phoneticPr fontId="13"/>
  </si>
  <si>
    <t>1. Record weekly totals divided by the number of days.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</si>
  <si>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2021/03/01</t>
    </r>
  </si>
  <si>
    <r>
      <rPr>
        <sz val="12"/>
        <color rgb="FF000000"/>
        <rFont val="Calibri"/>
        <family val="3"/>
        <charset val="128"/>
      </rPr>
      <t>合宿所で学生</t>
    </r>
    <r>
      <rPr>
        <sz val="12"/>
        <color rgb="FF000000"/>
        <rFont val="Calibri"/>
        <family val="2"/>
      </rPr>
      <t>14</t>
    </r>
    <r>
      <rPr>
        <sz val="12"/>
        <color rgb="FF000000"/>
        <rFont val="Calibri"/>
        <family val="3"/>
        <charset val="128"/>
      </rPr>
      <t>名</t>
    </r>
  </si>
  <si>
    <t>13 students are infected at the camp.</t>
    <phoneticPr fontId="13"/>
  </si>
  <si>
    <t>35 students are infected at the camp.</t>
    <phoneticPr fontId="13"/>
  </si>
  <si>
    <t>7 students are infected at the camp.</t>
    <phoneticPr fontId="13"/>
  </si>
  <si>
    <t>1. For announcements made after 4/16/2021, there is no distinction between students and faculty &amp; staff, so all infected individuals are counted as students.</t>
    <phoneticPr fontId="13"/>
  </si>
  <si>
    <t xml:space="preserve">2. ~2022/1, positive test date is reported. </t>
    <phoneticPr fontId="13"/>
  </si>
  <si>
    <t>3. 2022/2, the date on which the school discloses the infected person is recorded.</t>
    <phoneticPr fontId="13"/>
  </si>
  <si>
    <t>1 infected in the dormitory</t>
    <phoneticPr fontId="13"/>
  </si>
  <si>
    <t>12 infected in the dormitory</t>
    <phoneticPr fontId="13"/>
  </si>
  <si>
    <t>13 infected in the dormitory</t>
    <phoneticPr fontId="13"/>
  </si>
  <si>
    <t>https://www.ryukoku.ac.jp/nc/news/entry-8078.html
https://www.ryukoku.ac.jp/nc/news/entry-6002.html</t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</si>
  <si>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2022/03/03(67th report)</t>
    </r>
    <phoneticPr fontId="13"/>
  </si>
  <si>
    <t>18 infected at hardball team training facility</t>
    <phoneticPr fontId="13"/>
  </si>
  <si>
    <t>1 infected at hardball team training facility</t>
    <phoneticPr fontId="13"/>
  </si>
  <si>
    <t>2 infected at hardball team training facility</t>
    <phoneticPr fontId="13"/>
  </si>
  <si>
    <t xml:space="preserve">11 infected by the semi-hardball baseball club, 17 infected in the male table tennis club </t>
    <phoneticPr fontId="13"/>
  </si>
  <si>
    <t>20 infected in the Judo Club</t>
    <phoneticPr fontId="13"/>
  </si>
  <si>
    <t>cluster infection among students belonging to the baseball team residing in the Isehara Athletic Dormitory</t>
    <phoneticPr fontId="13"/>
  </si>
  <si>
    <t>34 infected in the rugby club</t>
    <phoneticPr fontId="13"/>
  </si>
  <si>
    <t>1 infected in a American football team</t>
    <phoneticPr fontId="13"/>
  </si>
  <si>
    <t>2 infected in a American football team</t>
    <phoneticPr fontId="13"/>
  </si>
  <si>
    <t>3 infected in a American football team</t>
    <phoneticPr fontId="13"/>
  </si>
  <si>
    <t>Row 143</t>
    <phoneticPr fontId="13"/>
  </si>
  <si>
    <t>6 infected in the wrestling club</t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</si>
  <si>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2022/03/01(Rows 643~653)</t>
    </r>
    <phoneticPr fontId="13"/>
  </si>
  <si>
    <t>5 infected in the basketball team residing in the first sports dormitory</t>
    <phoneticPr fontId="13"/>
  </si>
  <si>
    <t>2 infected in the Kendo Club</t>
    <phoneticPr fontId="13"/>
  </si>
  <si>
    <t>7 infected in the Kendo Club</t>
    <phoneticPr fontId="13"/>
  </si>
  <si>
    <t>1 infected in the Kendo Club</t>
    <phoneticPr fontId="13"/>
  </si>
  <si>
    <t>Off Campus</t>
    <phoneticPr fontId="13"/>
  </si>
  <si>
    <t>Tenpaku</t>
  </si>
  <si>
    <t>Nagoya Dome-Mae</t>
  </si>
  <si>
    <t>Tenpaku, Nagoya Dome-Mae</t>
  </si>
  <si>
    <t>Yagoto</t>
  </si>
  <si>
    <t>Tenpaku, Nagoya Dome-Mae, Yagoto</t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</si>
  <si>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2022/03/02</t>
    </r>
  </si>
  <si>
    <t>4 infected in judo and handball clubs residing in the dormitory</t>
    <phoneticPr fontId="13"/>
  </si>
  <si>
    <t>7 infected in Judo Club</t>
    <phoneticPr fontId="13"/>
  </si>
  <si>
    <t>https://www.chukyo-u.ac.jp/covid-19/infected_information/
https://www.chukyo-u.ac.jp/search.html?cx=009059343404882784066%3Aupnnno3bgtw&amp;cof=FORID%3A11&amp;ie=UTF-8&amp;q=%E6%84%9F%E6%9F%93%E8%80%85%E3%81%AE%E7%99%BA%E7%94%9F&amp;sa=%E6%A4%9C%E7%B4%A2</t>
    <phoneticPr fontId="13"/>
  </si>
  <si>
    <t>Toyota</t>
  </si>
  <si>
    <t>Toyota1</t>
  </si>
  <si>
    <t>Toyota2</t>
  </si>
  <si>
    <t>Toyota3</t>
  </si>
  <si>
    <t>Nagoya6, Toyota22(8/10-8/25)</t>
  </si>
  <si>
    <t>Nagoya3, Toyota2</t>
  </si>
  <si>
    <t>Nagoya1, Toyota2(9/17-9/21)</t>
  </si>
  <si>
    <t>Nagoya2, Toyota1(1/7-1/11)</t>
  </si>
  <si>
    <t>Nagoya2, Toyota1</t>
  </si>
  <si>
    <t>Nagoya5, Toyota2</t>
  </si>
  <si>
    <t>Nagoya7, Toyota4</t>
  </si>
  <si>
    <t>Nagoya22, Toyota14(1/15-1/17)</t>
  </si>
  <si>
    <t>Nagoya14, Toyota14</t>
  </si>
  <si>
    <t>Nagoya6, Toyota7</t>
  </si>
  <si>
    <t>Nagoya12, Toyota5</t>
  </si>
  <si>
    <t>Nagoya6, Toyota2</t>
  </si>
  <si>
    <t>Nagoya9, Toyota11(1/22-1/24)</t>
  </si>
  <si>
    <t>Nagoya2, Toyota8</t>
  </si>
  <si>
    <t>Nagoya4, Toyota4</t>
  </si>
  <si>
    <t>Nagoya4, Toyota1</t>
  </si>
  <si>
    <t>Nagoya7, Toyota5</t>
  </si>
  <si>
    <t>Nagoya1, Toyota6</t>
  </si>
  <si>
    <t>Nagoya3, Toyota8</t>
  </si>
  <si>
    <t>Nagoya2, Toyota2</t>
  </si>
  <si>
    <t>Nagoya3, Toyota1</t>
  </si>
  <si>
    <t>Nagoya3, Toyota3</t>
  </si>
  <si>
    <t>Nagoya1</t>
  </si>
  <si>
    <t>Nagoya1, Toyota3</t>
  </si>
  <si>
    <t>Nagoya1, Toyota5</t>
  </si>
  <si>
    <t>Nagoya2, Toyota3</t>
  </si>
  <si>
    <t>Nagoya2, Toyota5</t>
  </si>
  <si>
    <t>14 infected in the Kendo Club</t>
    <phoneticPr fontId="13"/>
  </si>
  <si>
    <t>1 infected in the rugby club</t>
    <phoneticPr fontId="13"/>
  </si>
  <si>
    <t>4 infected in the rugby club</t>
    <phoneticPr fontId="13"/>
  </si>
  <si>
    <t>3 infected in the rugby club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</si>
  <si>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2022/03/10</t>
    </r>
  </si>
  <si>
    <t>1 infected during a trip to Europe</t>
    <phoneticPr fontId="13"/>
  </si>
  <si>
    <t>1 infected during a trip to Europe, 1 infected at a circle social gathering</t>
    <phoneticPr fontId="13"/>
  </si>
  <si>
    <t>1 infected at a circle social gathering</t>
    <phoneticPr fontId="13"/>
  </si>
  <si>
    <t>13 infected at a circle social gathering</t>
    <phoneticPr fontId="13"/>
  </si>
  <si>
    <t>2 infected at a circle social gathering</t>
    <phoneticPr fontId="13"/>
  </si>
  <si>
    <t>2 infected in the athletic club</t>
    <phoneticPr fontId="13"/>
  </si>
  <si>
    <t>9 infected in the athletic club</t>
    <phoneticPr fontId="13"/>
  </si>
  <si>
    <t>8 infected in the athletic club</t>
    <phoneticPr fontId="13"/>
  </si>
  <si>
    <t>1 infected in the athletic club</t>
    <phoneticPr fontId="13"/>
  </si>
  <si>
    <t>6 infected in the athletic club</t>
    <phoneticPr fontId="13"/>
  </si>
  <si>
    <t>3 infected in the athletic club</t>
    <phoneticPr fontId="13"/>
  </si>
  <si>
    <t>7 infected in the athletic club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</si>
  <si>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2022/02/25</t>
    </r>
  </si>
  <si>
    <t>1 infected in extracurricular activities</t>
    <phoneticPr fontId="13"/>
  </si>
  <si>
    <t>2 infected in extracurricular activities</t>
    <phoneticPr fontId="13"/>
  </si>
  <si>
    <t>4 infected in extracurricular activities</t>
    <phoneticPr fontId="13"/>
  </si>
  <si>
    <t>2.5 infected in extracurricular activities</t>
    <phoneticPr fontId="13"/>
  </si>
  <si>
    <t>3 infected in extracurricular activities</t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</si>
  <si>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2022/03/03</t>
    </r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</si>
  <si>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2022/03/14(Fill in up to the 350th row)</t>
    </r>
    <phoneticPr fontId="13"/>
  </si>
  <si>
    <t>5 infected in extracurricular activities</t>
    <phoneticPr fontId="13"/>
  </si>
  <si>
    <r>
      <t>1</t>
    </r>
    <r>
      <rPr>
        <sz val="11"/>
        <color theme="1"/>
        <rFont val="Calibri"/>
        <family val="3"/>
        <charset val="128"/>
      </rPr>
      <t>．</t>
    </r>
    <r>
      <rPr>
        <sz val="11"/>
        <color theme="1"/>
        <rFont val="Calibri"/>
        <family val="2"/>
      </rPr>
      <t>The date on which the school discloses the infected person is recorded.</t>
    </r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</si>
  <si>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 xml:space="preserve">2022/02/28~03/06 </t>
    </r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</si>
  <si>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2022/03/07</t>
    </r>
  </si>
  <si>
    <t>cluser infection</t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</si>
  <si>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2022/03/03(up to 2/23</t>
    </r>
    <r>
      <rPr>
        <sz val="11"/>
        <color theme="1"/>
        <rFont val="ＭＳ ゴシック"/>
        <family val="3"/>
        <charset val="128"/>
      </rPr>
      <t>～</t>
    </r>
    <r>
      <rPr>
        <sz val="11"/>
        <color theme="1"/>
        <rFont val="Calibri"/>
        <family val="2"/>
      </rPr>
      <t>3/1)</t>
    </r>
    <phoneticPr fontId="13"/>
  </si>
  <si>
    <t>Infection in the badminton club</t>
    <phoneticPr fontId="13"/>
  </si>
  <si>
    <t>16 infected in the athletic club</t>
    <phoneticPr fontId="13"/>
  </si>
  <si>
    <t>11 infected in the athletic club</t>
    <phoneticPr fontId="13"/>
  </si>
  <si>
    <t>13 infected in the athletic club</t>
    <phoneticPr fontId="13"/>
  </si>
  <si>
    <r>
      <t>Last updated</t>
    </r>
    <r>
      <rPr>
        <sz val="11"/>
        <color theme="1"/>
        <rFont val="ＭＳ ゴシック"/>
        <family val="3"/>
        <charset val="128"/>
      </rPr>
      <t>：</t>
    </r>
    <r>
      <rPr>
        <sz val="11"/>
        <color theme="1"/>
        <rFont val="Calibri"/>
        <family val="2"/>
      </rPr>
      <t>2022/03/07(282th)</t>
    </r>
    <phoneticPr fontId="13"/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</si>
  <si>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2022/03/05</t>
    </r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</si>
  <si>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2022/03/08</t>
    </r>
  </si>
  <si>
    <r>
      <t>Last updated</t>
    </r>
    <r>
      <rPr>
        <sz val="11"/>
        <color theme="1"/>
        <rFont val="Calibri"/>
        <family val="3"/>
        <charset val="128"/>
      </rPr>
      <t>：</t>
    </r>
    <r>
      <rPr>
        <sz val="11"/>
        <color theme="1"/>
        <rFont val="Calibri"/>
        <family val="2"/>
      </rPr>
      <t>2022/03/04</t>
    </r>
  </si>
  <si>
    <t>cluster infection</t>
    <phoneticPr fontId="13"/>
  </si>
  <si>
    <t>Infection in athletic clubs</t>
    <phoneticPr fontId="13"/>
  </si>
  <si>
    <t>4/25-26, 2 infected in a softball club</t>
    <phoneticPr fontId="13"/>
  </si>
  <si>
    <t>22 infected in the athletic club</t>
    <phoneticPr fontId="13"/>
  </si>
  <si>
    <t>As of May 2016</t>
    <phoneticPr fontId="13"/>
  </si>
  <si>
    <t>No. of students</t>
    <phoneticPr fontId="13"/>
  </si>
  <si>
    <t>The infection case occurring at the University Hospital is not counted.</t>
    <phoneticPr fontId="13"/>
  </si>
  <si>
    <t>The order of dates to be counted is: 1) date of positive test, 2) date of school announcement.</t>
    <phoneticPr fontId="13"/>
  </si>
  <si>
    <t>If there are 12 infected cases during 5 days, divide 12 by 5.</t>
    <phoneticPr fontId="13"/>
  </si>
  <si>
    <r>
      <t>Note 1</t>
    </r>
    <r>
      <rPr>
        <sz val="11"/>
        <color theme="1"/>
        <rFont val="Calibri"/>
        <family val="2"/>
      </rPr>
      <t>:</t>
    </r>
    <phoneticPr fontId="13"/>
  </si>
  <si>
    <r>
      <t>Note 2</t>
    </r>
    <r>
      <rPr>
        <sz val="11"/>
        <color theme="1"/>
        <rFont val="Calibri"/>
        <family val="2"/>
      </rPr>
      <t>:</t>
    </r>
    <phoneticPr fontId="13"/>
  </si>
  <si>
    <r>
      <t>Note 3</t>
    </r>
    <r>
      <rPr>
        <sz val="11"/>
        <color theme="1"/>
        <rFont val="Calibri"/>
        <family val="2"/>
      </rPr>
      <t>:</t>
    </r>
    <phoneticPr fontId="13"/>
  </si>
  <si>
    <t>Mukogawa Women</t>
    <phoneticPr fontId="13"/>
  </si>
  <si>
    <t>Tohoku</t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</si>
</sst>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/d"/>
    <numFmt numFmtId="177" formatCode="yyyy/mm/dd"/>
    <numFmt numFmtId="178" formatCode="0.0"/>
  </numFmts>
  <fonts count="39">
    <font>
      <sz val="11"/>
      <color theme="1"/>
      <name val="Arial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2"/>
      <color rgb="FF333333"/>
      <name val="Calibri"/>
      <family val="2"/>
    </font>
    <font>
      <sz val="11"/>
      <color rgb="FF333333"/>
      <name val="Arial"/>
      <family val="2"/>
    </font>
    <font>
      <sz val="11"/>
      <color rgb="FF222222"/>
      <name val="Calibri"/>
      <family val="2"/>
    </font>
    <font>
      <sz val="11"/>
      <color rgb="FF333333"/>
      <name val="Calibri"/>
      <family val="2"/>
    </font>
    <font>
      <sz val="12"/>
      <color rgb="FF000000"/>
      <name val="&quot;游ゴシック Medium&quot;"/>
      <family val="3"/>
      <charset val="128"/>
    </font>
    <font>
      <sz val="11"/>
      <color rgb="FF333333"/>
      <name val="メイリオ"/>
      <family val="3"/>
      <charset val="128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1155CC"/>
      <name val="Calibri"/>
      <family val="2"/>
    </font>
    <font>
      <sz val="6"/>
      <name val="ＭＳ Ｐゴシック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Arial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Calibri"/>
      <family val="3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Arial"/>
      <family val="2"/>
    </font>
    <font>
      <sz val="11"/>
      <name val="Calibri"/>
      <family val="2"/>
    </font>
    <font>
      <u/>
      <sz val="11"/>
      <color rgb="FF0563C1"/>
      <name val="Calibri"/>
      <family val="2"/>
    </font>
    <font>
      <sz val="11"/>
      <color rgb="FF000000"/>
      <name val="Calibri"/>
      <family val="2"/>
      <scheme val="major"/>
    </font>
    <font>
      <sz val="11"/>
      <color theme="1"/>
      <name val="Calibri"/>
      <family val="2"/>
      <scheme val="major"/>
    </font>
    <font>
      <sz val="12"/>
      <color rgb="FF000000"/>
      <name val="Calibri"/>
      <family val="2"/>
    </font>
    <font>
      <sz val="11"/>
      <color theme="1"/>
      <name val="Calibri"/>
      <family val="2"/>
      <charset val="128"/>
    </font>
    <font>
      <sz val="11"/>
      <color theme="1"/>
      <name val="Calibri"/>
      <family val="3"/>
    </font>
    <font>
      <sz val="11"/>
      <color rgb="FF000000"/>
      <name val="Calibri"/>
      <family val="3"/>
    </font>
    <font>
      <b/>
      <sz val="11"/>
      <color theme="1"/>
      <name val="Calibri"/>
      <family val="3"/>
    </font>
    <font>
      <sz val="11"/>
      <color theme="1"/>
      <name val="游ゴシック"/>
      <family val="3"/>
      <charset val="128"/>
    </font>
    <font>
      <sz val="12"/>
      <color rgb="FF000000"/>
      <name val="Calibri"/>
      <family val="3"/>
      <charset val="128"/>
    </font>
    <font>
      <sz val="12"/>
      <color rgb="FF4C4948"/>
      <name val="Calibri"/>
      <family val="2"/>
    </font>
    <font>
      <sz val="11"/>
      <color rgb="FF444444"/>
      <name val="Calibri"/>
      <family val="2"/>
    </font>
    <font>
      <sz val="9"/>
      <color theme="1"/>
      <name val="Calibri"/>
      <family val="2"/>
    </font>
    <font>
      <sz val="9"/>
      <color rgb="FF333333"/>
      <name val="Calibri"/>
      <family val="2"/>
    </font>
    <font>
      <sz val="9"/>
      <color rgb="FF222222"/>
      <name val="Calibri"/>
      <family val="2"/>
    </font>
    <font>
      <sz val="11"/>
      <color rgb="FF212529"/>
      <name val="Calibri"/>
      <family val="2"/>
    </font>
    <font>
      <sz val="9"/>
      <color theme="1"/>
      <name val="Calibri"/>
      <family val="2"/>
      <scheme val="major"/>
    </font>
    <font>
      <u/>
      <sz val="9"/>
      <color rgb="FF0000FF"/>
      <name val="Calibri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38" fontId="19" fillId="0" borderId="0" applyFont="0" applyFill="0" applyBorder="0" applyAlignment="0" applyProtection="0">
      <alignment vertical="center"/>
    </xf>
  </cellStyleXfs>
  <cellXfs count="148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1" fontId="5" fillId="4" borderId="0" xfId="0" applyNumberFormat="1" applyFont="1" applyFill="1" applyAlignment="1">
      <alignment vertical="center"/>
    </xf>
    <xf numFmtId="1" fontId="6" fillId="0" borderId="2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6" fillId="0" borderId="0" xfId="0" applyNumberFormat="1" applyFont="1" applyAlignment="1">
      <alignment vertical="center"/>
    </xf>
    <xf numFmtId="1" fontId="1" fillId="0" borderId="2" xfId="0" applyNumberFormat="1" applyFont="1" applyBorder="1" applyAlignment="1">
      <alignment horizontal="center" vertical="center"/>
    </xf>
    <xf numFmtId="1" fontId="8" fillId="4" borderId="0" xfId="0" applyNumberFormat="1" applyFont="1" applyFill="1" applyAlignment="1">
      <alignment vertical="center"/>
    </xf>
    <xf numFmtId="1" fontId="6" fillId="0" borderId="2" xfId="0" applyNumberFormat="1" applyFont="1" applyBorder="1" applyAlignment="1">
      <alignment vertical="center"/>
    </xf>
    <xf numFmtId="2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5" fillId="4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1" fontId="1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177" fontId="1" fillId="0" borderId="6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 wrapText="1"/>
    </xf>
    <xf numFmtId="177" fontId="1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4" borderId="2" xfId="0" applyFont="1" applyFill="1" applyBorder="1" applyAlignment="1">
      <alignment vertical="center" wrapText="1"/>
    </xf>
    <xf numFmtId="0" fontId="7" fillId="0" borderId="2" xfId="0" applyFont="1" applyBorder="1" applyAlignment="1">
      <alignment horizontal="center" vertical="center"/>
    </xf>
    <xf numFmtId="0" fontId="7" fillId="4" borderId="0" xfId="0" applyFont="1" applyFill="1" applyAlignment="1">
      <alignment vertical="center" wrapText="1"/>
    </xf>
    <xf numFmtId="0" fontId="7" fillId="4" borderId="0" xfId="0" applyFont="1" applyFill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7" fontId="1" fillId="0" borderId="2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7" fillId="4" borderId="0" xfId="0" applyNumberFormat="1" applyFont="1" applyFill="1" applyAlignment="1">
      <alignment vertical="center"/>
    </xf>
    <xf numFmtId="1" fontId="24" fillId="4" borderId="0" xfId="0" applyNumberFormat="1" applyFont="1" applyFill="1" applyAlignment="1">
      <alignment vertical="center"/>
    </xf>
    <xf numFmtId="177" fontId="1" fillId="0" borderId="1" xfId="0" applyNumberFormat="1" applyFont="1" applyBorder="1" applyAlignment="1">
      <alignment horizontal="center" vertical="center"/>
    </xf>
    <xf numFmtId="177" fontId="1" fillId="0" borderId="3" xfId="0" applyNumberFormat="1" applyFont="1" applyBorder="1" applyAlignment="1">
      <alignment horizontal="center" vertical="center"/>
    </xf>
    <xf numFmtId="177" fontId="1" fillId="0" borderId="11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1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76" fontId="23" fillId="0" borderId="0" xfId="0" applyNumberFormat="1" applyFont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1" fontId="23" fillId="0" borderId="0" xfId="0" applyNumberFormat="1" applyFont="1" applyAlignment="1">
      <alignment horizontal="center" vertical="center"/>
    </xf>
    <xf numFmtId="0" fontId="23" fillId="0" borderId="1" xfId="0" quotePrefix="1" applyFont="1" applyFill="1" applyBorder="1" applyAlignment="1">
      <alignment horizontal="center" vertical="center" wrapText="1"/>
    </xf>
    <xf numFmtId="3" fontId="23" fillId="0" borderId="0" xfId="0" applyNumberFormat="1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 wrapText="1"/>
    </xf>
    <xf numFmtId="177" fontId="1" fillId="0" borderId="10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vertical="center"/>
    </xf>
    <xf numFmtId="0" fontId="2" fillId="3" borderId="0" xfId="0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vertical="center"/>
    </xf>
    <xf numFmtId="178" fontId="1" fillId="0" borderId="2" xfId="0" applyNumberFormat="1" applyFont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177" fontId="1" fillId="0" borderId="16" xfId="0" applyNumberFormat="1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0" fillId="2" borderId="0" xfId="0" applyFont="1" applyFill="1" applyAlignment="1">
      <alignment vertical="center"/>
    </xf>
    <xf numFmtId="0" fontId="24" fillId="4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32" fillId="7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vertical="center"/>
    </xf>
    <xf numFmtId="0" fontId="34" fillId="0" borderId="2" xfId="0" applyFont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6" fillId="7" borderId="0" xfId="0" applyFont="1" applyFill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1" fontId="20" fillId="0" borderId="2" xfId="0" applyNumberFormat="1" applyFont="1" applyBorder="1" applyAlignment="1">
      <alignment horizontal="center" vertical="center"/>
    </xf>
    <xf numFmtId="1" fontId="1" fillId="0" borderId="0" xfId="0" applyNumberFormat="1" applyFont="1" applyFill="1" applyAlignment="1">
      <alignment vertical="center"/>
    </xf>
    <xf numFmtId="1" fontId="1" fillId="5" borderId="0" xfId="0" applyNumberFormat="1" applyFont="1" applyFill="1" applyAlignment="1">
      <alignment vertical="center"/>
    </xf>
    <xf numFmtId="1" fontId="7" fillId="0" borderId="2" xfId="0" applyNumberFormat="1" applyFont="1" applyBorder="1" applyAlignment="1">
      <alignment horizontal="center" vertical="center" wrapText="1"/>
    </xf>
    <xf numFmtId="1" fontId="2" fillId="4" borderId="0" xfId="0" applyNumberFormat="1" applyFont="1" applyFill="1" applyAlignment="1">
      <alignment vertical="center"/>
    </xf>
    <xf numFmtId="1" fontId="1" fillId="6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38" fontId="37" fillId="0" borderId="0" xfId="2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7" fillId="0" borderId="3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vertical="center"/>
    </xf>
    <xf numFmtId="0" fontId="20" fillId="0" borderId="5" xfId="0" applyFont="1" applyFill="1" applyBorder="1" applyAlignment="1">
      <alignment vertical="center"/>
    </xf>
    <xf numFmtId="0" fontId="10" fillId="0" borderId="3" xfId="1" applyBorder="1" applyAlignment="1">
      <alignment horizontal="center" vertical="center"/>
    </xf>
    <xf numFmtId="0" fontId="20" fillId="0" borderId="4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7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1" fillId="0" borderId="3" xfId="1" applyFont="1" applyBorder="1" applyAlignment="1">
      <alignment horizontal="center" vertical="center" wrapText="1"/>
    </xf>
    <xf numFmtId="1" fontId="1" fillId="0" borderId="0" xfId="0" applyNumberFormat="1" applyFont="1" applyAlignment="1">
      <alignment vertical="center"/>
    </xf>
    <xf numFmtId="0" fontId="12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2" fillId="0" borderId="3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vertical="center"/>
    </xf>
    <xf numFmtId="0" fontId="20" fillId="0" borderId="14" xfId="0" applyFont="1" applyFill="1" applyBorder="1" applyAlignment="1">
      <alignment vertical="center"/>
    </xf>
    <xf numFmtId="0" fontId="11" fillId="0" borderId="12" xfId="1" applyFont="1" applyBorder="1" applyAlignment="1">
      <alignment horizontal="center" vertical="center"/>
    </xf>
    <xf numFmtId="0" fontId="20" fillId="0" borderId="7" xfId="0" applyFont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0" borderId="7" xfId="1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" fillId="2" borderId="3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0" borderId="5" xfId="0" applyFont="1" applyBorder="1" applyAlignment="1">
      <alignment horizontal="left" vertical="center"/>
    </xf>
    <xf numFmtId="0" fontId="11" fillId="0" borderId="3" xfId="1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4" xfId="0" applyFont="1" applyBorder="1" applyAlignment="1">
      <alignment vertical="center" wrapText="1"/>
    </xf>
    <xf numFmtId="0" fontId="20" fillId="0" borderId="5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/>
    </xf>
  </cellXfs>
  <cellStyles count="3">
    <cellStyle name="ハイパーリンク" xfId="1" builtinId="8"/>
    <cellStyle name="桁区切り" xfId="2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61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6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0</xdr:row>
      <xdr:rowOff>190500</xdr:rowOff>
    </xdr:from>
    <xdr:ext cx="4819650" cy="7410450"/>
    <xdr:pic>
      <xdr:nvPicPr>
        <xdr:cNvPr id="2" name="image1.png" descr="2020年ウィークカレンダーISO 8601月曜起算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1</xdr:row>
      <xdr:rowOff>9525</xdr:rowOff>
    </xdr:from>
    <xdr:ext cx="4724400" cy="7277100"/>
    <xdr:pic>
      <xdr:nvPicPr>
        <xdr:cNvPr id="3" name="image2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keizai.net/articles/-/190960?page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yoto-u.ac.jp/ja/about/foundation/coronavirus/rikansh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yushu-u.ac.jp/ja/notices/index/202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reau.tohoku.ac.jp/covid19BCP/index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okudai.ac.jp/covid-19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goya-u.ac.jp/info/kansen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iroshima-u.ac.jp/2020covid-19/news?page=3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iba-u.ac.jp/others/topics/2020covid-19/post_3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iigata-u.ac.jp/information/2021/87992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nazawa-u.ac.jp/university/corporation/risk_management/new_coronaviru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hizuoka.ac.jp/news/2020/covid-19_portal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umamoto-u.ac.jp/whatsnew/koho/jyokyo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mu.ac.jp/news/topics/24000/30446.htm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aitama-u.ac.jp/news_archives/2020-0824-0955-9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-ryukyu.ac.jp/infected-person-information-of-covid-19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ie-u.ac.jp/topics/university/2021/07/120201124.html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iji.ac.jp/koho/natural-disaster/6t5h7p000034myo0.htm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shisha.ac.jp/information/public/covid_old_infection.html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yukoku.ac.jp/nc/news/entry-8078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enshu-u.ac.jp/about/efforts/for_covid-19/kako_joukyou.html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ijo-u.ac.jp/news/?page_num=29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ukyo-u.ac.jp/covid-19/infected_information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yoto-su.ac.jp/news/past_2020_345_attention.html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ohoku-gakuin.ac.jp/emergency/student-6.html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ubu.jp/main/news/8844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obegakuin.ac.jp/news/4feb672ff3714c6c7288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ijo-u.ac.jp/news/?page_num=29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chi-u.ac.jp/news?p=1&amp;m=l&amp;c=354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t-chiba.ac.jp/institute/covid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nzan-u.ac.jp/Menu/news/2020/covid-19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nan-u.ac.jp/news/archives/32330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asa.ac.jp/topics/202007_001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kkyo.ac.jp/about/covid_19/2021/infection.html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info.mukogawa-u.ac.jp/publicity/newsdetail?id=3441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gu.jp/info/news/20201013-01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hibaura-it.ac.jp/about/info/crisis_management/covid-1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saka-sandai.ac.jp/news/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einan-gu.ac.jp/news.html?tag=%E6%96%B0%E5%9E%8B%E3%82%B3%E3%83%AD%E3%83%8A%E3%82%A6%E3%82%A4%E3%83%AB%E3%82%B9&amp;page=1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oka.ac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998"/>
  <sheetViews>
    <sheetView workbookViewId="0"/>
  </sheetViews>
  <sheetFormatPr defaultColWidth="12.58203125" defaultRowHeight="15" customHeight="1"/>
  <cols>
    <col min="1" max="2" width="7.58203125" customWidth="1"/>
    <col min="3" max="3" width="10.83203125" customWidth="1"/>
    <col min="4" max="26" width="7.58203125" customWidth="1"/>
  </cols>
  <sheetData>
    <row r="1" spans="2:3" ht="18" customHeight="1"/>
    <row r="2" spans="2:3" ht="18" customHeight="1"/>
    <row r="3" spans="2:3" ht="18" customHeight="1">
      <c r="B3" s="61" t="s">
        <v>433</v>
      </c>
      <c r="C3" s="101" t="s">
        <v>430</v>
      </c>
    </row>
    <row r="4" spans="2:3" ht="18" customHeight="1">
      <c r="B4" s="61" t="s">
        <v>434</v>
      </c>
      <c r="C4" s="101" t="s">
        <v>431</v>
      </c>
    </row>
    <row r="5" spans="2:3" ht="18" customHeight="1">
      <c r="B5" s="61" t="s">
        <v>435</v>
      </c>
      <c r="C5" s="72" t="s">
        <v>432</v>
      </c>
    </row>
    <row r="6" spans="2:3" ht="18" customHeight="1">
      <c r="B6" s="61"/>
    </row>
    <row r="7" spans="2:3" ht="18" customHeight="1">
      <c r="B7" s="1"/>
    </row>
    <row r="8" spans="2:3" ht="18" customHeight="1">
      <c r="B8" s="1"/>
    </row>
    <row r="9" spans="2:3" ht="18" customHeight="1"/>
    <row r="10" spans="2:3" ht="18" customHeight="1"/>
    <row r="11" spans="2:3" ht="18" customHeight="1"/>
    <row r="12" spans="2:3" ht="18" customHeight="1"/>
    <row r="13" spans="2:3" ht="18" customHeight="1"/>
    <row r="14" spans="2:3" ht="18" customHeight="1"/>
    <row r="15" spans="2:3" ht="18" customHeight="1"/>
    <row r="16" spans="2:3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</sheetData>
  <phoneticPr fontId="13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1000"/>
  <sheetViews>
    <sheetView workbookViewId="0">
      <selection activeCell="S15" sqref="S15"/>
    </sheetView>
  </sheetViews>
  <sheetFormatPr defaultColWidth="12.58203125" defaultRowHeight="15" customHeight="1"/>
  <cols>
    <col min="1" max="26" width="7.58203125" customWidth="1"/>
  </cols>
  <sheetData>
    <row r="1" ht="18" customHeight="1"/>
    <row r="2" ht="18" customHeight="1"/>
    <row r="3" ht="18" customHeight="1"/>
    <row r="4" ht="18" customHeight="1"/>
    <row r="5" ht="18" customHeight="1"/>
    <row r="6" ht="18" customHeight="1"/>
    <row r="7" ht="18" customHeight="1"/>
    <row r="8" ht="18" customHeight="1"/>
    <row r="9" ht="18" customHeight="1"/>
    <row r="10" ht="18" customHeight="1"/>
    <row r="11" ht="18" customHeight="1"/>
    <row r="12" ht="18" customHeight="1"/>
    <row r="13" ht="18" customHeight="1"/>
    <row r="14" ht="18" customHeight="1"/>
    <row r="15" ht="18" customHeight="1"/>
    <row r="16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</sheetData>
  <phoneticPr fontId="13"/>
  <pageMargins left="0.7" right="0.7" top="0.75" bottom="0.75" header="0" footer="0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41"/>
  <sheetViews>
    <sheetView tabSelected="1" workbookViewId="0">
      <selection activeCell="B41" sqref="B41"/>
    </sheetView>
  </sheetViews>
  <sheetFormatPr defaultColWidth="12.5" defaultRowHeight="12"/>
  <cols>
    <col min="1" max="5" width="12.5" style="102"/>
    <col min="6" max="6" width="12.5" style="104"/>
    <col min="7" max="16384" width="12.5" style="102"/>
  </cols>
  <sheetData>
    <row r="1" spans="1:6">
      <c r="A1" s="102" t="s">
        <v>39</v>
      </c>
      <c r="B1" s="103" t="s">
        <v>0</v>
      </c>
    </row>
    <row r="2" spans="1:6">
      <c r="A2" s="102" t="s">
        <v>428</v>
      </c>
    </row>
    <row r="3" spans="1:6">
      <c r="F3" s="105" t="s">
        <v>429</v>
      </c>
    </row>
    <row r="4" spans="1:6">
      <c r="B4" s="106" t="s">
        <v>43</v>
      </c>
      <c r="F4" s="104">
        <v>22657</v>
      </c>
    </row>
    <row r="5" spans="1:6">
      <c r="B5" s="106" t="s">
        <v>44</v>
      </c>
      <c r="F5" s="104">
        <v>18660</v>
      </c>
    </row>
    <row r="6" spans="1:6">
      <c r="B6" s="106" t="s">
        <v>437</v>
      </c>
      <c r="F6" s="104">
        <v>17849</v>
      </c>
    </row>
    <row r="7" spans="1:6">
      <c r="B7" s="106" t="s">
        <v>40</v>
      </c>
      <c r="F7" s="104">
        <v>17414</v>
      </c>
    </row>
    <row r="8" spans="1:6">
      <c r="B8" s="106" t="s">
        <v>42</v>
      </c>
      <c r="F8" s="104">
        <v>15852</v>
      </c>
    </row>
    <row r="9" spans="1:6">
      <c r="B9" s="106" t="s">
        <v>49</v>
      </c>
      <c r="F9" s="104">
        <v>15292</v>
      </c>
    </row>
    <row r="10" spans="1:6">
      <c r="B10" s="106" t="s">
        <v>46</v>
      </c>
      <c r="F10" s="104">
        <v>14163</v>
      </c>
    </row>
    <row r="11" spans="1:6">
      <c r="B11" s="106" t="s">
        <v>47</v>
      </c>
      <c r="F11" s="104">
        <v>12456</v>
      </c>
    </row>
    <row r="12" spans="1:6">
      <c r="B12" s="106" t="s">
        <v>51</v>
      </c>
      <c r="F12" s="104">
        <v>10236</v>
      </c>
    </row>
    <row r="13" spans="1:6">
      <c r="B13" s="106" t="s">
        <v>52</v>
      </c>
      <c r="F13" s="104">
        <v>10222</v>
      </c>
    </row>
    <row r="14" spans="1:6">
      <c r="B14" s="106" t="s">
        <v>50</v>
      </c>
      <c r="F14" s="104">
        <v>10083</v>
      </c>
    </row>
    <row r="15" spans="1:6">
      <c r="B15" s="107" t="s">
        <v>68</v>
      </c>
      <c r="F15" s="104">
        <v>9185</v>
      </c>
    </row>
    <row r="16" spans="1:6">
      <c r="B16" s="106" t="s">
        <v>45</v>
      </c>
      <c r="F16" s="104">
        <v>8579</v>
      </c>
    </row>
    <row r="17" spans="2:6">
      <c r="B17" s="106" t="s">
        <v>48</v>
      </c>
      <c r="F17" s="104">
        <v>8184</v>
      </c>
    </row>
    <row r="18" spans="2:6">
      <c r="B18" s="106" t="s">
        <v>53</v>
      </c>
      <c r="F18" s="104">
        <v>7252</v>
      </c>
    </row>
    <row r="19" spans="2:6">
      <c r="B19" s="106" t="s">
        <v>54</v>
      </c>
      <c r="F19" s="104">
        <v>33310</v>
      </c>
    </row>
    <row r="20" spans="2:6">
      <c r="B20" s="106" t="s">
        <v>55</v>
      </c>
      <c r="F20" s="104">
        <v>29459</v>
      </c>
    </row>
    <row r="21" spans="2:6">
      <c r="B21" s="106" t="s">
        <v>56</v>
      </c>
      <c r="F21" s="104">
        <v>19896</v>
      </c>
    </row>
    <row r="22" spans="2:6">
      <c r="B22" s="106" t="s">
        <v>57</v>
      </c>
      <c r="F22" s="104">
        <v>19406</v>
      </c>
    </row>
    <row r="23" spans="2:6">
      <c r="B23" s="106" t="s">
        <v>58</v>
      </c>
      <c r="F23" s="104">
        <v>15412</v>
      </c>
    </row>
    <row r="24" spans="2:6">
      <c r="B24" s="106" t="s">
        <v>59</v>
      </c>
      <c r="F24" s="104">
        <v>13117</v>
      </c>
    </row>
    <row r="25" spans="2:6">
      <c r="B25" s="106" t="s">
        <v>60</v>
      </c>
      <c r="F25" s="104">
        <v>12996</v>
      </c>
    </row>
    <row r="26" spans="2:6">
      <c r="B26" s="106" t="s">
        <v>61</v>
      </c>
      <c r="F26" s="104">
        <v>11569</v>
      </c>
    </row>
    <row r="27" spans="2:6">
      <c r="B27" s="106" t="s">
        <v>62</v>
      </c>
      <c r="F27" s="104">
        <v>11266</v>
      </c>
    </row>
    <row r="28" spans="2:6">
      <c r="B28" s="106" t="s">
        <v>63</v>
      </c>
      <c r="F28" s="104">
        <v>10877</v>
      </c>
    </row>
    <row r="29" spans="2:6">
      <c r="B29" s="106" t="s">
        <v>64</v>
      </c>
      <c r="F29" s="104">
        <v>10520</v>
      </c>
    </row>
    <row r="30" spans="2:6">
      <c r="B30" s="106" t="s">
        <v>65</v>
      </c>
      <c r="F30" s="104">
        <v>10207</v>
      </c>
    </row>
    <row r="31" spans="2:6">
      <c r="B31" s="106" t="s">
        <v>76</v>
      </c>
      <c r="F31" s="104">
        <v>9763</v>
      </c>
    </row>
    <row r="32" spans="2:6">
      <c r="B32" s="106" t="s">
        <v>66</v>
      </c>
      <c r="F32" s="104">
        <v>9672</v>
      </c>
    </row>
    <row r="33" spans="2:6">
      <c r="B33" s="106" t="s">
        <v>67</v>
      </c>
      <c r="F33" s="104">
        <v>9256</v>
      </c>
    </row>
    <row r="34" spans="2:6">
      <c r="B34" s="106" t="s">
        <v>69</v>
      </c>
      <c r="F34" s="104">
        <v>9155</v>
      </c>
    </row>
    <row r="35" spans="2:6">
      <c r="B35" s="106" t="s">
        <v>70</v>
      </c>
      <c r="F35" s="104">
        <v>8790</v>
      </c>
    </row>
    <row r="36" spans="2:6">
      <c r="B36" s="106" t="s">
        <v>436</v>
      </c>
      <c r="F36" s="104">
        <v>8726</v>
      </c>
    </row>
    <row r="37" spans="2:6">
      <c r="B37" s="106" t="s">
        <v>71</v>
      </c>
      <c r="F37" s="104">
        <v>8406</v>
      </c>
    </row>
    <row r="38" spans="2:6">
      <c r="B38" s="106" t="s">
        <v>72</v>
      </c>
      <c r="F38" s="104">
        <v>8395</v>
      </c>
    </row>
    <row r="39" spans="2:6">
      <c r="B39" s="106" t="s">
        <v>73</v>
      </c>
      <c r="F39" s="104">
        <v>8381</v>
      </c>
    </row>
    <row r="40" spans="2:6">
      <c r="B40" s="106" t="s">
        <v>74</v>
      </c>
      <c r="F40" s="104">
        <v>8315</v>
      </c>
    </row>
    <row r="41" spans="2:6">
      <c r="B41" s="106" t="s">
        <v>75</v>
      </c>
      <c r="F41" s="104">
        <v>8020</v>
      </c>
    </row>
  </sheetData>
  <phoneticPr fontId="13"/>
  <hyperlinks>
    <hyperlink ref="B1" r:id="rId1" xr:uid="{00000000-0004-0000-04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T1000"/>
  <sheetViews>
    <sheetView workbookViewId="0">
      <pane xSplit="8" ySplit="2" topLeftCell="AD3" activePane="bottomRight" state="frozen"/>
      <selection pane="topRight" activeCell="I1" sqref="I1"/>
      <selection pane="bottomLeft" activeCell="A3" sqref="A3"/>
      <selection pane="bottomRight"/>
    </sheetView>
  </sheetViews>
  <sheetFormatPr defaultColWidth="12.58203125" defaultRowHeight="15" customHeight="1"/>
  <cols>
    <col min="1" max="2" width="7.58203125" style="53" customWidth="1"/>
    <col min="3" max="3" width="8.58203125" style="53" customWidth="1"/>
    <col min="4" max="5" width="7.58203125" style="53" customWidth="1"/>
    <col min="6" max="7" width="5.33203125" style="53" customWidth="1"/>
    <col min="8" max="8" width="2.58203125" style="53" customWidth="1"/>
    <col min="9" max="46" width="10.08203125" style="53" customWidth="1"/>
    <col min="47" max="49" width="7.58203125" style="53" customWidth="1"/>
    <col min="50" max="16384" width="12.58203125" style="53"/>
  </cols>
  <sheetData>
    <row r="1" spans="2:46" ht="18" customHeight="1">
      <c r="C1" s="44"/>
      <c r="D1" s="44"/>
      <c r="E1" s="44"/>
      <c r="F1" s="44"/>
      <c r="G1" s="44"/>
      <c r="I1" s="44" t="s">
        <v>43</v>
      </c>
      <c r="J1" s="44" t="s">
        <v>44</v>
      </c>
      <c r="K1" s="44" t="s">
        <v>41</v>
      </c>
      <c r="L1" s="44" t="s">
        <v>40</v>
      </c>
      <c r="M1" s="44" t="s">
        <v>42</v>
      </c>
      <c r="N1" s="44" t="s">
        <v>49</v>
      </c>
      <c r="O1" s="44" t="s">
        <v>46</v>
      </c>
      <c r="P1" s="44" t="s">
        <v>47</v>
      </c>
      <c r="Q1" s="44" t="s">
        <v>51</v>
      </c>
      <c r="R1" s="44" t="s">
        <v>52</v>
      </c>
      <c r="S1" s="44" t="s">
        <v>50</v>
      </c>
      <c r="T1" s="44" t="s">
        <v>68</v>
      </c>
      <c r="U1" s="44" t="s">
        <v>45</v>
      </c>
      <c r="V1" s="44" t="s">
        <v>48</v>
      </c>
      <c r="W1" s="44" t="s">
        <v>53</v>
      </c>
      <c r="X1" s="44" t="s">
        <v>54</v>
      </c>
      <c r="Y1" s="44" t="s">
        <v>55</v>
      </c>
      <c r="Z1" s="44" t="s">
        <v>56</v>
      </c>
      <c r="AA1" s="44" t="s">
        <v>57</v>
      </c>
      <c r="AB1" s="44" t="s">
        <v>58</v>
      </c>
      <c r="AC1" s="44" t="s">
        <v>59</v>
      </c>
      <c r="AD1" s="44" t="s">
        <v>60</v>
      </c>
      <c r="AE1" s="44" t="s">
        <v>61</v>
      </c>
      <c r="AF1" s="44" t="s">
        <v>62</v>
      </c>
      <c r="AG1" s="44" t="s">
        <v>63</v>
      </c>
      <c r="AH1" s="44" t="s">
        <v>64</v>
      </c>
      <c r="AI1" s="44" t="s">
        <v>65</v>
      </c>
      <c r="AJ1" s="44" t="s">
        <v>76</v>
      </c>
      <c r="AK1" s="44" t="s">
        <v>66</v>
      </c>
      <c r="AL1" s="44" t="s">
        <v>67</v>
      </c>
      <c r="AM1" s="44" t="s">
        <v>69</v>
      </c>
      <c r="AN1" s="44" t="s">
        <v>70</v>
      </c>
      <c r="AO1" s="44" t="s">
        <v>436</v>
      </c>
      <c r="AP1" s="44" t="s">
        <v>71</v>
      </c>
      <c r="AQ1" s="44" t="s">
        <v>72</v>
      </c>
      <c r="AR1" s="44" t="s">
        <v>73</v>
      </c>
      <c r="AS1" s="44" t="s">
        <v>74</v>
      </c>
      <c r="AT1" s="44" t="s">
        <v>75</v>
      </c>
    </row>
    <row r="2" spans="2:46" ht="18" customHeight="1">
      <c r="C2" s="108" t="s">
        <v>77</v>
      </c>
      <c r="D2" s="108"/>
      <c r="E2" s="108"/>
      <c r="F2" s="108" t="s">
        <v>78</v>
      </c>
      <c r="G2" s="109"/>
      <c r="I2" s="108" t="s">
        <v>79</v>
      </c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</row>
    <row r="3" spans="2:46" ht="18" customHeight="1">
      <c r="B3" s="53">
        <v>2020</v>
      </c>
      <c r="C3" s="44">
        <v>1</v>
      </c>
      <c r="D3" s="44"/>
      <c r="E3" s="44"/>
      <c r="F3" s="56">
        <v>44197</v>
      </c>
      <c r="G3" s="56">
        <v>44201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  <c r="AL3" s="44">
        <v>0</v>
      </c>
      <c r="AM3" s="44">
        <v>0</v>
      </c>
      <c r="AN3" s="44">
        <v>0</v>
      </c>
      <c r="AO3" s="44">
        <v>0</v>
      </c>
      <c r="AP3" s="44">
        <v>0</v>
      </c>
      <c r="AQ3" s="44">
        <v>0</v>
      </c>
      <c r="AR3" s="44">
        <v>0</v>
      </c>
      <c r="AS3" s="44">
        <v>0</v>
      </c>
      <c r="AT3" s="44">
        <v>0</v>
      </c>
    </row>
    <row r="4" spans="2:46" ht="18" customHeight="1">
      <c r="C4" s="44">
        <v>2</v>
      </c>
      <c r="D4" s="44"/>
      <c r="E4" s="44"/>
      <c r="F4" s="56">
        <v>44202</v>
      </c>
      <c r="G4" s="56">
        <v>44208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0</v>
      </c>
      <c r="AQ4" s="44">
        <v>0</v>
      </c>
      <c r="AR4" s="44">
        <v>0</v>
      </c>
      <c r="AS4" s="44">
        <v>0</v>
      </c>
      <c r="AT4" s="44">
        <v>0</v>
      </c>
    </row>
    <row r="5" spans="2:46" ht="18" customHeight="1">
      <c r="C5" s="57">
        <v>3</v>
      </c>
      <c r="D5" s="57">
        <v>1</v>
      </c>
      <c r="E5" s="57"/>
      <c r="F5" s="56">
        <v>44209</v>
      </c>
      <c r="G5" s="56">
        <v>44215</v>
      </c>
      <c r="I5" s="44">
        <f>SUM(Kyoto!$C$8:$D$14)</f>
        <v>0</v>
      </c>
      <c r="J5" s="44">
        <f>SUM(Kyushu!$C$8:$D$14)</f>
        <v>0</v>
      </c>
      <c r="K5" s="44">
        <f>SUM(Tohoku!$C$8:$D$14)</f>
        <v>0</v>
      </c>
      <c r="L5" s="44">
        <f>SUM(Hokkaio!$C$8:$D$14)</f>
        <v>0</v>
      </c>
      <c r="M5" s="44">
        <f>SUM(Nagoya!$C$8:$D$14)</f>
        <v>0</v>
      </c>
      <c r="N5" s="44">
        <f>SUM(Hiroshima!$C$8:$D$14)</f>
        <v>0</v>
      </c>
      <c r="O5" s="44">
        <f>SUM(Chiba!$C$8:$D$14)</f>
        <v>0</v>
      </c>
      <c r="P5" s="44">
        <f>SUM(Niigata!$C$8:$D$14)</f>
        <v>0</v>
      </c>
      <c r="Q5" s="44">
        <f>SUM(Kanazawa!$C$8:$D$14)</f>
        <v>0</v>
      </c>
      <c r="R5" s="44">
        <f>SUM(Shizuoka!$C$8:$D$14)</f>
        <v>0</v>
      </c>
      <c r="S5" s="44">
        <f>SUM(Kumamoto!$C$8:$D$14)</f>
        <v>0</v>
      </c>
      <c r="T5" s="44">
        <f>SUM('Tokyo Metropolitan'!$C$8:$D$14)</f>
        <v>0</v>
      </c>
      <c r="U5" s="44">
        <f>SUM(Saitama!$C$8:$D$14)</f>
        <v>0</v>
      </c>
      <c r="V5" s="44">
        <f>SUM(Ryukyus!$C$8:$D$14)</f>
        <v>0</v>
      </c>
      <c r="W5" s="44">
        <f>SUM(Mie!$C$8:$D$14)</f>
        <v>0</v>
      </c>
      <c r="X5" s="44">
        <f>SUM(Meiji!$C$8:$D$14)</f>
        <v>0</v>
      </c>
      <c r="Y5" s="44">
        <f>SUM(Doshisha!$C$8:$D$14)</f>
        <v>0</v>
      </c>
      <c r="Z5" s="44">
        <f>SUM(Ryukoku!$C$8:$D$14)</f>
        <v>0</v>
      </c>
      <c r="AA5" s="44">
        <f>SUM(Senshu!$C$8:$D$14)</f>
        <v>0</v>
      </c>
      <c r="AB5" s="44">
        <f>SUM(Meijo!$C$8:$D$14)</f>
        <v>0</v>
      </c>
      <c r="AC5" s="44">
        <f>SUM(Chukyo!$C$8:$D$14)</f>
        <v>0</v>
      </c>
      <c r="AD5" s="44">
        <f>SUM('Kyoto Sangyo'!$C$8:$D$14)</f>
        <v>0</v>
      </c>
      <c r="AE5" s="44">
        <f>SUM('Tohoku Gakuin'!$C$8:$D$14)</f>
        <v>0</v>
      </c>
      <c r="AF5" s="44">
        <f>SUM(Chubu!$C$8:$D$14)</f>
        <v>0</v>
      </c>
      <c r="AG5" s="44">
        <f>SUM('Kobe Gakuin'!$C$8:$D$14)</f>
        <v>0</v>
      </c>
      <c r="AH5" s="44">
        <f>SUM(Rissho!$C$8:$D$14)</f>
        <v>0</v>
      </c>
      <c r="AI5" s="44">
        <f>SUM(Aichi!$C$8:$D$14)</f>
        <v>0</v>
      </c>
      <c r="AJ5" s="44">
        <f>SUM('Chiba Tech'!$C$8:$D$14)</f>
        <v>0</v>
      </c>
      <c r="AK5" s="44">
        <f>SUM(Nanzan!$C$8:$D$14)</f>
        <v>0</v>
      </c>
      <c r="AL5" s="44">
        <f>SUM(Konan!$C$8:$D$14)</f>
        <v>0</v>
      </c>
      <c r="AM5" s="44">
        <f>SUM('Aichi Shukutoku'!$C$8:$D$14)</f>
        <v>0</v>
      </c>
      <c r="AN5" s="44">
        <f>SUM(Tokkyo!$C$8:$D$14)</f>
        <v>0</v>
      </c>
      <c r="AO5" s="44">
        <f>SUM('Mukogawa Women'!$C$8:$D$14)</f>
        <v>0</v>
      </c>
      <c r="AP5" s="44">
        <f>SUM('Hokkai-Gakuen'!$C$8:$D$14)</f>
        <v>0</v>
      </c>
      <c r="AQ5" s="44">
        <f>SUM('Shibaura '!$C$8:$D$14)</f>
        <v>0</v>
      </c>
      <c r="AR5" s="44">
        <f>SUM('Osaka Sangyo'!$C$8:$D$14)</f>
        <v>0</v>
      </c>
      <c r="AS5" s="44">
        <f>SUM('Seinan Gakuin'!$C$8:$D$14)</f>
        <v>0</v>
      </c>
      <c r="AT5" s="44">
        <f>SUM(Soka!$C$8:$D$14)</f>
        <v>0</v>
      </c>
    </row>
    <row r="6" spans="2:46" ht="18" customHeight="1">
      <c r="C6" s="57">
        <v>4</v>
      </c>
      <c r="D6" s="57">
        <v>2</v>
      </c>
      <c r="E6" s="57"/>
      <c r="F6" s="56">
        <v>44216</v>
      </c>
      <c r="G6" s="56">
        <v>44222</v>
      </c>
      <c r="I6" s="44">
        <f>SUM(Kyoto!$C$15:$D$21)</f>
        <v>0</v>
      </c>
      <c r="J6" s="44">
        <f>SUM(Kyushu!$C$15:$D$21)</f>
        <v>0</v>
      </c>
      <c r="K6" s="44">
        <f>SUM(Tohoku!$C$15:$D$21)</f>
        <v>0</v>
      </c>
      <c r="L6" s="44">
        <f>SUM(Hokkaio!$C$15:$D$21)</f>
        <v>0</v>
      </c>
      <c r="M6" s="44">
        <f>SUM(Nagoya!$C$15:$D$21)</f>
        <v>0</v>
      </c>
      <c r="N6" s="44">
        <f>SUM(Hiroshima!$C$15:$D$21)</f>
        <v>0</v>
      </c>
      <c r="O6" s="44">
        <f>SUM(Chiba!$C$15:$D$21)</f>
        <v>0</v>
      </c>
      <c r="P6" s="44">
        <f>SUM(Niigata!$C$15:$D$21)</f>
        <v>0</v>
      </c>
      <c r="Q6" s="44">
        <f>SUM(Kanazawa!$C$15:$D$21)</f>
        <v>0</v>
      </c>
      <c r="R6" s="44">
        <f>SUM(Shizuoka!$C$15:$D$21)</f>
        <v>0</v>
      </c>
      <c r="S6" s="44">
        <f>SUM(Kumamoto!$C$15:$D$21)</f>
        <v>0</v>
      </c>
      <c r="T6" s="44">
        <f>SUM('Tokyo Metropolitan'!$C$15:$D$21)</f>
        <v>0</v>
      </c>
      <c r="U6" s="44">
        <f>SUM(Saitama!$C$15:$D$21)</f>
        <v>0</v>
      </c>
      <c r="V6" s="44">
        <f>SUM(Ryukyus!$C$15:$D$21)</f>
        <v>0</v>
      </c>
      <c r="W6" s="44">
        <f>SUM(Mie!$C$15:$D$21)</f>
        <v>0</v>
      </c>
      <c r="X6" s="44">
        <f>SUM(Meiji!$C$15:$D$21)</f>
        <v>0</v>
      </c>
      <c r="Y6" s="44">
        <f>SUM(Doshisha!$C$15:$D$21)</f>
        <v>0</v>
      </c>
      <c r="Z6" s="44">
        <f>SUM(Ryukoku!$C$15:$D$21)</f>
        <v>0</v>
      </c>
      <c r="AA6" s="44">
        <f>SUM(Senshu!$C$15:$D$21)</f>
        <v>0</v>
      </c>
      <c r="AB6" s="44">
        <f>SUM(Meijo!$C$15:$D$21)</f>
        <v>0</v>
      </c>
      <c r="AC6" s="44">
        <f>SUM(Chukyo!$C$15:$D$21)</f>
        <v>0</v>
      </c>
      <c r="AD6" s="44">
        <f>SUM('Kyoto Sangyo'!$C$15:$D$21)</f>
        <v>0</v>
      </c>
      <c r="AE6" s="44">
        <f>SUM('Tohoku Gakuin'!$C$15:$D$21)</f>
        <v>0</v>
      </c>
      <c r="AF6" s="44">
        <f>SUM(Chubu!$C$15:$D$21)</f>
        <v>0</v>
      </c>
      <c r="AG6" s="44">
        <f>SUM('Kobe Gakuin'!$C$15:$D$21)</f>
        <v>0</v>
      </c>
      <c r="AH6" s="44">
        <f>SUM(Rissho!$C$15:$D$21)</f>
        <v>0</v>
      </c>
      <c r="AI6" s="44">
        <f>SUM(Aichi!$C$15:$D$21)</f>
        <v>0</v>
      </c>
      <c r="AJ6" s="44">
        <f>SUM('Chiba Tech'!$C$15:$D$21)</f>
        <v>0</v>
      </c>
      <c r="AK6" s="44">
        <f>SUM(Nanzan!$C$15:$D$21)</f>
        <v>0</v>
      </c>
      <c r="AL6" s="44">
        <f>SUM(Konan!$C$15:$D$21)</f>
        <v>0</v>
      </c>
      <c r="AM6" s="44">
        <f>SUM('Aichi Shukutoku'!$C$15:$D$21)</f>
        <v>0</v>
      </c>
      <c r="AN6" s="44">
        <f>SUM(Tokkyo!$C$15:$D$21)</f>
        <v>0</v>
      </c>
      <c r="AO6" s="44">
        <f>SUM('Mukogawa Women'!$C$15:$D$21)</f>
        <v>0</v>
      </c>
      <c r="AP6" s="44">
        <f>SUM('Hokkai-Gakuen'!$C$15:$D$21)</f>
        <v>0</v>
      </c>
      <c r="AQ6" s="44">
        <f>SUM('Shibaura '!$C$15:$D$21)</f>
        <v>0</v>
      </c>
      <c r="AR6" s="44">
        <f>SUM('Osaka Sangyo'!$C$15:$D$21)</f>
        <v>0</v>
      </c>
      <c r="AS6" s="44">
        <f>SUM('Seinan Gakuin'!$C$15:$D$21)</f>
        <v>0</v>
      </c>
      <c r="AT6" s="44">
        <f>SUM(Soka!$C$15:$D$21)</f>
        <v>0</v>
      </c>
    </row>
    <row r="7" spans="2:46" ht="18" customHeight="1">
      <c r="C7" s="57">
        <v>5</v>
      </c>
      <c r="D7" s="57">
        <v>3</v>
      </c>
      <c r="E7" s="57"/>
      <c r="F7" s="56">
        <v>44223</v>
      </c>
      <c r="G7" s="56">
        <v>44229</v>
      </c>
      <c r="I7" s="44">
        <f>SUM(Kyoto!$C$22:$D$28)</f>
        <v>0</v>
      </c>
      <c r="J7" s="44">
        <f>SUM(Kyushu!$C$22:$D$28)</f>
        <v>0</v>
      </c>
      <c r="K7" s="44">
        <f>SUM(Tohoku!$C$22:$D$28)</f>
        <v>0</v>
      </c>
      <c r="L7" s="44">
        <f>SUM(Hokkaio!$C$22:$D$28)</f>
        <v>0</v>
      </c>
      <c r="M7" s="44">
        <f>SUM(Nagoya!$C$22:$D$28)</f>
        <v>0</v>
      </c>
      <c r="N7" s="44">
        <f>SUM(Hiroshima!$C$22:$D$28)</f>
        <v>0</v>
      </c>
      <c r="O7" s="44">
        <f>SUM(Chiba!$C$22:$D$28)</f>
        <v>0</v>
      </c>
      <c r="P7" s="44">
        <f>SUM(Niigata!$C$22:$D$28)</f>
        <v>0</v>
      </c>
      <c r="Q7" s="44">
        <f>SUM(Kanazawa!$C$22:$D$28)</f>
        <v>0</v>
      </c>
      <c r="R7" s="44">
        <f>SUM(Shizuoka!$C$22:$D$28)</f>
        <v>0</v>
      </c>
      <c r="S7" s="44">
        <f>SUM(Kumamoto!$C$22:$D$28)</f>
        <v>0</v>
      </c>
      <c r="T7" s="44">
        <f>SUM('Tokyo Metropolitan'!$C$22:$D$28)</f>
        <v>0</v>
      </c>
      <c r="U7" s="44">
        <f>SUM(Saitama!$C$22:$D$28)</f>
        <v>0</v>
      </c>
      <c r="V7" s="44">
        <f>SUM(Ryukyus!$C$22:$D$28)</f>
        <v>0</v>
      </c>
      <c r="W7" s="44">
        <f>SUM(Mie!$C$22:$D$28)</f>
        <v>0</v>
      </c>
      <c r="X7" s="44">
        <f>SUM(Meiji!$C$22:$D$28)</f>
        <v>0</v>
      </c>
      <c r="Y7" s="44">
        <f>SUM(Doshisha!$C$22:$D$28)</f>
        <v>0</v>
      </c>
      <c r="Z7" s="44">
        <f>SUM(Ryukoku!$C$22:$D$28)</f>
        <v>0</v>
      </c>
      <c r="AA7" s="44">
        <f>SUM(Senshu!$C$22:$D$28)</f>
        <v>0</v>
      </c>
      <c r="AB7" s="44">
        <f>SUM(Meijo!$C$22:$D$28)</f>
        <v>0</v>
      </c>
      <c r="AC7" s="44">
        <f>SUM(Chukyo!$C$22:$D$28)</f>
        <v>0</v>
      </c>
      <c r="AD7" s="44">
        <f>SUM('Kyoto Sangyo'!$C$22:$D$28)</f>
        <v>0</v>
      </c>
      <c r="AE7" s="44">
        <f>SUM('Tohoku Gakuin'!$C$22:$D$28)</f>
        <v>0</v>
      </c>
      <c r="AF7" s="44">
        <f>SUM(Chubu!$C$22:$D$28)</f>
        <v>0</v>
      </c>
      <c r="AG7" s="44">
        <f>SUM('Kobe Gakuin'!$C$22:$D$28)</f>
        <v>0</v>
      </c>
      <c r="AH7" s="44">
        <f>SUM(Rissho!$C$22:$D$28)</f>
        <v>0</v>
      </c>
      <c r="AI7" s="44">
        <f>SUM(Aichi!$C$22:$D$28)</f>
        <v>0</v>
      </c>
      <c r="AJ7" s="44">
        <f>SUM('Chiba Tech'!$C$22:$D$28)</f>
        <v>0</v>
      </c>
      <c r="AK7" s="44">
        <f>SUM(Nanzan!$C$22:$D$28)</f>
        <v>0</v>
      </c>
      <c r="AL7" s="44">
        <f>SUM(Konan!$C$22:$D$28)</f>
        <v>0</v>
      </c>
      <c r="AM7" s="44">
        <f>SUM('Aichi Shukutoku'!$C$22:$D$28)</f>
        <v>0</v>
      </c>
      <c r="AN7" s="44">
        <f>SUM(Tokkyo!$C$22:$D$28)</f>
        <v>0</v>
      </c>
      <c r="AO7" s="44">
        <f>SUM('Mukogawa Women'!$C$22:$D$28)</f>
        <v>0</v>
      </c>
      <c r="AP7" s="44">
        <f>SUM('Hokkai-Gakuen'!$C$22:$D$28)</f>
        <v>0</v>
      </c>
      <c r="AQ7" s="44">
        <f>SUM('Shibaura '!$C$22:$D$28)</f>
        <v>0</v>
      </c>
      <c r="AR7" s="44">
        <f>SUM('Osaka Sangyo'!$C$22:$D$28)</f>
        <v>0</v>
      </c>
      <c r="AS7" s="44">
        <f>SUM('Seinan Gakuin'!$C$22:$D$28)</f>
        <v>0</v>
      </c>
      <c r="AT7" s="44">
        <f>SUM(Soka!$C$22:$D$28)</f>
        <v>0</v>
      </c>
    </row>
    <row r="8" spans="2:46" ht="18" customHeight="1">
      <c r="C8" s="57">
        <v>6</v>
      </c>
      <c r="D8" s="57">
        <v>4</v>
      </c>
      <c r="E8" s="57"/>
      <c r="F8" s="56">
        <v>44230</v>
      </c>
      <c r="G8" s="56">
        <v>44236</v>
      </c>
      <c r="I8" s="44">
        <f>SUM(Kyoto!$C$29:$D$35)</f>
        <v>0</v>
      </c>
      <c r="J8" s="44">
        <f>SUM(Kyushu!$C$29:$D$35)</f>
        <v>0</v>
      </c>
      <c r="K8" s="44">
        <f>SUM(Tohoku!$C$29:$D$35)</f>
        <v>0</v>
      </c>
      <c r="L8" s="44">
        <f>SUM(Hokkaio!$C$29:$D$35)</f>
        <v>0</v>
      </c>
      <c r="M8" s="44">
        <f>SUM(Nagoya!$C$29:$D$35)</f>
        <v>0</v>
      </c>
      <c r="N8" s="44">
        <f>SUM(Hiroshima!$C$29:$D$35)</f>
        <v>0</v>
      </c>
      <c r="O8" s="44">
        <f>SUM(Chiba!$C$29:$D$35)</f>
        <v>0</v>
      </c>
      <c r="P8" s="44">
        <f>SUM(Niigata!$C$29:$D$35)</f>
        <v>0</v>
      </c>
      <c r="Q8" s="44">
        <f>SUM(Kanazawa!$C$29:$D$35)</f>
        <v>0</v>
      </c>
      <c r="R8" s="44">
        <f>SUM(Shizuoka!$C$29:$D$35)</f>
        <v>0</v>
      </c>
      <c r="S8" s="44">
        <f>SUM(Kumamoto!$C$29:$D$35)</f>
        <v>0</v>
      </c>
      <c r="T8" s="44">
        <f>SUM('Tokyo Metropolitan'!$C$29:$D$35)</f>
        <v>0</v>
      </c>
      <c r="U8" s="44">
        <f>SUM(Saitama!$C$29:$D$35)</f>
        <v>0</v>
      </c>
      <c r="V8" s="44">
        <f>SUM(Ryukyus!$C$29:$D$35)</f>
        <v>0</v>
      </c>
      <c r="W8" s="44">
        <f>SUM(Mie!$C$29:$D$35)</f>
        <v>0</v>
      </c>
      <c r="X8" s="44">
        <f>SUM(Meiji!$C$29:$D$35)</f>
        <v>0</v>
      </c>
      <c r="Y8" s="44">
        <f>SUM(Doshisha!$C$29:$D$35)</f>
        <v>0</v>
      </c>
      <c r="Z8" s="44">
        <f>SUM(Ryukoku!$C$29:$D$35)</f>
        <v>0</v>
      </c>
      <c r="AA8" s="44">
        <f>SUM(Senshu!$C$29:$D$35)</f>
        <v>0</v>
      </c>
      <c r="AB8" s="44">
        <f>SUM(Meijo!$C$29:$D$35)</f>
        <v>0</v>
      </c>
      <c r="AC8" s="44">
        <f>SUM(Chukyo!$C$29:$D$35)</f>
        <v>0</v>
      </c>
      <c r="AD8" s="44">
        <f>SUM('Kyoto Sangyo'!$C$29:$D$35)</f>
        <v>0</v>
      </c>
      <c r="AE8" s="44">
        <f>SUM('Tohoku Gakuin'!$C$29:$D$35)</f>
        <v>0</v>
      </c>
      <c r="AF8" s="44">
        <f>SUM(Chubu!$C$29:$D$35)</f>
        <v>0</v>
      </c>
      <c r="AG8" s="44">
        <f>SUM('Kobe Gakuin'!$C$29:$D$35)</f>
        <v>0</v>
      </c>
      <c r="AH8" s="44">
        <f>SUM(Rissho!$C$29:$D$35)</f>
        <v>0</v>
      </c>
      <c r="AI8" s="44">
        <f>SUM(Aichi!$C$29:$D$35)</f>
        <v>0</v>
      </c>
      <c r="AJ8" s="44">
        <f>SUM('Chiba Tech'!$C$29:$D$35)</f>
        <v>0</v>
      </c>
      <c r="AK8" s="44">
        <f>SUM(Nanzan!$C$29:$D$35)</f>
        <v>0</v>
      </c>
      <c r="AL8" s="44">
        <f>SUM(Konan!$C$29:$D$35)</f>
        <v>0</v>
      </c>
      <c r="AM8" s="44">
        <f>SUM('Aichi Shukutoku'!$C$29:$D$35)</f>
        <v>0</v>
      </c>
      <c r="AN8" s="44">
        <f>SUM(Tokkyo!$C$29:$D$35)</f>
        <v>0</v>
      </c>
      <c r="AO8" s="44">
        <f>SUM('Mukogawa Women'!$C$29:$D$35)</f>
        <v>0</v>
      </c>
      <c r="AP8" s="44">
        <f>SUM('Hokkai-Gakuen'!$C$29:$D$35)</f>
        <v>0</v>
      </c>
      <c r="AQ8" s="44">
        <f>SUM('Shibaura '!$C$29:$D$35)</f>
        <v>0</v>
      </c>
      <c r="AR8" s="44">
        <f>SUM('Osaka Sangyo'!$C$29:$D$35)</f>
        <v>0</v>
      </c>
      <c r="AS8" s="44">
        <f>SUM('Seinan Gakuin'!$C$29:$D$35)</f>
        <v>0</v>
      </c>
      <c r="AT8" s="44">
        <f>SUM(Soka!$C$29:$D$35)</f>
        <v>0</v>
      </c>
    </row>
    <row r="9" spans="2:46" ht="18" customHeight="1">
      <c r="C9" s="57">
        <v>7</v>
      </c>
      <c r="D9" s="57">
        <v>5</v>
      </c>
      <c r="E9" s="57"/>
      <c r="F9" s="56">
        <v>44237</v>
      </c>
      <c r="G9" s="56">
        <v>44243</v>
      </c>
      <c r="I9" s="44">
        <f>SUM(Kyoto!$C$36:$D$42)</f>
        <v>0</v>
      </c>
      <c r="J9" s="44">
        <f>SUM(Kyushu!$C$36:$D$42)</f>
        <v>0</v>
      </c>
      <c r="K9" s="44">
        <f>SUM(Tohoku!$C$36:$D$42)</f>
        <v>0</v>
      </c>
      <c r="L9" s="44">
        <f>SUM(Hokkaio!$C$36:$D$42)</f>
        <v>0</v>
      </c>
      <c r="M9" s="44">
        <f>SUM(Nagoya!$C$36:$D$42)</f>
        <v>0</v>
      </c>
      <c r="N9" s="44">
        <f>SUM(Hiroshima!$C$36:$D$42)</f>
        <v>0</v>
      </c>
      <c r="O9" s="44">
        <f>SUM(Chiba!$C$36:$D$42)</f>
        <v>0</v>
      </c>
      <c r="P9" s="44">
        <f>SUM(Niigata!$C$36:$D$42)</f>
        <v>0</v>
      </c>
      <c r="Q9" s="44">
        <f>SUM(Kanazawa!$C$36:$D$42)</f>
        <v>0</v>
      </c>
      <c r="R9" s="44">
        <f>SUM(Shizuoka!$C$36:$D$42)</f>
        <v>0</v>
      </c>
      <c r="S9" s="44">
        <f>SUM(Kumamoto!$C$36:$D$42)</f>
        <v>0</v>
      </c>
      <c r="T9" s="44">
        <f>SUM('Tokyo Metropolitan'!$C$36:$D$42)</f>
        <v>0</v>
      </c>
      <c r="U9" s="44">
        <f>SUM(Saitama!$C$36:$D$42)</f>
        <v>0</v>
      </c>
      <c r="V9" s="44">
        <f>SUM(Ryukyus!$C$36:$D$42)</f>
        <v>0</v>
      </c>
      <c r="W9" s="44">
        <f>SUM(Mie!$C$36:$D$42)</f>
        <v>0</v>
      </c>
      <c r="X9" s="44">
        <f>SUM(Meiji!$C$36:$D$42)</f>
        <v>0</v>
      </c>
      <c r="Y9" s="44">
        <f>SUM(Doshisha!$C$36:$D$42)</f>
        <v>0</v>
      </c>
      <c r="Z9" s="44">
        <f>SUM(Ryukoku!$C$36:$D$42)</f>
        <v>0</v>
      </c>
      <c r="AA9" s="44">
        <f>SUM(Senshu!$C$36:$D$42)</f>
        <v>0</v>
      </c>
      <c r="AB9" s="44">
        <f>SUM(Meijo!$C$36:$D$42)</f>
        <v>0</v>
      </c>
      <c r="AC9" s="44">
        <f>SUM(Chukyo!$C$36:$D$42)</f>
        <v>0</v>
      </c>
      <c r="AD9" s="44">
        <f>SUM('Kyoto Sangyo'!$C$36:$D$42)</f>
        <v>0</v>
      </c>
      <c r="AE9" s="44">
        <f>SUM('Tohoku Gakuin'!$C$36:$D$42)</f>
        <v>0</v>
      </c>
      <c r="AF9" s="44">
        <f>SUM(Chubu!$C$36:$D$42)</f>
        <v>0</v>
      </c>
      <c r="AG9" s="44">
        <f>SUM('Kobe Gakuin'!$C$36:$D$42)</f>
        <v>0</v>
      </c>
      <c r="AH9" s="44">
        <f>SUM(Rissho!$C$36:$D$42)</f>
        <v>0</v>
      </c>
      <c r="AI9" s="44">
        <f>SUM(Aichi!$C$36:$D$42)</f>
        <v>0</v>
      </c>
      <c r="AJ9" s="44">
        <f>SUM('Chiba Tech'!$C$36:$D$42)</f>
        <v>0</v>
      </c>
      <c r="AK9" s="44">
        <f>SUM(Nanzan!$C$36:$D$42)</f>
        <v>0</v>
      </c>
      <c r="AL9" s="44">
        <f>SUM(Konan!$C$36:$D$42)</f>
        <v>0</v>
      </c>
      <c r="AM9" s="44">
        <f>SUM('Aichi Shukutoku'!$C$36:$D$42)</f>
        <v>0</v>
      </c>
      <c r="AN9" s="44">
        <f>SUM(Tokkyo!$C$36:$D$42)</f>
        <v>0</v>
      </c>
      <c r="AO9" s="44">
        <f>SUM('Mukogawa Women'!$C$36:$D$42)</f>
        <v>0</v>
      </c>
      <c r="AP9" s="44">
        <f>SUM('Hokkai-Gakuen'!$C$36:$D$42)</f>
        <v>0</v>
      </c>
      <c r="AQ9" s="44">
        <f>SUM('Shibaura '!$C$36:$D$42)</f>
        <v>0</v>
      </c>
      <c r="AR9" s="44">
        <f>SUM('Osaka Sangyo'!$C$36:$D$42)</f>
        <v>0</v>
      </c>
      <c r="AS9" s="44">
        <f>SUM('Seinan Gakuin'!$C$36:$D$42)</f>
        <v>0</v>
      </c>
      <c r="AT9" s="44">
        <f>SUM(Soka!$C$36:$D$42)</f>
        <v>0</v>
      </c>
    </row>
    <row r="10" spans="2:46" ht="18" customHeight="1">
      <c r="C10" s="57">
        <v>8</v>
      </c>
      <c r="D10" s="57">
        <v>6</v>
      </c>
      <c r="E10" s="57">
        <v>1</v>
      </c>
      <c r="F10" s="56">
        <v>44244</v>
      </c>
      <c r="G10" s="56">
        <v>44250</v>
      </c>
      <c r="I10" s="44">
        <f>SUM(Kyoto!$C$43:$D$49)</f>
        <v>0</v>
      </c>
      <c r="J10" s="44">
        <f>SUM(Kyushu!$C$43:$D$49)</f>
        <v>0</v>
      </c>
      <c r="K10" s="44">
        <f>SUM(Tohoku!$C$43:$D$49)</f>
        <v>0</v>
      </c>
      <c r="L10" s="44">
        <f>SUM(Hokkaio!$C$43:$D$49)</f>
        <v>0</v>
      </c>
      <c r="M10" s="44">
        <f>SUM(Nagoya!$C$43:$D$49)</f>
        <v>0</v>
      </c>
      <c r="N10" s="44">
        <f>SUM(Hiroshima!$C$43:$D$49)</f>
        <v>0</v>
      </c>
      <c r="O10" s="44">
        <f>SUM(Chiba!$C$43:$D$49)</f>
        <v>0</v>
      </c>
      <c r="P10" s="44">
        <f>SUM(Niigata!$C$43:$D$49)</f>
        <v>0</v>
      </c>
      <c r="Q10" s="44">
        <f>SUM(Kanazawa!$C$43:$D$49)</f>
        <v>0</v>
      </c>
      <c r="R10" s="44">
        <f>SUM(Shizuoka!$C$43:$D$49)</f>
        <v>0</v>
      </c>
      <c r="S10" s="44">
        <f>SUM(Kumamoto!$C$43:$D$49)</f>
        <v>0</v>
      </c>
      <c r="T10" s="44">
        <f>SUM('Tokyo Metropolitan'!$C$43:$D$49)</f>
        <v>0</v>
      </c>
      <c r="U10" s="44">
        <f>SUM(Saitama!$C$43:$D$49)</f>
        <v>0</v>
      </c>
      <c r="V10" s="44">
        <f>SUM(Ryukyus!$C$43:$D$49)</f>
        <v>0</v>
      </c>
      <c r="W10" s="44">
        <f>SUM(Mie!$C$43:$D$49)</f>
        <v>0</v>
      </c>
      <c r="X10" s="44">
        <f>SUM(Meiji!$C$43:$D$49)</f>
        <v>0</v>
      </c>
      <c r="Y10" s="44">
        <f>SUM(Doshisha!$C$43:$D$49)</f>
        <v>0</v>
      </c>
      <c r="Z10" s="44">
        <f>SUM(Ryukoku!$C$43:$D$49)</f>
        <v>0</v>
      </c>
      <c r="AA10" s="44">
        <f>SUM(Senshu!$C$43:$D$49)</f>
        <v>0</v>
      </c>
      <c r="AB10" s="44">
        <f>SUM(Meijo!$C$43:$D$49)</f>
        <v>0</v>
      </c>
      <c r="AC10" s="44">
        <f>SUM(Chukyo!$C$43:$D$49)</f>
        <v>0</v>
      </c>
      <c r="AD10" s="44">
        <f>SUM('Kyoto Sangyo'!$C$43:$D$49)</f>
        <v>0</v>
      </c>
      <c r="AE10" s="44">
        <f>SUM('Tohoku Gakuin'!$C$43:$D$49)</f>
        <v>0</v>
      </c>
      <c r="AF10" s="44">
        <f>SUM(Chubu!$C$43:$D$49)</f>
        <v>0</v>
      </c>
      <c r="AG10" s="44">
        <f>SUM('Kobe Gakuin'!$C$43:$D$49)</f>
        <v>0</v>
      </c>
      <c r="AH10" s="44">
        <f>SUM(Rissho!$C$43:$D$49)</f>
        <v>0</v>
      </c>
      <c r="AI10" s="44">
        <f>SUM(Aichi!$C$43:$D$49)</f>
        <v>0</v>
      </c>
      <c r="AJ10" s="44">
        <f>SUM('Chiba Tech'!$C$43:$D$49)</f>
        <v>0</v>
      </c>
      <c r="AK10" s="44">
        <f>SUM(Nanzan!$C$43:$D$49)</f>
        <v>0</v>
      </c>
      <c r="AL10" s="44">
        <f>SUM(Konan!$C$43:$D$49)</f>
        <v>0</v>
      </c>
      <c r="AM10" s="44">
        <f>SUM('Aichi Shukutoku'!$C$43:$D$49)</f>
        <v>0</v>
      </c>
      <c r="AN10" s="44">
        <f>SUM(Tokkyo!$C$43:$D$49)</f>
        <v>0</v>
      </c>
      <c r="AO10" s="44">
        <f>SUM('Mukogawa Women'!$C$43:$D$49)</f>
        <v>0</v>
      </c>
      <c r="AP10" s="44">
        <f>SUM('Hokkai-Gakuen'!$C$43:$D$49)</f>
        <v>0</v>
      </c>
      <c r="AQ10" s="44">
        <f>SUM('Shibaura '!$C$43:$D$49)</f>
        <v>0</v>
      </c>
      <c r="AR10" s="44">
        <f>SUM('Osaka Sangyo'!$C$43:$D$49)</f>
        <v>0</v>
      </c>
      <c r="AS10" s="44">
        <f>SUM('Seinan Gakuin'!$C$43:$D$49)</f>
        <v>0</v>
      </c>
      <c r="AT10" s="44">
        <f>SUM(Soka!$C$43:$D$49)</f>
        <v>0</v>
      </c>
    </row>
    <row r="11" spans="2:46" ht="18" customHeight="1">
      <c r="C11" s="57">
        <v>9</v>
      </c>
      <c r="D11" s="57">
        <v>7</v>
      </c>
      <c r="E11" s="57">
        <v>2</v>
      </c>
      <c r="F11" s="56">
        <v>44251</v>
      </c>
      <c r="G11" s="56">
        <v>44256</v>
      </c>
      <c r="I11" s="44">
        <f>SUM(Kyoto!$C$50:$D$56)</f>
        <v>0</v>
      </c>
      <c r="J11" s="44">
        <f>SUM(Kyushu!$C$50:$D$56)</f>
        <v>0</v>
      </c>
      <c r="K11" s="44">
        <f>SUM(Tohoku!$C$50:$D$56)</f>
        <v>0</v>
      </c>
      <c r="L11" s="44">
        <f>SUM(Hokkaio!$C$50:$D$56)</f>
        <v>0</v>
      </c>
      <c r="M11" s="44">
        <f>SUM(Nagoya!$C$50:$D$56)</f>
        <v>0</v>
      </c>
      <c r="N11" s="44">
        <f>SUM(Hiroshima!$C$50:$D$56)</f>
        <v>0</v>
      </c>
      <c r="O11" s="44">
        <f>SUM(Chiba!$C$50:$D$56)</f>
        <v>0</v>
      </c>
      <c r="P11" s="44">
        <f>SUM(Niigata!$C$50:$D$56)</f>
        <v>0</v>
      </c>
      <c r="Q11" s="44">
        <f>SUM(Kanazawa!$C$50:$D$56)</f>
        <v>0</v>
      </c>
      <c r="R11" s="44">
        <f>SUM(Shizuoka!$C$50:$D$56)</f>
        <v>0</v>
      </c>
      <c r="S11" s="44">
        <f>SUM(Kumamoto!$C$50:$D$56)</f>
        <v>0</v>
      </c>
      <c r="T11" s="44">
        <f>SUM('Tokyo Metropolitan'!$C$50:$D$56)</f>
        <v>0</v>
      </c>
      <c r="U11" s="44">
        <f>SUM(Saitama!$C$50:$D$56)</f>
        <v>0</v>
      </c>
      <c r="V11" s="44">
        <f>SUM(Ryukyus!$C$50:$D$56)</f>
        <v>0</v>
      </c>
      <c r="W11" s="44">
        <f>SUM(Mie!$C$50:$D$56)</f>
        <v>0</v>
      </c>
      <c r="X11" s="44">
        <f>SUM(Meiji!$C$50:$D$56)</f>
        <v>0</v>
      </c>
      <c r="Y11" s="44">
        <f>SUM(Doshisha!$C$50:$D$56)</f>
        <v>0</v>
      </c>
      <c r="Z11" s="44">
        <f>SUM(Ryukoku!$C$50:$D$56)</f>
        <v>0</v>
      </c>
      <c r="AA11" s="44">
        <f>SUM(Senshu!$C$50:$D$56)</f>
        <v>0</v>
      </c>
      <c r="AB11" s="44">
        <f>SUM(Meijo!$C$50:$D$56)</f>
        <v>0</v>
      </c>
      <c r="AC11" s="44">
        <f>SUM(Chukyo!$C$50:$D$56)</f>
        <v>0</v>
      </c>
      <c r="AD11" s="44">
        <f>SUM('Kyoto Sangyo'!$C$50:$D$56)</f>
        <v>0</v>
      </c>
      <c r="AE11" s="44">
        <f>SUM('Tohoku Gakuin'!$C$50:$D$56)</f>
        <v>0</v>
      </c>
      <c r="AF11" s="44">
        <f>SUM(Chubu!$C$50:$D$56)</f>
        <v>0</v>
      </c>
      <c r="AG11" s="44">
        <f>SUM('Kobe Gakuin'!$C$50:$D$56)</f>
        <v>0</v>
      </c>
      <c r="AH11" s="44">
        <f>SUM(Rissho!$C$50:$D$56)</f>
        <v>0</v>
      </c>
      <c r="AI11" s="44">
        <f>SUM(Aichi!$C$50:$D$56)</f>
        <v>0</v>
      </c>
      <c r="AJ11" s="44">
        <f>SUM('Chiba Tech'!$C$50:$D$56)</f>
        <v>0</v>
      </c>
      <c r="AK11" s="44">
        <f>SUM(Nanzan!$C$50:$D$56)</f>
        <v>0</v>
      </c>
      <c r="AL11" s="44">
        <f>SUM(Konan!$C$50:$D$56)</f>
        <v>0</v>
      </c>
      <c r="AM11" s="44">
        <f>SUM('Aichi Shukutoku'!$C$50:$D$56)</f>
        <v>0</v>
      </c>
      <c r="AN11" s="44">
        <f>SUM(Tokkyo!$C$50:$D$56)</f>
        <v>0</v>
      </c>
      <c r="AO11" s="44">
        <f>SUM('Mukogawa Women'!$C$50:$D$56)</f>
        <v>0</v>
      </c>
      <c r="AP11" s="44">
        <f>SUM('Hokkai-Gakuen'!$C$50:$D$56)</f>
        <v>0</v>
      </c>
      <c r="AQ11" s="44">
        <f>SUM('Shibaura '!$C$50:$D$56)</f>
        <v>0</v>
      </c>
      <c r="AR11" s="44">
        <f>SUM('Osaka Sangyo'!$C$50:$D$56)</f>
        <v>0</v>
      </c>
      <c r="AS11" s="44">
        <f>SUM('Seinan Gakuin'!$C$50:$D$56)</f>
        <v>0</v>
      </c>
      <c r="AT11" s="44">
        <f>SUM(Soka!$C$50:$D$56)</f>
        <v>0</v>
      </c>
    </row>
    <row r="12" spans="2:46" ht="18" customHeight="1">
      <c r="C12" s="57">
        <v>10</v>
      </c>
      <c r="D12" s="57">
        <v>8</v>
      </c>
      <c r="E12" s="57">
        <v>3</v>
      </c>
      <c r="F12" s="56">
        <v>44257</v>
      </c>
      <c r="G12" s="56">
        <v>44263</v>
      </c>
      <c r="I12" s="44">
        <f>SUM(Kyoto!$C$57:$D$63)</f>
        <v>0</v>
      </c>
      <c r="J12" s="44">
        <f>SUM(Kyushu!$C$57:$D$63)</f>
        <v>0</v>
      </c>
      <c r="K12" s="44">
        <f>SUM(Tohoku!$C$57:$D$63)</f>
        <v>0</v>
      </c>
      <c r="L12" s="44">
        <f>SUM(Hokkaio!$C$57:$D$63)</f>
        <v>1</v>
      </c>
      <c r="M12" s="44">
        <f>SUM(Nagoya!$C$57:$D$63)</f>
        <v>0</v>
      </c>
      <c r="N12" s="44">
        <f>SUM(Hiroshima!$C$57:$D$63)</f>
        <v>0</v>
      </c>
      <c r="O12" s="44">
        <f>SUM(Chiba!$C$57:$D$63)</f>
        <v>0</v>
      </c>
      <c r="P12" s="44">
        <f>SUM(Niigata!$C$57:$D$63)</f>
        <v>0</v>
      </c>
      <c r="Q12" s="44">
        <f>SUM(Kanazawa!$C$57:$D$63)</f>
        <v>0</v>
      </c>
      <c r="R12" s="44">
        <f>SUM(Shizuoka!$C$57:$D$63)</f>
        <v>0</v>
      </c>
      <c r="S12" s="44">
        <f>SUM(Kumamoto!$C$57:$D$63)</f>
        <v>0</v>
      </c>
      <c r="T12" s="44">
        <f>SUM('Tokyo Metropolitan'!$C$57:$D$63)</f>
        <v>0</v>
      </c>
      <c r="U12" s="44">
        <f>SUM(Saitama!$C$57:$D$63)</f>
        <v>0</v>
      </c>
      <c r="V12" s="44">
        <f>SUM(Ryukyus!$C$57:$D$63)</f>
        <v>0</v>
      </c>
      <c r="W12" s="44">
        <f>SUM(Mie!$C$57:$D$63)</f>
        <v>0</v>
      </c>
      <c r="X12" s="44">
        <f>SUM(Meiji!$C$57:$D$63)</f>
        <v>0</v>
      </c>
      <c r="Y12" s="44">
        <f>SUM(Doshisha!$C$57:$D$63)</f>
        <v>0</v>
      </c>
      <c r="Z12" s="44">
        <f>SUM(Ryukoku!$C$57:$D$63)</f>
        <v>0</v>
      </c>
      <c r="AA12" s="44">
        <f>SUM(Senshu!$C$57:$D$63)</f>
        <v>0</v>
      </c>
      <c r="AB12" s="44">
        <f>SUM(Meijo!$C$57:$D$63)</f>
        <v>0</v>
      </c>
      <c r="AC12" s="44">
        <f>SUM(Chukyo!$C$57:$D$63)</f>
        <v>0</v>
      </c>
      <c r="AD12" s="44">
        <f>SUM('Kyoto Sangyo'!$C$57:$D$63)</f>
        <v>0</v>
      </c>
      <c r="AE12" s="44">
        <f>SUM('Tohoku Gakuin'!$C$57:$D$63)</f>
        <v>0</v>
      </c>
      <c r="AF12" s="44">
        <f>SUM(Chubu!$C$57:$D$63)</f>
        <v>0</v>
      </c>
      <c r="AG12" s="44">
        <f>SUM('Kobe Gakuin'!$C$57:$D$63)</f>
        <v>0</v>
      </c>
      <c r="AH12" s="44">
        <f>SUM(Rissho!$C$57:$D$63)</f>
        <v>0</v>
      </c>
      <c r="AI12" s="44">
        <f>SUM(Aichi!$C$57:$D$63)</f>
        <v>0</v>
      </c>
      <c r="AJ12" s="44">
        <f>SUM('Chiba Tech'!$C$57:$D$63)</f>
        <v>0</v>
      </c>
      <c r="AK12" s="44">
        <f>SUM(Nanzan!$C$57:$D$63)</f>
        <v>0</v>
      </c>
      <c r="AL12" s="44">
        <f>SUM(Konan!$C$57:$D$63)</f>
        <v>0</v>
      </c>
      <c r="AM12" s="44">
        <f>SUM('Aichi Shukutoku'!$C$57:$D$63)</f>
        <v>0</v>
      </c>
      <c r="AN12" s="44">
        <f>SUM(Tokkyo!$C$57:$D$63)</f>
        <v>0</v>
      </c>
      <c r="AO12" s="44">
        <f>SUM('Mukogawa Women'!$C$57:$D$63)</f>
        <v>0</v>
      </c>
      <c r="AP12" s="44">
        <f>SUM('Hokkai-Gakuen'!$C$57:$D$63)</f>
        <v>0</v>
      </c>
      <c r="AQ12" s="44">
        <f>SUM('Shibaura '!$C$57:$D$63)</f>
        <v>0</v>
      </c>
      <c r="AR12" s="44">
        <f>SUM('Osaka Sangyo'!$C$57:$D$63)</f>
        <v>0</v>
      </c>
      <c r="AS12" s="44">
        <f>SUM('Seinan Gakuin'!$C$57:$D$63)</f>
        <v>0</v>
      </c>
      <c r="AT12" s="44">
        <f>SUM(Soka!$C$57:$D$63)</f>
        <v>0</v>
      </c>
    </row>
    <row r="13" spans="2:46" ht="18" customHeight="1">
      <c r="C13" s="57">
        <v>11</v>
      </c>
      <c r="D13" s="57">
        <v>9</v>
      </c>
      <c r="E13" s="57">
        <v>4</v>
      </c>
      <c r="F13" s="56">
        <v>44264</v>
      </c>
      <c r="G13" s="56">
        <v>44270</v>
      </c>
      <c r="I13" s="44">
        <f>SUM(Kyoto!$C$64:$D$70)</f>
        <v>0</v>
      </c>
      <c r="J13" s="44">
        <f>SUM(Kyushu!$C$64:$D$70)</f>
        <v>0</v>
      </c>
      <c r="K13" s="44">
        <f>SUM(Tohoku!$C$64:$D$70)</f>
        <v>0</v>
      </c>
      <c r="L13" s="44">
        <f>SUM(Hokkaio!$C$64:$D$70)</f>
        <v>0</v>
      </c>
      <c r="M13" s="44">
        <f>SUM(Nagoya!$C$64:$D$70)</f>
        <v>0</v>
      </c>
      <c r="N13" s="44">
        <f>SUM(Hiroshima!$C$64:$D$70)</f>
        <v>0</v>
      </c>
      <c r="O13" s="44">
        <f>SUM(Chiba!$C$64:$D$70)</f>
        <v>0</v>
      </c>
      <c r="P13" s="44">
        <f>SUM(Niigata!$C$64:$D$70)</f>
        <v>0</v>
      </c>
      <c r="Q13" s="44">
        <f>SUM(Kanazawa!$C$64:$D$70)</f>
        <v>0</v>
      </c>
      <c r="R13" s="44">
        <f>SUM(Shizuoka!$C$64:$D$70)</f>
        <v>0</v>
      </c>
      <c r="S13" s="44">
        <f>SUM(Kumamoto!$C$64:$D$70)</f>
        <v>0</v>
      </c>
      <c r="T13" s="44">
        <f>SUM('Tokyo Metropolitan'!$C$64:$D$70)</f>
        <v>0</v>
      </c>
      <c r="U13" s="44">
        <f>SUM(Saitama!$C$64:$D$70)</f>
        <v>0</v>
      </c>
      <c r="V13" s="44">
        <f>SUM(Ryukyus!$C$64:$D$70)</f>
        <v>0</v>
      </c>
      <c r="W13" s="44">
        <f>SUM(Mie!$C$64:$D$70)</f>
        <v>0</v>
      </c>
      <c r="X13" s="44">
        <f>SUM(Meiji!$C$64:$D$70)</f>
        <v>0</v>
      </c>
      <c r="Y13" s="44">
        <f>SUM(Doshisha!$C$64:$D$70)</f>
        <v>0</v>
      </c>
      <c r="Z13" s="44">
        <f>SUM(Ryukoku!$C$64:$D$70)</f>
        <v>0</v>
      </c>
      <c r="AA13" s="44">
        <f>SUM(Senshu!$C$64:$D$70)</f>
        <v>0</v>
      </c>
      <c r="AB13" s="44">
        <f>SUM(Meijo!$C$64:$D$70)</f>
        <v>0</v>
      </c>
      <c r="AC13" s="44">
        <f>SUM(Chukyo!$C$64:$D$70)</f>
        <v>0</v>
      </c>
      <c r="AD13" s="44">
        <f>SUM('Kyoto Sangyo'!$C$64:$D$70)</f>
        <v>0</v>
      </c>
      <c r="AE13" s="44">
        <f>SUM('Tohoku Gakuin'!$C$64:$D$70)</f>
        <v>0</v>
      </c>
      <c r="AF13" s="44">
        <f>SUM(Chubu!$C$64:$D$70)</f>
        <v>0</v>
      </c>
      <c r="AG13" s="44">
        <f>SUM('Kobe Gakuin'!$C$64:$D$70)</f>
        <v>0</v>
      </c>
      <c r="AH13" s="44">
        <f>SUM(Rissho!$C$64:$D$70)</f>
        <v>0</v>
      </c>
      <c r="AI13" s="44">
        <f>SUM(Aichi!$C$64:$D$70)</f>
        <v>0</v>
      </c>
      <c r="AJ13" s="44">
        <f>SUM('Chiba Tech'!$C$64:$D$70)</f>
        <v>0</v>
      </c>
      <c r="AK13" s="44">
        <f>SUM(Nanzan!$C$64:$D$70)</f>
        <v>0</v>
      </c>
      <c r="AL13" s="44">
        <f>SUM(Konan!$C$64:$D$70)</f>
        <v>0</v>
      </c>
      <c r="AM13" s="44">
        <f>SUM('Aichi Shukutoku'!$C$64:$D$70)</f>
        <v>0</v>
      </c>
      <c r="AN13" s="44">
        <f>SUM(Tokkyo!$C$64:$D$70)</f>
        <v>0</v>
      </c>
      <c r="AO13" s="44">
        <f>SUM('Mukogawa Women'!$C$64:$D$70)</f>
        <v>0</v>
      </c>
      <c r="AP13" s="44">
        <f>SUM('Hokkai-Gakuen'!$C$64:$D$70)</f>
        <v>0</v>
      </c>
      <c r="AQ13" s="44">
        <f>SUM('Shibaura '!$C$64:$D$70)</f>
        <v>0</v>
      </c>
      <c r="AR13" s="44">
        <f>SUM('Osaka Sangyo'!$C$64:$D$70)</f>
        <v>0</v>
      </c>
      <c r="AS13" s="44">
        <f>SUM('Seinan Gakuin'!$C$64:$D$70)</f>
        <v>0</v>
      </c>
      <c r="AT13" s="44">
        <f>SUM(Soka!$C$64:$D$70)</f>
        <v>0</v>
      </c>
    </row>
    <row r="14" spans="2:46" ht="18" customHeight="1">
      <c r="C14" s="57">
        <v>12</v>
      </c>
      <c r="D14" s="57">
        <v>10</v>
      </c>
      <c r="E14" s="57">
        <v>5</v>
      </c>
      <c r="F14" s="56">
        <v>44271</v>
      </c>
      <c r="G14" s="56">
        <v>44277</v>
      </c>
      <c r="I14" s="44">
        <f>SUM(Kyoto!$C$71:$D$77)</f>
        <v>0</v>
      </c>
      <c r="J14" s="44">
        <f>SUM(Kyushu!$C$71:$D$77)</f>
        <v>0</v>
      </c>
      <c r="K14" s="44">
        <f>SUM(Tohoku!$C$71:$D$77)</f>
        <v>0</v>
      </c>
      <c r="L14" s="44">
        <f>SUM(Hokkaio!$C$71:$D$77)</f>
        <v>0</v>
      </c>
      <c r="M14" s="44">
        <f>SUM(Nagoya!$C$71:$D$77)</f>
        <v>0</v>
      </c>
      <c r="N14" s="44">
        <f>SUM(Hiroshima!$C$71:$D$77)</f>
        <v>0</v>
      </c>
      <c r="O14" s="44">
        <f>SUM(Chiba!$C$71:$D$77)</f>
        <v>0</v>
      </c>
      <c r="P14" s="44">
        <f>SUM(Niigata!$C$71:$D$77)</f>
        <v>0</v>
      </c>
      <c r="Q14" s="44">
        <f>SUM(Kanazawa!$C$71:$D$77)</f>
        <v>0</v>
      </c>
      <c r="R14" s="44">
        <f>SUM(Shizuoka!$C$71:$D$77)</f>
        <v>0</v>
      </c>
      <c r="S14" s="44">
        <f>SUM(Kumamoto!$C$71:$D$77)</f>
        <v>0</v>
      </c>
      <c r="T14" s="44">
        <f>SUM('Tokyo Metropolitan'!$C$71:$D$77)</f>
        <v>0</v>
      </c>
      <c r="U14" s="44">
        <f>SUM(Saitama!$C$71:$D$77)</f>
        <v>0</v>
      </c>
      <c r="V14" s="44">
        <f>SUM(Ryukyus!$C$71:$D$77)</f>
        <v>0</v>
      </c>
      <c r="W14" s="44">
        <f>SUM(Mie!$C$71:$D$77)</f>
        <v>0</v>
      </c>
      <c r="X14" s="44">
        <f>SUM(Meiji!$C$71:$D$77)</f>
        <v>0</v>
      </c>
      <c r="Y14" s="44">
        <f>SUM(Doshisha!$C$71:$D$77)</f>
        <v>0</v>
      </c>
      <c r="Z14" s="44">
        <f>SUM(Ryukoku!$C$71:$D$77)</f>
        <v>0</v>
      </c>
      <c r="AA14" s="44">
        <f>SUM(Senshu!$C$71:$D$77)</f>
        <v>0</v>
      </c>
      <c r="AB14" s="44">
        <f>SUM(Meijo!$C$71:$D$77)</f>
        <v>0</v>
      </c>
      <c r="AC14" s="44">
        <f>SUM(Chukyo!$C$71:$D$77)</f>
        <v>0</v>
      </c>
      <c r="AD14" s="44">
        <f>SUM('Kyoto Sangyo'!$C$71:$D$77)</f>
        <v>0</v>
      </c>
      <c r="AE14" s="44">
        <f>SUM('Tohoku Gakuin'!$C$71:$D$77)</f>
        <v>0</v>
      </c>
      <c r="AF14" s="44">
        <f>SUM(Chubu!$C$71:$D$77)</f>
        <v>0</v>
      </c>
      <c r="AG14" s="44">
        <f>SUM('Kobe Gakuin'!$C$71:$D$77)</f>
        <v>0</v>
      </c>
      <c r="AH14" s="44">
        <f>SUM(Rissho!$C$71:$D$77)</f>
        <v>0</v>
      </c>
      <c r="AI14" s="44">
        <f>SUM(Aichi!$C$71:$D$77)</f>
        <v>0</v>
      </c>
      <c r="AJ14" s="44">
        <f>SUM('Chiba Tech'!$C$71:$D$77)</f>
        <v>0</v>
      </c>
      <c r="AK14" s="44">
        <f>SUM(Nanzan!$C$71:$D$77)</f>
        <v>0</v>
      </c>
      <c r="AL14" s="44">
        <f>SUM(Konan!$C$71:$D$77)</f>
        <v>0</v>
      </c>
      <c r="AM14" s="44">
        <f>SUM('Aichi Shukutoku'!$C$71:$D$77)</f>
        <v>0</v>
      </c>
      <c r="AN14" s="44">
        <f>SUM(Tokkyo!$C$71:$D$77)</f>
        <v>0</v>
      </c>
      <c r="AO14" s="44">
        <f>SUM('Mukogawa Women'!$C$71:$D$77)</f>
        <v>0</v>
      </c>
      <c r="AP14" s="44">
        <f>SUM('Hokkai-Gakuen'!$C$71:$D$77)</f>
        <v>0</v>
      </c>
      <c r="AQ14" s="44">
        <f>SUM('Shibaura '!$C$71:$D$77)</f>
        <v>0</v>
      </c>
      <c r="AR14" s="44">
        <f>SUM('Osaka Sangyo'!$C$71:$D$77)</f>
        <v>0</v>
      </c>
      <c r="AS14" s="44">
        <f>SUM('Seinan Gakuin'!$C$71:$D$77)</f>
        <v>0</v>
      </c>
      <c r="AT14" s="44">
        <f>SUM(Soka!$C$71:$D$77)</f>
        <v>0</v>
      </c>
    </row>
    <row r="15" spans="2:46" ht="18" customHeight="1">
      <c r="C15" s="57">
        <v>13</v>
      </c>
      <c r="D15" s="57">
        <v>11</v>
      </c>
      <c r="E15" s="57">
        <v>6</v>
      </c>
      <c r="F15" s="56">
        <v>44278</v>
      </c>
      <c r="G15" s="56">
        <v>44284</v>
      </c>
      <c r="I15" s="44">
        <f>SUM(Kyoto!$C$78:$D$84)</f>
        <v>0</v>
      </c>
      <c r="J15" s="44">
        <f>SUM(Kyushu!$C$78:$D$84)</f>
        <v>0</v>
      </c>
      <c r="K15" s="44">
        <f>SUM(Tohoku!$C$78:$D$84)</f>
        <v>0</v>
      </c>
      <c r="L15" s="44">
        <f>SUM(Hokkaio!$C$78:$D$84)</f>
        <v>0</v>
      </c>
      <c r="M15" s="44">
        <f>SUM(Nagoya!$C$78:$D$84)</f>
        <v>0</v>
      </c>
      <c r="N15" s="44">
        <f>SUM(Hiroshima!$C$78:$D$84)</f>
        <v>0</v>
      </c>
      <c r="O15" s="44">
        <f>SUM(Chiba!$C$78:$D$84)</f>
        <v>0</v>
      </c>
      <c r="P15" s="44">
        <f>SUM(Niigata!$C$78:$D$84)</f>
        <v>0</v>
      </c>
      <c r="Q15" s="44">
        <f>SUM(Kanazawa!$C$78:$D$84)</f>
        <v>0</v>
      </c>
      <c r="R15" s="44">
        <f>SUM(Shizuoka!$C$78:$D$84)</f>
        <v>0</v>
      </c>
      <c r="S15" s="44">
        <f>SUM(Kumamoto!$C$78:$D$84)</f>
        <v>0</v>
      </c>
      <c r="T15" s="44">
        <f>SUM('Tokyo Metropolitan'!$C$78:$D$84)</f>
        <v>0</v>
      </c>
      <c r="U15" s="44">
        <f>SUM(Saitama!$C$78:$D$84)</f>
        <v>0</v>
      </c>
      <c r="V15" s="44">
        <f>SUM(Ryukyus!$C$78:$D$84)</f>
        <v>0</v>
      </c>
      <c r="W15" s="44">
        <f>SUM(Mie!$C$78:$D$84)</f>
        <v>0</v>
      </c>
      <c r="X15" s="44">
        <f>SUM(Meiji!$C$78:$D$84)</f>
        <v>0</v>
      </c>
      <c r="Y15" s="44">
        <f>SUM(Doshisha!$C$78:$D$84)</f>
        <v>0</v>
      </c>
      <c r="Z15" s="44">
        <f>SUM(Ryukoku!$C$78:$D$84)</f>
        <v>0</v>
      </c>
      <c r="AA15" s="44">
        <f>SUM(Senshu!$C$78:$D$84)</f>
        <v>0</v>
      </c>
      <c r="AB15" s="44">
        <f>SUM(Meijo!$C$78:$D$84)</f>
        <v>0</v>
      </c>
      <c r="AC15" s="44">
        <f>SUM(Chukyo!$C$78:$D$84)</f>
        <v>0</v>
      </c>
      <c r="AD15" s="44">
        <f>SUM('Kyoto Sangyo'!$C$78:$D$84)</f>
        <v>8</v>
      </c>
      <c r="AE15" s="44">
        <f>SUM('Tohoku Gakuin'!$C$78:$D$84)</f>
        <v>0</v>
      </c>
      <c r="AF15" s="44">
        <f>SUM(Chubu!$C$78:$D$84)</f>
        <v>0</v>
      </c>
      <c r="AG15" s="44">
        <f>SUM('Kobe Gakuin'!$C$78:$D$84)</f>
        <v>0</v>
      </c>
      <c r="AH15" s="44">
        <f>SUM(Rissho!$C$78:$D$84)</f>
        <v>0</v>
      </c>
      <c r="AI15" s="44">
        <f>SUM(Aichi!$C$78:$D$84)</f>
        <v>0</v>
      </c>
      <c r="AJ15" s="44">
        <f>SUM('Chiba Tech'!$C$78:$D$84)</f>
        <v>0</v>
      </c>
      <c r="AK15" s="44">
        <f>SUM(Nanzan!$C$78:$D$84)</f>
        <v>0</v>
      </c>
      <c r="AL15" s="44">
        <f>SUM(Konan!$C$78:$D$84)</f>
        <v>0</v>
      </c>
      <c r="AM15" s="44">
        <f>SUM('Aichi Shukutoku'!$C$78:$D$84)</f>
        <v>0</v>
      </c>
      <c r="AN15" s="44">
        <f>SUM(Tokkyo!$C$78:$D$84)</f>
        <v>0</v>
      </c>
      <c r="AO15" s="44">
        <f>SUM('Mukogawa Women'!$C$78:$D$84)</f>
        <v>0</v>
      </c>
      <c r="AP15" s="44">
        <f>SUM('Hokkai-Gakuen'!$C$78:$D$84)</f>
        <v>0</v>
      </c>
      <c r="AQ15" s="44">
        <f>SUM('Shibaura '!$C$78:$D$84)</f>
        <v>0</v>
      </c>
      <c r="AR15" s="44">
        <f>SUM('Osaka Sangyo'!$C$78:$D$84)</f>
        <v>0</v>
      </c>
      <c r="AS15" s="44">
        <f>SUM('Seinan Gakuin'!$C$78:$D$84)</f>
        <v>0</v>
      </c>
      <c r="AT15" s="44">
        <f>SUM(Soka!$C$78:$D$84)</f>
        <v>1</v>
      </c>
    </row>
    <row r="16" spans="2:46" ht="18" customHeight="1">
      <c r="C16" s="57">
        <v>14</v>
      </c>
      <c r="D16" s="57">
        <v>12</v>
      </c>
      <c r="E16" s="57">
        <v>7</v>
      </c>
      <c r="F16" s="56">
        <v>44285</v>
      </c>
      <c r="G16" s="56">
        <v>44291</v>
      </c>
      <c r="I16" s="44">
        <f>SUM(Kyoto!$C$85:$D$91)</f>
        <v>0</v>
      </c>
      <c r="J16" s="44">
        <f>SUM(Kyushu!$C$85:$D$91)</f>
        <v>1</v>
      </c>
      <c r="K16" s="44">
        <f>SUM(Tohoku!$C$85:$D$91)</f>
        <v>1</v>
      </c>
      <c r="L16" s="44">
        <f>SUM(Hokkaio!$C$85:$D$91)</f>
        <v>0</v>
      </c>
      <c r="M16" s="44">
        <f>SUM(Nagoya!$C$85:$D$91)</f>
        <v>0</v>
      </c>
      <c r="N16" s="44">
        <f>SUM(Hiroshima!$C$85:$D$91)</f>
        <v>1</v>
      </c>
      <c r="O16" s="44">
        <f>SUM(Chiba!$C$85:$D$91)</f>
        <v>0</v>
      </c>
      <c r="P16" s="44">
        <f>SUM(Niigata!$C$85:$D$91)</f>
        <v>0</v>
      </c>
      <c r="Q16" s="44">
        <f>SUM(Kanazawa!$C$85:$D$91)</f>
        <v>1</v>
      </c>
      <c r="R16" s="44">
        <f>SUM(Shizuoka!$C$85:$D$91)</f>
        <v>0</v>
      </c>
      <c r="S16" s="44">
        <f>SUM(Kumamoto!$C$85:$D$91)</f>
        <v>0</v>
      </c>
      <c r="T16" s="44">
        <f>SUM('Tokyo Metropolitan'!$C$85:$D$91)</f>
        <v>0</v>
      </c>
      <c r="U16" s="44">
        <f>SUM(Saitama!$C$85:$D$91)</f>
        <v>0</v>
      </c>
      <c r="V16" s="44">
        <f>SUM(Ryukyus!$C$85:$D$91)</f>
        <v>0</v>
      </c>
      <c r="W16" s="44">
        <f>SUM(Mie!$C$85:$D$91)</f>
        <v>0</v>
      </c>
      <c r="X16" s="44">
        <f>SUM(Meiji!$C$85:$D$91)</f>
        <v>0</v>
      </c>
      <c r="Y16" s="44">
        <f>SUM(Doshisha!$C$85:$D$91)</f>
        <v>0</v>
      </c>
      <c r="Z16" s="44">
        <f>SUM(Ryukoku!$C$85:$D$91)</f>
        <v>0</v>
      </c>
      <c r="AA16" s="44">
        <f>SUM(Senshu!$C$85:$D$91)</f>
        <v>0</v>
      </c>
      <c r="AB16" s="44">
        <f>SUM(Meijo!$C$85:$D$91)</f>
        <v>0</v>
      </c>
      <c r="AC16" s="44">
        <f>SUM(Chukyo!$C$85:$D$91)</f>
        <v>0</v>
      </c>
      <c r="AD16" s="44">
        <f>SUM('Kyoto Sangyo'!$C$85:$D$91)</f>
        <v>27</v>
      </c>
      <c r="AE16" s="44">
        <f>SUM('Tohoku Gakuin'!$C$85:$D$91)</f>
        <v>1</v>
      </c>
      <c r="AF16" s="44">
        <f>SUM(Chubu!$C$85:$D$91)</f>
        <v>0</v>
      </c>
      <c r="AG16" s="44">
        <f>SUM('Kobe Gakuin'!$C$85:$D$91)</f>
        <v>0</v>
      </c>
      <c r="AH16" s="44">
        <f>SUM(Rissho!$C$85:$D$91)</f>
        <v>0</v>
      </c>
      <c r="AI16" s="44">
        <f>SUM(Aichi!$C$85:$D$91)</f>
        <v>0</v>
      </c>
      <c r="AJ16" s="44">
        <f>SUM('Chiba Tech'!$C$85:$D$91)</f>
        <v>0</v>
      </c>
      <c r="AK16" s="44">
        <f>SUM(Nanzan!$C$85:$D$91)</f>
        <v>0</v>
      </c>
      <c r="AL16" s="44">
        <f>SUM(Konan!$C$85:$D$91)</f>
        <v>0</v>
      </c>
      <c r="AM16" s="44">
        <f>SUM('Aichi Shukutoku'!$C$85:$D$91)</f>
        <v>0</v>
      </c>
      <c r="AN16" s="44">
        <f>SUM(Tokkyo!$C$85:$D$91)</f>
        <v>0</v>
      </c>
      <c r="AO16" s="44">
        <f>SUM('Mukogawa Women'!$C$85:$D$91)</f>
        <v>0</v>
      </c>
      <c r="AP16" s="44">
        <f>SUM('Hokkai-Gakuen'!$C$85:$D$91)</f>
        <v>0</v>
      </c>
      <c r="AQ16" s="44">
        <f>SUM('Shibaura '!$C$85:$D$91)</f>
        <v>0</v>
      </c>
      <c r="AR16" s="44">
        <f>SUM('Osaka Sangyo'!$C$85:$D$91)</f>
        <v>0</v>
      </c>
      <c r="AS16" s="44">
        <f>SUM('Seinan Gakuin'!$C$85:$D$91)</f>
        <v>0</v>
      </c>
      <c r="AT16" s="44">
        <f>SUM(Soka!$C$85:$D$91)</f>
        <v>0</v>
      </c>
    </row>
    <row r="17" spans="3:46" ht="18" customHeight="1">
      <c r="C17" s="57">
        <v>15</v>
      </c>
      <c r="D17" s="57">
        <v>13</v>
      </c>
      <c r="E17" s="57">
        <v>8</v>
      </c>
      <c r="F17" s="56">
        <v>44292</v>
      </c>
      <c r="G17" s="56">
        <v>44298</v>
      </c>
      <c r="I17" s="44">
        <f>SUM(Kyoto!$C$92:$D$98)</f>
        <v>1</v>
      </c>
      <c r="J17" s="44">
        <f>SUM(Kyushu!$C$92:$D$98)</f>
        <v>1</v>
      </c>
      <c r="K17" s="44">
        <f>SUM(Tohoku!$C$92:$D$98)</f>
        <v>1</v>
      </c>
      <c r="L17" s="44">
        <f>SUM(Hokkaio!$C$92:$D$98)</f>
        <v>0</v>
      </c>
      <c r="M17" s="44">
        <f>SUM(Nagoya!$C$92:$D$98)</f>
        <v>0</v>
      </c>
      <c r="N17" s="44">
        <f>SUM(Hiroshima!$C$92:$D$98)</f>
        <v>0</v>
      </c>
      <c r="O17" s="44">
        <f>SUM(Chiba!$C$92:$D$98)</f>
        <v>0</v>
      </c>
      <c r="P17" s="44">
        <f>SUM(Niigata!$C$92:$D$98)</f>
        <v>0</v>
      </c>
      <c r="Q17" s="44">
        <f>SUM(Kanazawa!$C$92:$D$98)</f>
        <v>0</v>
      </c>
      <c r="R17" s="44">
        <f>SUM(Shizuoka!$C$92:$D$98)</f>
        <v>0</v>
      </c>
      <c r="S17" s="44">
        <f>SUM(Kumamoto!$C$92:$D$98)</f>
        <v>0</v>
      </c>
      <c r="T17" s="44">
        <f>SUM('Tokyo Metropolitan'!$C$92:$D$98)</f>
        <v>0</v>
      </c>
      <c r="U17" s="44">
        <f>SUM(Saitama!$C$92:$D$98)</f>
        <v>0</v>
      </c>
      <c r="V17" s="44">
        <f>SUM(Ryukyus!$C$92:$D$98)</f>
        <v>0</v>
      </c>
      <c r="W17" s="44">
        <f>SUM(Mie!$C$92:$D$98)</f>
        <v>0</v>
      </c>
      <c r="X17" s="44">
        <f>SUM(Meiji!$C$92:$D$98)</f>
        <v>0</v>
      </c>
      <c r="Y17" s="44">
        <f>SUM(Doshisha!$C$92:$D$98)</f>
        <v>0</v>
      </c>
      <c r="Z17" s="44">
        <f>SUM(Ryukoku!$C$92:$D$98)</f>
        <v>0</v>
      </c>
      <c r="AA17" s="44">
        <f>SUM(Senshu!$C$92:$D$98)</f>
        <v>0</v>
      </c>
      <c r="AB17" s="44">
        <f>SUM(Meijo!$C$92:$D$98)</f>
        <v>0</v>
      </c>
      <c r="AC17" s="44">
        <f>SUM(Chukyo!$C$92:$D$98)</f>
        <v>1</v>
      </c>
      <c r="AD17" s="44">
        <f>SUM('Kyoto Sangyo'!$C$92:$D$98)</f>
        <v>0</v>
      </c>
      <c r="AE17" s="44">
        <f>SUM('Tohoku Gakuin'!$C$92:$D$98)</f>
        <v>0</v>
      </c>
      <c r="AF17" s="44">
        <f>SUM(Chubu!$C$92:$D$98)</f>
        <v>0</v>
      </c>
      <c r="AG17" s="44">
        <f>SUM('Kobe Gakuin'!$C$92:$D$98)</f>
        <v>1</v>
      </c>
      <c r="AH17" s="44">
        <f>SUM(Rissho!$C$92:$D$98)</f>
        <v>0</v>
      </c>
      <c r="AI17" s="44">
        <f>SUM(Aichi!$C$92:$D$98)</f>
        <v>0</v>
      </c>
      <c r="AJ17" s="44">
        <f>SUM('Chiba Tech'!$C$92:$D$98)</f>
        <v>0</v>
      </c>
      <c r="AK17" s="44">
        <f>SUM(Nanzan!$C$92:$D$98)</f>
        <v>0</v>
      </c>
      <c r="AL17" s="44">
        <f>SUM(Konan!$C$92:$D$98)</f>
        <v>0</v>
      </c>
      <c r="AM17" s="44">
        <f>SUM('Aichi Shukutoku'!$C$92:$D$98)</f>
        <v>0</v>
      </c>
      <c r="AN17" s="44">
        <f>SUM(Tokkyo!$C$92:$D$98)</f>
        <v>0</v>
      </c>
      <c r="AO17" s="44">
        <f>SUM('Mukogawa Women'!$C$92:$D$98)</f>
        <v>0</v>
      </c>
      <c r="AP17" s="44">
        <f>SUM('Hokkai-Gakuen'!$C$92:$D$98)</f>
        <v>0</v>
      </c>
      <c r="AQ17" s="44">
        <f>SUM('Shibaura '!$C$92:$D$98)</f>
        <v>0</v>
      </c>
      <c r="AR17" s="44">
        <f>SUM('Osaka Sangyo'!$C$92:$D$98)</f>
        <v>0</v>
      </c>
      <c r="AS17" s="44">
        <f>SUM('Seinan Gakuin'!$C$92:$D$98)</f>
        <v>0</v>
      </c>
      <c r="AT17" s="44">
        <f>SUM(Soka!$C$92:$D$98)</f>
        <v>0</v>
      </c>
    </row>
    <row r="18" spans="3:46" ht="18" customHeight="1">
      <c r="C18" s="57">
        <v>16</v>
      </c>
      <c r="D18" s="57">
        <v>14</v>
      </c>
      <c r="E18" s="57">
        <v>9</v>
      </c>
      <c r="F18" s="56">
        <v>44299</v>
      </c>
      <c r="G18" s="56">
        <v>44305</v>
      </c>
      <c r="I18" s="44">
        <f>SUM(Kyoto!$C$99:$D$105)</f>
        <v>0</v>
      </c>
      <c r="J18" s="44">
        <f>SUM(Kyushu!$C$99:$D$105)</f>
        <v>0</v>
      </c>
      <c r="K18" s="44">
        <f>SUM(Tohoku!$C$99:$D$105)</f>
        <v>0</v>
      </c>
      <c r="L18" s="44">
        <f>SUM(Hokkaio!$C$99:$D$105)</f>
        <v>0</v>
      </c>
      <c r="M18" s="44">
        <f>SUM(Nagoya!$C$99:$D$105)</f>
        <v>0</v>
      </c>
      <c r="N18" s="44">
        <f>SUM(Hiroshima!$C$99:$D$105)</f>
        <v>0</v>
      </c>
      <c r="O18" s="44">
        <f>SUM(Chiba!$C$99:$D$105)</f>
        <v>0</v>
      </c>
      <c r="P18" s="44">
        <f>SUM(Niigata!$C$99:$D$105)</f>
        <v>0</v>
      </c>
      <c r="Q18" s="44">
        <f>SUM(Kanazawa!$C$99:$D$105)</f>
        <v>0</v>
      </c>
      <c r="R18" s="44">
        <f>SUM(Shizuoka!$C$99:$D$105)</f>
        <v>0</v>
      </c>
      <c r="S18" s="44">
        <f>SUM(Kumamoto!$C$99:$D$105)</f>
        <v>0</v>
      </c>
      <c r="T18" s="44">
        <f>SUM('Tokyo Metropolitan'!$C$99:$D$105)</f>
        <v>0</v>
      </c>
      <c r="U18" s="44">
        <f>SUM(Saitama!$C$99:$D$105)</f>
        <v>0</v>
      </c>
      <c r="V18" s="44">
        <f>SUM(Ryukyus!$C$99:$D$105)</f>
        <v>0</v>
      </c>
      <c r="W18" s="44">
        <f>SUM(Mie!$C$99:$D$105)</f>
        <v>0</v>
      </c>
      <c r="X18" s="44">
        <f>SUM(Meiji!$C$99:$D$105)</f>
        <v>0</v>
      </c>
      <c r="Y18" s="44">
        <f>SUM(Doshisha!$C$99:$D$105)</f>
        <v>0</v>
      </c>
      <c r="Z18" s="44">
        <f>SUM(Ryukoku!$C$99:$D$105)</f>
        <v>0</v>
      </c>
      <c r="AA18" s="44">
        <f>SUM(Senshu!$C$99:$D$105)</f>
        <v>0</v>
      </c>
      <c r="AB18" s="44">
        <f>SUM(Meijo!$C$99:$D$105)</f>
        <v>0</v>
      </c>
      <c r="AC18" s="44">
        <f>SUM(Chukyo!$C$99:$D$105)</f>
        <v>0</v>
      </c>
      <c r="AD18" s="44">
        <f>SUM('Kyoto Sangyo'!$C$99:$D$105)</f>
        <v>0</v>
      </c>
      <c r="AE18" s="44">
        <f>SUM('Tohoku Gakuin'!$C$99:$D$105)</f>
        <v>0</v>
      </c>
      <c r="AF18" s="44">
        <f>SUM(Chubu!$C$99:$D$105)</f>
        <v>0</v>
      </c>
      <c r="AG18" s="44">
        <f>SUM('Kobe Gakuin'!$C$99:$D$105)</f>
        <v>0</v>
      </c>
      <c r="AH18" s="44">
        <f>SUM(Rissho!$C$99:$D$105)</f>
        <v>0</v>
      </c>
      <c r="AI18" s="44">
        <f>SUM(Aichi!$C$99:$D$105)</f>
        <v>0</v>
      </c>
      <c r="AJ18" s="44">
        <f>SUM('Chiba Tech'!$C$99:$D$105)</f>
        <v>1</v>
      </c>
      <c r="AK18" s="44">
        <f>SUM(Nanzan!$C$99:$D$105)</f>
        <v>0</v>
      </c>
      <c r="AL18" s="44">
        <f>SUM(Konan!$C$99:$D$105)</f>
        <v>0</v>
      </c>
      <c r="AM18" s="44">
        <f>SUM('Aichi Shukutoku'!$C$99:$D$105)</f>
        <v>0</v>
      </c>
      <c r="AN18" s="44">
        <f>SUM(Tokkyo!$C$99:$D$105)</f>
        <v>0</v>
      </c>
      <c r="AO18" s="44">
        <f>SUM('Mukogawa Women'!$C$99:$D$105)</f>
        <v>0</v>
      </c>
      <c r="AP18" s="44">
        <f>SUM('Hokkai-Gakuen'!$C$99:$D$105)</f>
        <v>0</v>
      </c>
      <c r="AQ18" s="44">
        <f>SUM('Shibaura '!$C$99:$D$105)</f>
        <v>0</v>
      </c>
      <c r="AR18" s="44">
        <f>SUM('Osaka Sangyo'!$C$99:$D$105)</f>
        <v>0</v>
      </c>
      <c r="AS18" s="44">
        <f>SUM('Seinan Gakuin'!$C$99:$D$105)</f>
        <v>0</v>
      </c>
      <c r="AT18" s="44">
        <f>SUM(Soka!$C$99:$D$105)</f>
        <v>0</v>
      </c>
    </row>
    <row r="19" spans="3:46" ht="18" customHeight="1">
      <c r="C19" s="57">
        <v>17</v>
      </c>
      <c r="D19" s="57">
        <v>15</v>
      </c>
      <c r="E19" s="57">
        <v>10</v>
      </c>
      <c r="F19" s="56">
        <v>44306</v>
      </c>
      <c r="G19" s="56">
        <v>44312</v>
      </c>
      <c r="I19" s="44">
        <f>SUM(Kyoto!$C$106:$D$112)</f>
        <v>0</v>
      </c>
      <c r="J19" s="44">
        <f>SUM(Kyushu!$C$106:$D$112)</f>
        <v>0</v>
      </c>
      <c r="K19" s="44">
        <f>SUM(Tohoku!$C$106:$D$112)</f>
        <v>0</v>
      </c>
      <c r="L19" s="44">
        <f>SUM(Hokkaio!$C$106:$D$112)</f>
        <v>0</v>
      </c>
      <c r="M19" s="44">
        <f>SUM(Nagoya!$C$106:$D$112)</f>
        <v>0</v>
      </c>
      <c r="N19" s="44">
        <f>SUM(Hiroshima!$C$106:$D$112)</f>
        <v>0</v>
      </c>
      <c r="O19" s="44">
        <f>SUM(Chiba!$C$106:$D$112)</f>
        <v>0</v>
      </c>
      <c r="P19" s="44">
        <f>SUM(Niigata!$C$106:$D$112)</f>
        <v>0</v>
      </c>
      <c r="Q19" s="44">
        <f>SUM(Kanazawa!$C$106:$D$112)</f>
        <v>0</v>
      </c>
      <c r="R19" s="44">
        <f>SUM(Shizuoka!$C$106:$D$112)</f>
        <v>0</v>
      </c>
      <c r="S19" s="44">
        <f>SUM(Kumamoto!$C$106:$D$112)</f>
        <v>0</v>
      </c>
      <c r="T19" s="44">
        <f>SUM('Tokyo Metropolitan'!$C$106:$D$112)</f>
        <v>0</v>
      </c>
      <c r="U19" s="44">
        <f>SUM(Saitama!$C$106:$D$112)</f>
        <v>0</v>
      </c>
      <c r="V19" s="44">
        <f>SUM(Ryukyus!$C$106:$D$112)</f>
        <v>0</v>
      </c>
      <c r="W19" s="44">
        <f>SUM(Mie!$C$106:$D$112)</f>
        <v>0</v>
      </c>
      <c r="X19" s="44">
        <f>SUM(Meiji!$C$106:$D$112)</f>
        <v>0</v>
      </c>
      <c r="Y19" s="44">
        <f>SUM(Doshisha!$C$106:$D$112)</f>
        <v>0</v>
      </c>
      <c r="Z19" s="44">
        <f>SUM(Ryukoku!$C$106:$D$112)</f>
        <v>0</v>
      </c>
      <c r="AA19" s="44">
        <f>SUM(Senshu!$C$106:$D$112)</f>
        <v>0</v>
      </c>
      <c r="AB19" s="44">
        <f>SUM(Meijo!$C$106:$D$112)</f>
        <v>0</v>
      </c>
      <c r="AC19" s="44">
        <f>SUM(Chukyo!$C$106:$D$112)</f>
        <v>0</v>
      </c>
      <c r="AD19" s="44">
        <f>SUM('Kyoto Sangyo'!$C$106:$D$112)</f>
        <v>0</v>
      </c>
      <c r="AE19" s="44">
        <f>SUM('Tohoku Gakuin'!$C$106:$D$112)</f>
        <v>0</v>
      </c>
      <c r="AF19" s="44">
        <f>SUM(Chubu!$C$106:$D$112)</f>
        <v>0</v>
      </c>
      <c r="AG19" s="44">
        <f>SUM('Kobe Gakuin'!$C$106:$D$112)</f>
        <v>0</v>
      </c>
      <c r="AH19" s="44">
        <f>SUM(Rissho!$C$106:$D$112)</f>
        <v>0</v>
      </c>
      <c r="AI19" s="44">
        <f>SUM(Aichi!$C$106:$D$112)</f>
        <v>1</v>
      </c>
      <c r="AJ19" s="44">
        <f>SUM('Chiba Tech'!$C$106:$D$112)</f>
        <v>0</v>
      </c>
      <c r="AK19" s="44">
        <f>SUM(Nanzan!$C$106:$D$112)</f>
        <v>0</v>
      </c>
      <c r="AL19" s="44">
        <f>SUM(Konan!$C$106:$D$112)</f>
        <v>0</v>
      </c>
      <c r="AM19" s="44">
        <f>SUM('Aichi Shukutoku'!$C$106:$D$112)</f>
        <v>0</v>
      </c>
      <c r="AN19" s="44">
        <f>SUM(Tokkyo!$C$106:$D$112)</f>
        <v>0</v>
      </c>
      <c r="AO19" s="44">
        <f>SUM('Mukogawa Women'!$C$106:$D$112)</f>
        <v>0</v>
      </c>
      <c r="AP19" s="44">
        <f>SUM('Hokkai-Gakuen'!$C$106:$D$112)</f>
        <v>0</v>
      </c>
      <c r="AQ19" s="44">
        <f>SUM('Shibaura '!$C$106:$D$112)</f>
        <v>0</v>
      </c>
      <c r="AR19" s="44">
        <f>SUM('Osaka Sangyo'!$C$106:$D$112)</f>
        <v>0</v>
      </c>
      <c r="AS19" s="44">
        <f>SUM('Seinan Gakuin'!$C$106:$D$112)</f>
        <v>0</v>
      </c>
      <c r="AT19" s="44">
        <f>SUM(Soka!$C$106:$D$112)</f>
        <v>0</v>
      </c>
    </row>
    <row r="20" spans="3:46" ht="18" customHeight="1">
      <c r="C20" s="57">
        <v>18</v>
      </c>
      <c r="D20" s="57">
        <v>16</v>
      </c>
      <c r="E20" s="57">
        <v>11</v>
      </c>
      <c r="F20" s="56">
        <v>44313</v>
      </c>
      <c r="G20" s="56">
        <v>44319</v>
      </c>
      <c r="I20" s="44">
        <f>SUM(Kyoto!$C$113:$D$119)</f>
        <v>0</v>
      </c>
      <c r="J20" s="44">
        <f>SUM(Kyushu!$C$113:$D$119)</f>
        <v>0</v>
      </c>
      <c r="K20" s="44">
        <f>SUM(Tohoku!$C$113:$D$119)</f>
        <v>0</v>
      </c>
      <c r="L20" s="44">
        <f>SUM(Hokkaio!$C$113:$D$119)</f>
        <v>1</v>
      </c>
      <c r="M20" s="44">
        <f>SUM(Nagoya!$C$113:$D$119)</f>
        <v>0</v>
      </c>
      <c r="N20" s="44">
        <f>SUM(Hiroshima!$C$113:$D$119)</f>
        <v>0</v>
      </c>
      <c r="O20" s="44">
        <f>SUM(Chiba!$C$113:$D$119)</f>
        <v>0</v>
      </c>
      <c r="P20" s="44">
        <f>SUM(Niigata!$C$113:$D$119)</f>
        <v>0</v>
      </c>
      <c r="Q20" s="44">
        <f>SUM(Kanazawa!$C$113:$D$119)</f>
        <v>0</v>
      </c>
      <c r="R20" s="44">
        <f>SUM(Shizuoka!$C$113:$D$119)</f>
        <v>0</v>
      </c>
      <c r="S20" s="44">
        <f>SUM(Kumamoto!$C$113:$D$119)</f>
        <v>0</v>
      </c>
      <c r="T20" s="44">
        <f>SUM('Tokyo Metropolitan'!$C$113:$D$119)</f>
        <v>0</v>
      </c>
      <c r="U20" s="44">
        <f>SUM(Saitama!$C$113:$D$119)</f>
        <v>0</v>
      </c>
      <c r="V20" s="44">
        <f>SUM(Ryukyus!$C$113:$D$119)</f>
        <v>0</v>
      </c>
      <c r="W20" s="44">
        <f>SUM(Mie!$C$113:$D$119)</f>
        <v>0</v>
      </c>
      <c r="X20" s="44">
        <f>SUM(Meiji!$C$113:$D$119)</f>
        <v>0</v>
      </c>
      <c r="Y20" s="44">
        <f>SUM(Doshisha!$C$113:$D$119)</f>
        <v>0</v>
      </c>
      <c r="Z20" s="44">
        <f>SUM(Ryukoku!$C$113:$D$119)</f>
        <v>0</v>
      </c>
      <c r="AA20" s="44">
        <f>SUM(Senshu!$C$113:$D$119)</f>
        <v>0</v>
      </c>
      <c r="AB20" s="44">
        <f>SUM(Meijo!$C$113:$D$119)</f>
        <v>0</v>
      </c>
      <c r="AC20" s="44">
        <f>SUM(Chukyo!$C$113:$D$119)</f>
        <v>0</v>
      </c>
      <c r="AD20" s="44">
        <f>SUM('Kyoto Sangyo'!$C$113:$D$119)</f>
        <v>0</v>
      </c>
      <c r="AE20" s="44">
        <f>SUM('Tohoku Gakuin'!$C$113:$D$119)</f>
        <v>0</v>
      </c>
      <c r="AF20" s="44">
        <f>SUM(Chubu!$C$113:$D$119)</f>
        <v>0</v>
      </c>
      <c r="AG20" s="44">
        <f>SUM('Kobe Gakuin'!$C$113:$D$119)</f>
        <v>0</v>
      </c>
      <c r="AH20" s="44">
        <f>SUM(Rissho!$C$113:$D$119)</f>
        <v>0</v>
      </c>
      <c r="AI20" s="44">
        <f>SUM(Aichi!$C$113:$D$119)</f>
        <v>0</v>
      </c>
      <c r="AJ20" s="44">
        <f>SUM('Chiba Tech'!$C$113:$D$119)</f>
        <v>0</v>
      </c>
      <c r="AK20" s="44">
        <f>SUM(Nanzan!$C$113:$D$119)</f>
        <v>0</v>
      </c>
      <c r="AL20" s="44">
        <f>SUM(Konan!$C$113:$D$119)</f>
        <v>0</v>
      </c>
      <c r="AM20" s="44">
        <f>SUM('Aichi Shukutoku'!$C$113:$D$119)</f>
        <v>0</v>
      </c>
      <c r="AN20" s="44">
        <f>SUM(Tokkyo!$C$113:$D$119)</f>
        <v>0</v>
      </c>
      <c r="AO20" s="44">
        <f>SUM('Mukogawa Women'!$C$113:$D$119)</f>
        <v>0</v>
      </c>
      <c r="AP20" s="44">
        <f>SUM('Hokkai-Gakuen'!$C$113:$D$119)</f>
        <v>0</v>
      </c>
      <c r="AQ20" s="44">
        <f>SUM('Shibaura '!$C$113:$D$119)</f>
        <v>0</v>
      </c>
      <c r="AR20" s="44">
        <f>SUM('Osaka Sangyo'!$C$113:$D$119)</f>
        <v>0</v>
      </c>
      <c r="AS20" s="44">
        <f>SUM('Seinan Gakuin'!$C$113:$D$119)</f>
        <v>0</v>
      </c>
      <c r="AT20" s="44">
        <f>SUM(Soka!$C$113:$D$119)</f>
        <v>0</v>
      </c>
    </row>
    <row r="21" spans="3:46" ht="18" customHeight="1">
      <c r="C21" s="57">
        <v>19</v>
      </c>
      <c r="D21" s="57">
        <v>17</v>
      </c>
      <c r="E21" s="57">
        <v>12</v>
      </c>
      <c r="F21" s="56">
        <v>44320</v>
      </c>
      <c r="G21" s="56">
        <v>44326</v>
      </c>
      <c r="I21" s="44">
        <f>SUM(Kyoto!$C$121:$D$126)</f>
        <v>0</v>
      </c>
      <c r="J21" s="44">
        <f>SUM(Kyushu!$C$121:$D$126)</f>
        <v>1</v>
      </c>
      <c r="K21" s="44">
        <f>SUM(Tohoku!$C$121:$D$126)</f>
        <v>0</v>
      </c>
      <c r="L21" s="44">
        <f>SUM(Hokkaio!$C$121:$D$126)</f>
        <v>0</v>
      </c>
      <c r="M21" s="44">
        <f>SUM(Nagoya!$C$121:$D$126)</f>
        <v>0</v>
      </c>
      <c r="N21" s="44">
        <f>SUM(Hiroshima!$C$121:$D$126)</f>
        <v>0</v>
      </c>
      <c r="O21" s="44">
        <f>SUM(Chiba!$C$121:$D$126)</f>
        <v>0</v>
      </c>
      <c r="P21" s="44">
        <f>SUM(Niigata!$C$121:$D$126)</f>
        <v>0</v>
      </c>
      <c r="Q21" s="44">
        <f>SUM(Kanazawa!$C$121:$D$126)</f>
        <v>0</v>
      </c>
      <c r="R21" s="44">
        <f>SUM(Shizuoka!$C$121:$D$126)</f>
        <v>0</v>
      </c>
      <c r="S21" s="44">
        <f>SUM(Kumamoto!$C$121:$D$126)</f>
        <v>0</v>
      </c>
      <c r="T21" s="44">
        <f>SUM('Tokyo Metropolitan'!$C$121:$D$126)</f>
        <v>0</v>
      </c>
      <c r="U21" s="44">
        <f>SUM(Saitama!$C$120:$D$126)</f>
        <v>0</v>
      </c>
      <c r="V21" s="44">
        <f>SUM(Ryukyus!$C$121:$D$126)</f>
        <v>0</v>
      </c>
      <c r="W21" s="44">
        <f>SUM(Mie!$C$121:$D$126)</f>
        <v>0</v>
      </c>
      <c r="X21" s="44">
        <f>SUM(Meiji!$C$121:$D$126)</f>
        <v>0</v>
      </c>
      <c r="Y21" s="44">
        <f>SUM(Doshisha!$C$121:$D$126)</f>
        <v>0</v>
      </c>
      <c r="Z21" s="44">
        <f>SUM(Ryukoku!$C$121:$D$126)</f>
        <v>0</v>
      </c>
      <c r="AA21" s="44">
        <f>SUM(Senshu!$C$121:$D$126)</f>
        <v>0</v>
      </c>
      <c r="AB21" s="44">
        <f>SUM(Meijo!$C$121:$D$126)</f>
        <v>0</v>
      </c>
      <c r="AC21" s="44">
        <f>SUM(Chukyo!$C$121:$D$126)</f>
        <v>0</v>
      </c>
      <c r="AD21" s="44">
        <f>SUM('Kyoto Sangyo'!$C$121:$D$126)</f>
        <v>0</v>
      </c>
      <c r="AE21" s="44">
        <f>SUM('Tohoku Gakuin'!$C$121:$D$126)</f>
        <v>0</v>
      </c>
      <c r="AF21" s="44">
        <f>SUM(Chubu!$C$121:$D$126)</f>
        <v>0</v>
      </c>
      <c r="AG21" s="44">
        <f>SUM('Kobe Gakuin'!$C$121:$D$126)</f>
        <v>0</v>
      </c>
      <c r="AH21" s="44">
        <f>SUM(Rissho!$C$121:$D$126)</f>
        <v>0</v>
      </c>
      <c r="AI21" s="44">
        <f>SUM(Aichi!$C$121:$D$126)</f>
        <v>0</v>
      </c>
      <c r="AJ21" s="44">
        <f>SUM('Chiba Tech'!$C$121:$D$126)</f>
        <v>0</v>
      </c>
      <c r="AK21" s="44">
        <f>SUM(Nanzan!$C$121:$D$126)</f>
        <v>0</v>
      </c>
      <c r="AL21" s="44">
        <f>SUM(Konan!$C$121:$D$126)</f>
        <v>0</v>
      </c>
      <c r="AM21" s="44">
        <f>SUM('Aichi Shukutoku'!$C$121:$D$126)</f>
        <v>0</v>
      </c>
      <c r="AN21" s="44">
        <f>SUM(Tokkyo!$C$121:$D$126)</f>
        <v>0</v>
      </c>
      <c r="AO21" s="44">
        <f>SUM('Mukogawa Women'!$C$121:$D$126)</f>
        <v>0</v>
      </c>
      <c r="AP21" s="44">
        <f>SUM('Hokkai-Gakuen'!$C$121:$D$126)</f>
        <v>0</v>
      </c>
      <c r="AQ21" s="44">
        <f>SUM('Shibaura '!$C$121:$D$126)</f>
        <v>0</v>
      </c>
      <c r="AR21" s="44">
        <f>SUM('Osaka Sangyo'!$C$121:$D$126)</f>
        <v>0</v>
      </c>
      <c r="AS21" s="44">
        <f>SUM('Seinan Gakuin'!$C$121:$D$126)</f>
        <v>0</v>
      </c>
      <c r="AT21" s="44">
        <f>SUM(Soka!$C$121:$D$126)</f>
        <v>0</v>
      </c>
    </row>
    <row r="22" spans="3:46" ht="18" customHeight="1">
      <c r="C22" s="57">
        <v>20</v>
      </c>
      <c r="D22" s="57">
        <v>18</v>
      </c>
      <c r="E22" s="57">
        <v>13</v>
      </c>
      <c r="F22" s="56">
        <v>44327</v>
      </c>
      <c r="G22" s="56">
        <v>44333</v>
      </c>
      <c r="I22" s="44">
        <f>SUM(Kyoto!$C$127:$D$133)</f>
        <v>0</v>
      </c>
      <c r="J22" s="44">
        <f>SUM(Kyushu!$C$127:$D$133)</f>
        <v>0</v>
      </c>
      <c r="K22" s="44">
        <f>SUM(Tohoku!$C$127:$D$133)</f>
        <v>0</v>
      </c>
      <c r="L22" s="44">
        <f>SUM(Hokkaio!$C$127:$D$133)</f>
        <v>0</v>
      </c>
      <c r="M22" s="44">
        <f>SUM(Nagoya!$C$127:$D$133)</f>
        <v>0</v>
      </c>
      <c r="N22" s="44">
        <f>SUM(Hiroshima!$C$127:$D$133)</f>
        <v>0</v>
      </c>
      <c r="O22" s="44">
        <f>SUM(Chiba!$C$127:$D$133)</f>
        <v>0</v>
      </c>
      <c r="P22" s="44">
        <f>SUM(Niigata!$C$127:$D$133)</f>
        <v>0</v>
      </c>
      <c r="Q22" s="44">
        <f>SUM(Kanazawa!$C$127:$D$133)</f>
        <v>0</v>
      </c>
      <c r="R22" s="44">
        <f>SUM(Shizuoka!$C$127:$D$133)</f>
        <v>0</v>
      </c>
      <c r="S22" s="44">
        <f>SUM(Kumamoto!$C$127:$D$133)</f>
        <v>0</v>
      </c>
      <c r="T22" s="44">
        <f>SUM('Tokyo Metropolitan'!$C$127:$D$133)</f>
        <v>0</v>
      </c>
      <c r="U22" s="44">
        <f>SUM(Saitama!$C$127:$D$133)</f>
        <v>0</v>
      </c>
      <c r="V22" s="44">
        <f>SUM(Ryukyus!$C$127:$D$133)</f>
        <v>0</v>
      </c>
      <c r="W22" s="44">
        <f>SUM(Mie!$C$127:$D$133)</f>
        <v>0</v>
      </c>
      <c r="X22" s="44">
        <f>SUM(Meiji!$C$127:$D$133)</f>
        <v>0</v>
      </c>
      <c r="Y22" s="44">
        <f>SUM(Doshisha!$C$127:$D$133)</f>
        <v>0</v>
      </c>
      <c r="Z22" s="44">
        <f>SUM(Ryukoku!$C$127:$D$133)</f>
        <v>0</v>
      </c>
      <c r="AA22" s="44">
        <f>SUM(Senshu!$C$127:$D$133)</f>
        <v>0</v>
      </c>
      <c r="AB22" s="44">
        <f>SUM(Meijo!$C$127:$D$133)</f>
        <v>0</v>
      </c>
      <c r="AC22" s="44">
        <f>SUM(Chukyo!$C$127:$D$133)</f>
        <v>0</v>
      </c>
      <c r="AD22" s="44">
        <f>SUM('Kyoto Sangyo'!$C$127:$D$133)</f>
        <v>0</v>
      </c>
      <c r="AE22" s="44">
        <f>SUM('Tohoku Gakuin'!$C$127:$D$133)</f>
        <v>0</v>
      </c>
      <c r="AF22" s="44">
        <f>SUM(Chubu!$C$127:$D$133)</f>
        <v>0</v>
      </c>
      <c r="AG22" s="44">
        <f>SUM('Kobe Gakuin'!$C$127:$D$133)</f>
        <v>0</v>
      </c>
      <c r="AH22" s="44">
        <f>SUM(Rissho!$C$127:$D$133)</f>
        <v>0</v>
      </c>
      <c r="AI22" s="44">
        <f>SUM(Aichi!$C$127:$D$133)</f>
        <v>0</v>
      </c>
      <c r="AJ22" s="44">
        <f>SUM('Chiba Tech'!$C$127:$D$133)</f>
        <v>0</v>
      </c>
      <c r="AK22" s="44">
        <f>SUM(Nanzan!$C$127:$D$133)</f>
        <v>0</v>
      </c>
      <c r="AL22" s="44">
        <f>SUM(Konan!$C$127:$D$133)</f>
        <v>0</v>
      </c>
      <c r="AM22" s="44">
        <f>SUM('Aichi Shukutoku'!$C$127:$D$133)</f>
        <v>0</v>
      </c>
      <c r="AN22" s="44">
        <f>SUM(Tokkyo!$C$127:$D$133)</f>
        <v>0</v>
      </c>
      <c r="AO22" s="44">
        <f>SUM('Mukogawa Women'!$C$127:$D$133)</f>
        <v>0</v>
      </c>
      <c r="AP22" s="44">
        <f>SUM('Hokkai-Gakuen'!$C$127:$D$133)</f>
        <v>0</v>
      </c>
      <c r="AQ22" s="44">
        <f>SUM('Shibaura '!$C$127:$D$133)</f>
        <v>0</v>
      </c>
      <c r="AR22" s="44">
        <f>SUM('Osaka Sangyo'!$C$127:$D$133)</f>
        <v>0</v>
      </c>
      <c r="AS22" s="44">
        <f>SUM('Seinan Gakuin'!$C$127:$D$133)</f>
        <v>0</v>
      </c>
      <c r="AT22" s="44">
        <f>SUM(Soka!$C$127:$D$133)</f>
        <v>0</v>
      </c>
    </row>
    <row r="23" spans="3:46" ht="18" customHeight="1">
      <c r="C23" s="57">
        <v>21</v>
      </c>
      <c r="D23" s="57">
        <v>19</v>
      </c>
      <c r="E23" s="57">
        <v>14</v>
      </c>
      <c r="F23" s="56">
        <v>44334</v>
      </c>
      <c r="G23" s="56">
        <v>44340</v>
      </c>
      <c r="I23" s="44">
        <f>SUM(Kyoto!$C$134:$D$140)</f>
        <v>0</v>
      </c>
      <c r="J23" s="44">
        <f>SUM(Kyushu!$C$134:$D$140)</f>
        <v>0</v>
      </c>
      <c r="K23" s="44">
        <f>SUM(Tohoku!$C$134:$D$140)</f>
        <v>0</v>
      </c>
      <c r="L23" s="44">
        <f>SUM(Hokkaio!$C$134:$D$140)</f>
        <v>0</v>
      </c>
      <c r="M23" s="44">
        <f>SUM(Nagoya!$C$134:$D$140)</f>
        <v>0</v>
      </c>
      <c r="N23" s="44">
        <f>SUM(Hiroshima!$C$134:$D$140)</f>
        <v>0</v>
      </c>
      <c r="O23" s="44">
        <f>SUM(Chiba!$C$134:$D$140)</f>
        <v>0</v>
      </c>
      <c r="P23" s="44">
        <f>SUM(Niigata!$C$134:$D$140)</f>
        <v>0</v>
      </c>
      <c r="Q23" s="44">
        <f>SUM(Kanazawa!$C$134:$D$140)</f>
        <v>0</v>
      </c>
      <c r="R23" s="44">
        <f>SUM(Shizuoka!$C$134:$D$140)</f>
        <v>0</v>
      </c>
      <c r="S23" s="44">
        <f>SUM(Kumamoto!$C$134:$D$140)</f>
        <v>0</v>
      </c>
      <c r="T23" s="44">
        <f>SUM('Tokyo Metropolitan'!$C$134:$D$140)</f>
        <v>0</v>
      </c>
      <c r="U23" s="44">
        <f>SUM(Saitama!$C$134:$D$140)</f>
        <v>0</v>
      </c>
      <c r="V23" s="44">
        <f>SUM(Ryukyus!$C$134:$D$140)</f>
        <v>0</v>
      </c>
      <c r="W23" s="44">
        <f>SUM(Mie!$C$134:$D$140)</f>
        <v>0</v>
      </c>
      <c r="X23" s="44">
        <f>SUM(Meiji!$C$134:$D$140)</f>
        <v>0</v>
      </c>
      <c r="Y23" s="44">
        <f>SUM(Doshisha!$C$134:$D$140)</f>
        <v>0</v>
      </c>
      <c r="Z23" s="44">
        <f>SUM(Ryukoku!$C$134:$D$140)</f>
        <v>0</v>
      </c>
      <c r="AA23" s="44">
        <f>SUM(Senshu!$C$134:$D$140)</f>
        <v>0</v>
      </c>
      <c r="AB23" s="44">
        <f>SUM(Meijo!$C$134:$D$140)</f>
        <v>0</v>
      </c>
      <c r="AC23" s="44">
        <f>SUM(Chukyo!$C$134:$D$140)</f>
        <v>0</v>
      </c>
      <c r="AD23" s="44">
        <f>SUM('Kyoto Sangyo'!$C$134:$D$140)</f>
        <v>0</v>
      </c>
      <c r="AE23" s="44">
        <f>SUM('Tohoku Gakuin'!$C$134:$D$140)</f>
        <v>0</v>
      </c>
      <c r="AF23" s="44">
        <f>SUM(Chubu!$C$134:$D$140)</f>
        <v>0</v>
      </c>
      <c r="AG23" s="44">
        <f>SUM('Kobe Gakuin'!$C$134:$D$140)</f>
        <v>0</v>
      </c>
      <c r="AH23" s="44">
        <f>SUM(Rissho!$C$134:$D$140)</f>
        <v>0</v>
      </c>
      <c r="AI23" s="44">
        <f>SUM(Aichi!$C$134:$D$140)</f>
        <v>0</v>
      </c>
      <c r="AJ23" s="44">
        <f>SUM('Chiba Tech'!$C$134:$D$140)</f>
        <v>0</v>
      </c>
      <c r="AK23" s="44">
        <f>SUM(Nanzan!$C$134:$D$140)</f>
        <v>0</v>
      </c>
      <c r="AL23" s="44">
        <f>SUM(Konan!$C$134:$D$140)</f>
        <v>0</v>
      </c>
      <c r="AM23" s="44">
        <f>SUM('Aichi Shukutoku'!$C$134:$D$140)</f>
        <v>0</v>
      </c>
      <c r="AN23" s="44">
        <f>SUM(Tokkyo!$C$134:$D$140)</f>
        <v>0</v>
      </c>
      <c r="AO23" s="44">
        <f>SUM('Mukogawa Women'!$C$134:$D$140)</f>
        <v>0</v>
      </c>
      <c r="AP23" s="44">
        <f>SUM('Hokkai-Gakuen'!$C$134:$D$140)</f>
        <v>0</v>
      </c>
      <c r="AQ23" s="44">
        <f>SUM('Shibaura '!$C$134:$D$140)</f>
        <v>0</v>
      </c>
      <c r="AR23" s="44">
        <f>SUM('Osaka Sangyo'!$C$134:$D$140)</f>
        <v>0</v>
      </c>
      <c r="AS23" s="44">
        <f>SUM('Seinan Gakuin'!$C$134:$D$140)</f>
        <v>0</v>
      </c>
      <c r="AT23" s="44">
        <f>SUM(Soka!$C$134:$D$140)</f>
        <v>0</v>
      </c>
    </row>
    <row r="24" spans="3:46" ht="18" customHeight="1">
      <c r="C24" s="57">
        <v>22</v>
      </c>
      <c r="D24" s="57">
        <v>20</v>
      </c>
      <c r="E24" s="57">
        <v>15</v>
      </c>
      <c r="F24" s="56">
        <v>44341</v>
      </c>
      <c r="G24" s="56">
        <v>44347</v>
      </c>
      <c r="I24" s="44">
        <f>SUM(Kyoto!$C$141:$D$147)</f>
        <v>0</v>
      </c>
      <c r="J24" s="44">
        <f>SUM(Kyushu!$C$141:$D$147)</f>
        <v>0</v>
      </c>
      <c r="K24" s="44">
        <f>SUM(Tohoku!$C$141:$D$147)</f>
        <v>0</v>
      </c>
      <c r="L24" s="44">
        <f>SUM(Hokkaio!$C$141:$D$147)</f>
        <v>0</v>
      </c>
      <c r="M24" s="44">
        <f>SUM(Nagoya!$C$141:$D$147)</f>
        <v>0</v>
      </c>
      <c r="N24" s="44">
        <f>SUM(Hiroshima!$C$141:$D$147)</f>
        <v>0</v>
      </c>
      <c r="O24" s="44">
        <f>SUM(Chiba!$C$141:$D$147)</f>
        <v>0</v>
      </c>
      <c r="P24" s="44">
        <f>SUM(Niigata!$C$141:$D$147)</f>
        <v>0</v>
      </c>
      <c r="Q24" s="44">
        <f>SUM(Kanazawa!$C$141:$D$147)</f>
        <v>0</v>
      </c>
      <c r="R24" s="44">
        <f>SUM(Shizuoka!$C$141:$D$147)</f>
        <v>0</v>
      </c>
      <c r="S24" s="44">
        <f>SUM(Kumamoto!$C$141:$D$147)</f>
        <v>0</v>
      </c>
      <c r="T24" s="44">
        <f>SUM('Tokyo Metropolitan'!$C$141:$D$147)</f>
        <v>0</v>
      </c>
      <c r="U24" s="44">
        <f>SUM(Saitama!$C$141:$D$147)</f>
        <v>0</v>
      </c>
      <c r="V24" s="44">
        <f>SUM(Ryukyus!$C$141:$D$147)</f>
        <v>0</v>
      </c>
      <c r="W24" s="44">
        <f>SUM(Mie!$C$141:$D$147)</f>
        <v>0</v>
      </c>
      <c r="X24" s="44">
        <f>SUM(Meiji!$C$141:$D$147)</f>
        <v>0</v>
      </c>
      <c r="Y24" s="44">
        <f>SUM(Doshisha!$C$141:$D$147)</f>
        <v>0</v>
      </c>
      <c r="Z24" s="44">
        <f>SUM(Ryukoku!$C$141:$D$147)</f>
        <v>0</v>
      </c>
      <c r="AA24" s="44">
        <f>SUM(Senshu!$C$141:$D$147)</f>
        <v>0</v>
      </c>
      <c r="AB24" s="44">
        <f>SUM(Meijo!$C$141:$D$147)</f>
        <v>0</v>
      </c>
      <c r="AC24" s="44">
        <f>SUM(Chukyo!$C$141:$D$147)</f>
        <v>0</v>
      </c>
      <c r="AD24" s="44">
        <f>SUM('Kyoto Sangyo'!$C$141:$D$147)</f>
        <v>0</v>
      </c>
      <c r="AE24" s="44">
        <f>SUM('Tohoku Gakuin'!$C$141:$D$147)</f>
        <v>0</v>
      </c>
      <c r="AF24" s="44">
        <f>SUM(Chubu!$C$141:$D$147)</f>
        <v>0</v>
      </c>
      <c r="AG24" s="44">
        <f>SUM('Kobe Gakuin'!$C$141:$D$147)</f>
        <v>0</v>
      </c>
      <c r="AH24" s="44">
        <f>SUM(Rissho!$C$141:$D$147)</f>
        <v>1</v>
      </c>
      <c r="AI24" s="44">
        <f>SUM(Aichi!$C$141:$D$147)</f>
        <v>0</v>
      </c>
      <c r="AJ24" s="44">
        <f>SUM('Chiba Tech'!$C$141:$D$147)</f>
        <v>0</v>
      </c>
      <c r="AK24" s="44">
        <f>SUM(Nanzan!$C$141:$D$147)</f>
        <v>0</v>
      </c>
      <c r="AL24" s="44">
        <f>SUM(Konan!$C$141:$D$147)</f>
        <v>0</v>
      </c>
      <c r="AM24" s="44">
        <f>SUM('Aichi Shukutoku'!$C$141:$D$147)</f>
        <v>0</v>
      </c>
      <c r="AN24" s="44">
        <f>SUM(Tokkyo!$C$141:$D$147)</f>
        <v>0</v>
      </c>
      <c r="AO24" s="44">
        <f>SUM('Mukogawa Women'!$C$141:$D$147)</f>
        <v>0</v>
      </c>
      <c r="AP24" s="44">
        <f>SUM('Hokkai-Gakuen'!$C$141:$D$147)</f>
        <v>0</v>
      </c>
      <c r="AQ24" s="44">
        <f>SUM('Shibaura '!$C$141:$D$147)</f>
        <v>0</v>
      </c>
      <c r="AR24" s="44">
        <f>SUM('Osaka Sangyo'!$C$141:$D$147)</f>
        <v>0</v>
      </c>
      <c r="AS24" s="44">
        <f>SUM('Seinan Gakuin'!$C$141:$D$147)</f>
        <v>0</v>
      </c>
      <c r="AT24" s="44">
        <f>SUM(Soka!$C$141:$D$147)</f>
        <v>0</v>
      </c>
    </row>
    <row r="25" spans="3:46" ht="18" customHeight="1">
      <c r="C25" s="57">
        <v>23</v>
      </c>
      <c r="D25" s="57">
        <v>21</v>
      </c>
      <c r="E25" s="57">
        <v>16</v>
      </c>
      <c r="F25" s="56">
        <v>44348</v>
      </c>
      <c r="G25" s="56">
        <v>44354</v>
      </c>
      <c r="I25" s="44">
        <f>SUM(Kyoto!$C$148:$D$154)</f>
        <v>0</v>
      </c>
      <c r="J25" s="44">
        <f>SUM(Kyushu!$C$148:$D$154)</f>
        <v>0</v>
      </c>
      <c r="K25" s="44">
        <f>SUM(Tohoku!$C$148:$D$154)</f>
        <v>0</v>
      </c>
      <c r="L25" s="44">
        <f>SUM(Hokkaio!$C$148:$D$154)</f>
        <v>0</v>
      </c>
      <c r="M25" s="44">
        <f>SUM(Nagoya!$C$148:$D$154)</f>
        <v>0</v>
      </c>
      <c r="N25" s="44">
        <f>SUM(Hiroshima!$C$148:$D$154)</f>
        <v>0</v>
      </c>
      <c r="O25" s="44">
        <f>SUM(Chiba!$C$148:$D$154)</f>
        <v>0</v>
      </c>
      <c r="P25" s="44">
        <f>SUM(Niigata!$C$148:$D$154)</f>
        <v>0</v>
      </c>
      <c r="Q25" s="44">
        <f>SUM(Kanazawa!$C$148:$D$154)</f>
        <v>0</v>
      </c>
      <c r="R25" s="44">
        <f>SUM(Shizuoka!$C$148:$D$154)</f>
        <v>0</v>
      </c>
      <c r="S25" s="44">
        <f>SUM(Kumamoto!$C$148:$D$154)</f>
        <v>0</v>
      </c>
      <c r="T25" s="44">
        <f>SUM('Tokyo Metropolitan'!$C$148:$D$154)</f>
        <v>0</v>
      </c>
      <c r="U25" s="44">
        <f>SUM(Saitama!$C$148:$D$154)</f>
        <v>0</v>
      </c>
      <c r="V25" s="44">
        <f>SUM(Ryukyus!$C$148:$D$154)</f>
        <v>0</v>
      </c>
      <c r="W25" s="44">
        <f>SUM(Mie!$C$148:$D$154)</f>
        <v>0</v>
      </c>
      <c r="X25" s="44">
        <f>SUM(Meiji!$C$148:$D$154)</f>
        <v>0</v>
      </c>
      <c r="Y25" s="44">
        <f>SUM(Doshisha!$C$148:$D$154)</f>
        <v>0</v>
      </c>
      <c r="Z25" s="44">
        <f>SUM(Ryukoku!$C$148:$D$154)</f>
        <v>0</v>
      </c>
      <c r="AA25" s="44">
        <f>SUM(Senshu!$C$148:$D$154)</f>
        <v>0</v>
      </c>
      <c r="AB25" s="44">
        <f>SUM(Meijo!$C$148:$D$154)</f>
        <v>0</v>
      </c>
      <c r="AC25" s="44">
        <f>SUM(Chukyo!$C$148:$D$154)</f>
        <v>0</v>
      </c>
      <c r="AD25" s="44">
        <f>SUM('Kyoto Sangyo'!$C$148:$D$154)</f>
        <v>0</v>
      </c>
      <c r="AE25" s="44">
        <f>SUM('Tohoku Gakuin'!$C$148:$D$154)</f>
        <v>0</v>
      </c>
      <c r="AF25" s="44">
        <f>SUM(Chubu!$C$148:$D$154)</f>
        <v>0</v>
      </c>
      <c r="AG25" s="44">
        <f>SUM('Kobe Gakuin'!$C$148:$D$154)</f>
        <v>0</v>
      </c>
      <c r="AH25" s="44">
        <f>SUM(Rissho!$C$148:$D$154)</f>
        <v>0</v>
      </c>
      <c r="AI25" s="44">
        <f>SUM(Aichi!$C$148:$D$154)</f>
        <v>0</v>
      </c>
      <c r="AJ25" s="44">
        <f>SUM('Chiba Tech'!$C$148:$D$154)</f>
        <v>0</v>
      </c>
      <c r="AK25" s="44">
        <f>SUM(Nanzan!$C$148:$D$154)</f>
        <v>0</v>
      </c>
      <c r="AL25" s="44">
        <f>SUM(Konan!$C$148:$D$154)</f>
        <v>0</v>
      </c>
      <c r="AM25" s="44">
        <f>SUM('Aichi Shukutoku'!$C$148:$D$154)</f>
        <v>0</v>
      </c>
      <c r="AN25" s="44">
        <f>SUM(Tokkyo!$C$148:$D$154)</f>
        <v>0</v>
      </c>
      <c r="AO25" s="44">
        <f>SUM('Mukogawa Women'!$C$148:$D$154)</f>
        <v>0</v>
      </c>
      <c r="AP25" s="44">
        <f>SUM('Hokkai-Gakuen'!$C$148:$D$154)</f>
        <v>0</v>
      </c>
      <c r="AQ25" s="44">
        <f>SUM('Shibaura '!$C$148:$D$154)</f>
        <v>0</v>
      </c>
      <c r="AR25" s="44">
        <f>SUM('Osaka Sangyo'!$C$148:$D$154)</f>
        <v>0</v>
      </c>
      <c r="AS25" s="44">
        <f>SUM('Seinan Gakuin'!$C$148:$D$154)</f>
        <v>0</v>
      </c>
      <c r="AT25" s="44">
        <f>SUM(Soka!$C$148:$D$154)</f>
        <v>0</v>
      </c>
    </row>
    <row r="26" spans="3:46" ht="18" customHeight="1">
      <c r="C26" s="57">
        <v>24</v>
      </c>
      <c r="D26" s="57">
        <v>22</v>
      </c>
      <c r="E26" s="57">
        <v>17</v>
      </c>
      <c r="F26" s="56">
        <v>44355</v>
      </c>
      <c r="G26" s="56">
        <v>44361</v>
      </c>
      <c r="I26" s="44">
        <f>SUM(Kyoto!$C$155:$D$161)</f>
        <v>0</v>
      </c>
      <c r="J26" s="44">
        <f>SUM(Kyushu!$C$155:$D$161)</f>
        <v>0</v>
      </c>
      <c r="K26" s="44">
        <f>SUM(Tohoku!$C$155:$D$161)</f>
        <v>0</v>
      </c>
      <c r="L26" s="44">
        <f>SUM(Hokkaio!$C$155:$D$161)</f>
        <v>0</v>
      </c>
      <c r="M26" s="44">
        <f>SUM(Nagoya!$C$155:$D$161)</f>
        <v>0</v>
      </c>
      <c r="N26" s="44">
        <f>SUM(Hiroshima!$C$155:$D$161)</f>
        <v>0</v>
      </c>
      <c r="O26" s="44">
        <f>SUM(Chiba!$C$155:$D$161)</f>
        <v>0</v>
      </c>
      <c r="P26" s="44">
        <f>SUM(Niigata!$C$155:$D$161)</f>
        <v>0</v>
      </c>
      <c r="Q26" s="44">
        <f>SUM(Kanazawa!$C$155:$D$161)</f>
        <v>0</v>
      </c>
      <c r="R26" s="44">
        <f>SUM(Shizuoka!$C$155:$D$161)</f>
        <v>0</v>
      </c>
      <c r="S26" s="44">
        <f>SUM(Kumamoto!$C$155:$D$161)</f>
        <v>0</v>
      </c>
      <c r="T26" s="44">
        <f>SUM('Tokyo Metropolitan'!$C$155:$D$161)</f>
        <v>0</v>
      </c>
      <c r="U26" s="44">
        <f>SUM(Saitama!$C$155:$D$161)</f>
        <v>0</v>
      </c>
      <c r="V26" s="44">
        <f>SUM(Ryukyus!$C$155:$D$161)</f>
        <v>0</v>
      </c>
      <c r="W26" s="44">
        <f>SUM(Mie!$C$155:$D$161)</f>
        <v>0</v>
      </c>
      <c r="X26" s="44">
        <f>SUM(Meiji!$C$155:$D$161)</f>
        <v>0</v>
      </c>
      <c r="Y26" s="44">
        <f>SUM(Doshisha!$C$155:$D$161)</f>
        <v>0</v>
      </c>
      <c r="Z26" s="44">
        <f>SUM(Ryukoku!$C$155:$D$161)</f>
        <v>0</v>
      </c>
      <c r="AA26" s="44">
        <f>SUM(Senshu!$C$155:$D$161)</f>
        <v>0</v>
      </c>
      <c r="AB26" s="44">
        <f>SUM(Meijo!$C$155:$D$161)</f>
        <v>0</v>
      </c>
      <c r="AC26" s="44">
        <f>SUM(Chukyo!$C$155:$D$161)</f>
        <v>0</v>
      </c>
      <c r="AD26" s="44">
        <f>SUM('Kyoto Sangyo'!$C$155:$D$161)</f>
        <v>0</v>
      </c>
      <c r="AE26" s="44">
        <f>SUM('Tohoku Gakuin'!$C$155:$D$161)</f>
        <v>0</v>
      </c>
      <c r="AF26" s="44">
        <f>SUM(Chubu!$C$155:$D$161)</f>
        <v>0</v>
      </c>
      <c r="AG26" s="44">
        <f>SUM('Kobe Gakuin'!$C$155:$D$161)</f>
        <v>0</v>
      </c>
      <c r="AH26" s="44">
        <f>SUM(Rissho!$C$155:$D$161)</f>
        <v>0</v>
      </c>
      <c r="AI26" s="44">
        <f>SUM(Aichi!$C$155:$D$161)</f>
        <v>0</v>
      </c>
      <c r="AJ26" s="44">
        <f>SUM('Chiba Tech'!$C$155:$D$161)</f>
        <v>0</v>
      </c>
      <c r="AK26" s="44">
        <f>SUM(Nanzan!$C$155:$D$161)</f>
        <v>0</v>
      </c>
      <c r="AL26" s="44">
        <f>SUM(Konan!$C$155:$D$161)</f>
        <v>0</v>
      </c>
      <c r="AM26" s="44">
        <f>SUM('Aichi Shukutoku'!$C$155:$D$161)</f>
        <v>0</v>
      </c>
      <c r="AN26" s="44">
        <f>SUM(Tokkyo!$C$155:$D$161)</f>
        <v>0</v>
      </c>
      <c r="AO26" s="44">
        <f>SUM('Mukogawa Women'!$C$155:$D$161)</f>
        <v>0</v>
      </c>
      <c r="AP26" s="44">
        <f>SUM('Hokkai-Gakuen'!$C$155:$D$161)</f>
        <v>0</v>
      </c>
      <c r="AQ26" s="44">
        <f>SUM('Shibaura '!$C$155:$D$161)</f>
        <v>0</v>
      </c>
      <c r="AR26" s="44">
        <f>SUM('Osaka Sangyo'!$C$155:$D$161)</f>
        <v>0</v>
      </c>
      <c r="AS26" s="44">
        <f>SUM('Seinan Gakuin'!$C$155:$D$161)</f>
        <v>0</v>
      </c>
      <c r="AT26" s="44">
        <f>SUM(Soka!$C$155:$D$161)</f>
        <v>0</v>
      </c>
    </row>
    <row r="27" spans="3:46" ht="18" customHeight="1">
      <c r="C27" s="57">
        <v>25</v>
      </c>
      <c r="D27" s="57">
        <v>23</v>
      </c>
      <c r="E27" s="57">
        <v>18</v>
      </c>
      <c r="F27" s="56">
        <v>44362</v>
      </c>
      <c r="G27" s="56">
        <v>44368</v>
      </c>
      <c r="I27" s="44">
        <f>SUM(Kyoto!$C$162:$D$168)</f>
        <v>0</v>
      </c>
      <c r="J27" s="44">
        <f>SUM(Kyushu!$C$162:$D$168)</f>
        <v>0</v>
      </c>
      <c r="K27" s="44">
        <f>SUM(Tohoku!$C$162:$D$168)</f>
        <v>0</v>
      </c>
      <c r="L27" s="44">
        <f>SUM(Hokkaio!$C$162:$D$168)</f>
        <v>0</v>
      </c>
      <c r="M27" s="44">
        <f>SUM(Nagoya!$C$162:$D$168)</f>
        <v>0</v>
      </c>
      <c r="N27" s="44">
        <f>SUM(Hiroshima!$C$162:$D$168)</f>
        <v>0</v>
      </c>
      <c r="O27" s="44">
        <f>SUM(Chiba!$C$162:$D$168)</f>
        <v>0</v>
      </c>
      <c r="P27" s="44">
        <f>SUM(Niigata!$C$162:$D$168)</f>
        <v>0</v>
      </c>
      <c r="Q27" s="44">
        <f>SUM(Kanazawa!$C$162:$D$168)</f>
        <v>0</v>
      </c>
      <c r="R27" s="44">
        <f>SUM(Shizuoka!$C$162:$D$168)</f>
        <v>0</v>
      </c>
      <c r="S27" s="44">
        <f>SUM(Kumamoto!$C$162:$D$168)</f>
        <v>0</v>
      </c>
      <c r="T27" s="44">
        <f>SUM('Tokyo Metropolitan'!$C$162:$D$168)</f>
        <v>0</v>
      </c>
      <c r="U27" s="44">
        <f>SUM(Saitama!$C$162:$D$168)</f>
        <v>0</v>
      </c>
      <c r="V27" s="44">
        <f>SUM(Ryukyus!$C$162:$D$168)</f>
        <v>0</v>
      </c>
      <c r="W27" s="44">
        <f>SUM(Mie!$C$162:$D$168)</f>
        <v>0</v>
      </c>
      <c r="X27" s="44">
        <f>SUM(Meiji!$C$162:$D$168)</f>
        <v>0</v>
      </c>
      <c r="Y27" s="44">
        <f>SUM(Doshisha!$C$162:$D$168)</f>
        <v>0</v>
      </c>
      <c r="Z27" s="44">
        <f>SUM(Ryukoku!$C$162:$D$168)</f>
        <v>0</v>
      </c>
      <c r="AA27" s="44">
        <f>SUM(Senshu!$C$162:$D$168)</f>
        <v>0</v>
      </c>
      <c r="AB27" s="44">
        <f>SUM(Meijo!$C$162:$D$168)</f>
        <v>0</v>
      </c>
      <c r="AC27" s="44">
        <f>SUM(Chukyo!$C$162:$D$168)</f>
        <v>0</v>
      </c>
      <c r="AD27" s="44">
        <f>SUM('Kyoto Sangyo'!$C$162:$D$168)</f>
        <v>0</v>
      </c>
      <c r="AE27" s="44">
        <f>SUM('Tohoku Gakuin'!$C$162:$D$168)</f>
        <v>0</v>
      </c>
      <c r="AF27" s="44">
        <f>SUM(Chubu!$C$162:$D$168)</f>
        <v>0</v>
      </c>
      <c r="AG27" s="44">
        <f>SUM('Kobe Gakuin'!$C$162:$D$168)</f>
        <v>0</v>
      </c>
      <c r="AH27" s="44">
        <f>SUM(Rissho!$C$162:$D$168)</f>
        <v>0</v>
      </c>
      <c r="AI27" s="44">
        <f>SUM(Aichi!$C$162:$D$168)</f>
        <v>0</v>
      </c>
      <c r="AJ27" s="44">
        <f>SUM('Chiba Tech'!$C$162:$D$168)</f>
        <v>0</v>
      </c>
      <c r="AK27" s="44">
        <f>SUM(Nanzan!$C$162:$D$168)</f>
        <v>0</v>
      </c>
      <c r="AL27" s="44">
        <f>SUM(Konan!$C$162:$D$168)</f>
        <v>0</v>
      </c>
      <c r="AM27" s="44">
        <f>SUM('Aichi Shukutoku'!$C$162:$D$168)</f>
        <v>0</v>
      </c>
      <c r="AN27" s="44">
        <f>SUM(Tokkyo!$C$162:$D$168)</f>
        <v>0</v>
      </c>
      <c r="AO27" s="44">
        <f>SUM('Mukogawa Women'!$C$162:$D$168)</f>
        <v>0</v>
      </c>
      <c r="AP27" s="44">
        <f>SUM('Hokkai-Gakuen'!$C$162:$D$168)</f>
        <v>0</v>
      </c>
      <c r="AQ27" s="44">
        <f>SUM('Shibaura '!$C$162:$D$168)</f>
        <v>0</v>
      </c>
      <c r="AR27" s="44">
        <f>SUM('Osaka Sangyo'!$C$162:$D$168)</f>
        <v>0</v>
      </c>
      <c r="AS27" s="44">
        <f>SUM('Seinan Gakuin'!$C$162:$D$168)</f>
        <v>0</v>
      </c>
      <c r="AT27" s="44">
        <f>SUM(Soka!$C$162:$D$168)</f>
        <v>0</v>
      </c>
    </row>
    <row r="28" spans="3:46" ht="18" customHeight="1">
      <c r="C28" s="57">
        <v>26</v>
      </c>
      <c r="D28" s="57">
        <v>24</v>
      </c>
      <c r="E28" s="57">
        <v>19</v>
      </c>
      <c r="F28" s="56">
        <v>44369</v>
      </c>
      <c r="G28" s="56">
        <v>44375</v>
      </c>
      <c r="I28" s="44">
        <f>SUM(Kyoto!$C$169:$D$175)</f>
        <v>0</v>
      </c>
      <c r="J28" s="44">
        <f>SUM(Kyushu!$C$169:$D$175)</f>
        <v>0</v>
      </c>
      <c r="K28" s="44">
        <f>SUM(Tohoku!$C$169:$D$175)</f>
        <v>0</v>
      </c>
      <c r="L28" s="44">
        <f>SUM(Hokkaio!$C$169:$D$175)</f>
        <v>0</v>
      </c>
      <c r="M28" s="44">
        <f>SUM(Nagoya!$C$169:$D$175)</f>
        <v>0</v>
      </c>
      <c r="N28" s="44">
        <f>SUM(Hiroshima!$C$169:$D$175)</f>
        <v>0</v>
      </c>
      <c r="O28" s="44">
        <f>SUM(Chiba!$C$169:$D$175)</f>
        <v>0</v>
      </c>
      <c r="P28" s="44">
        <f>SUM(Niigata!$C$169:$D$175)</f>
        <v>0</v>
      </c>
      <c r="Q28" s="44">
        <f>SUM(Kanazawa!$C$169:$D$175)</f>
        <v>0</v>
      </c>
      <c r="R28" s="44">
        <f>SUM(Shizuoka!$C$169:$D$175)</f>
        <v>0</v>
      </c>
      <c r="S28" s="44">
        <f>SUM(Kumamoto!$C$169:$D$175)</f>
        <v>0</v>
      </c>
      <c r="T28" s="44">
        <f>SUM('Tokyo Metropolitan'!$C$169:$D$175)</f>
        <v>0</v>
      </c>
      <c r="U28" s="44">
        <f>SUM(Saitama!$C$169:$D$175)</f>
        <v>0</v>
      </c>
      <c r="V28" s="44">
        <f>SUM(Ryukyus!$C$169:$D$175)</f>
        <v>0</v>
      </c>
      <c r="W28" s="44">
        <f>SUM(Mie!$C$169:$D$175)</f>
        <v>0</v>
      </c>
      <c r="X28" s="44">
        <f>SUM(Meiji!$C$169:$D$175)</f>
        <v>0</v>
      </c>
      <c r="Y28" s="44">
        <f>SUM(Doshisha!$C$169:$D$175)</f>
        <v>0</v>
      </c>
      <c r="Z28" s="44">
        <f>SUM(Ryukoku!$C$169:$D$175)</f>
        <v>0</v>
      </c>
      <c r="AA28" s="44">
        <f>SUM(Senshu!$C$169:$D$175)</f>
        <v>0</v>
      </c>
      <c r="AB28" s="44">
        <f>SUM(Meijo!$C$169:$D$175)</f>
        <v>0</v>
      </c>
      <c r="AC28" s="44">
        <f>SUM(Chukyo!$C$169:$D$175)</f>
        <v>0</v>
      </c>
      <c r="AD28" s="44">
        <f>SUM('Kyoto Sangyo'!$C$169:$D$175)</f>
        <v>0</v>
      </c>
      <c r="AE28" s="44">
        <f>SUM('Tohoku Gakuin'!$C$169:$D$175)</f>
        <v>0</v>
      </c>
      <c r="AF28" s="44">
        <f>SUM(Chubu!$C$169:$D$175)</f>
        <v>0</v>
      </c>
      <c r="AG28" s="44">
        <f>SUM('Kobe Gakuin'!$C$169:$D$175)</f>
        <v>0</v>
      </c>
      <c r="AH28" s="44">
        <f>SUM(Rissho!$C$169:$D$175)</f>
        <v>0</v>
      </c>
      <c r="AI28" s="44">
        <f>SUM(Aichi!$C$169:$D$175)</f>
        <v>0</v>
      </c>
      <c r="AJ28" s="44">
        <f>SUM('Chiba Tech'!$C$169:$D$175)</f>
        <v>1</v>
      </c>
      <c r="AK28" s="44">
        <f>SUM(Nanzan!$C$169:$D$175)</f>
        <v>0</v>
      </c>
      <c r="AL28" s="44">
        <f>SUM(Konan!$C$169:$D$175)</f>
        <v>0</v>
      </c>
      <c r="AM28" s="44">
        <f>SUM('Aichi Shukutoku'!$C$169:$D$175)</f>
        <v>0</v>
      </c>
      <c r="AN28" s="44">
        <f>SUM(Tokkyo!$C$169:$D$175)</f>
        <v>0</v>
      </c>
      <c r="AO28" s="44">
        <f>SUM('Mukogawa Women'!$C$169:$D$175)</f>
        <v>0</v>
      </c>
      <c r="AP28" s="44">
        <f>SUM('Hokkai-Gakuen'!$C$169:$D$175)</f>
        <v>0</v>
      </c>
      <c r="AQ28" s="44">
        <f>SUM('Shibaura '!$C$169:$D$175)</f>
        <v>0</v>
      </c>
      <c r="AR28" s="44">
        <f>SUM('Osaka Sangyo'!$C$169:$D$175)</f>
        <v>0</v>
      </c>
      <c r="AS28" s="44">
        <f>SUM('Seinan Gakuin'!$C$169:$D$175)</f>
        <v>0</v>
      </c>
      <c r="AT28" s="44">
        <f>SUM(Soka!$C$169:$D$175)</f>
        <v>0</v>
      </c>
    </row>
    <row r="29" spans="3:46" ht="18" customHeight="1">
      <c r="C29" s="57">
        <v>27</v>
      </c>
      <c r="D29" s="57">
        <v>25</v>
      </c>
      <c r="E29" s="57">
        <v>20</v>
      </c>
      <c r="F29" s="56">
        <v>44376</v>
      </c>
      <c r="G29" s="56">
        <v>44382</v>
      </c>
      <c r="I29" s="44">
        <f>SUM(Kyoto!$C$176:$D$182)</f>
        <v>0</v>
      </c>
      <c r="J29" s="44">
        <f>SUM(Kyushu!$C$176:$D$182)</f>
        <v>0</v>
      </c>
      <c r="K29" s="44">
        <f>SUM(Tohoku!$C$176:$D$182)</f>
        <v>0</v>
      </c>
      <c r="L29" s="44">
        <f>SUM(Hokkaio!$C$176:$D$182)</f>
        <v>0</v>
      </c>
      <c r="M29" s="44">
        <f>SUM(Nagoya!$C$176:$D$182)</f>
        <v>0</v>
      </c>
      <c r="N29" s="44">
        <f>SUM(Hiroshima!$C$176:$D$182)</f>
        <v>0</v>
      </c>
      <c r="O29" s="44">
        <f>SUM(Chiba!$C$176:$D$182)</f>
        <v>0</v>
      </c>
      <c r="P29" s="44">
        <f>SUM(Niigata!$C$176:$D$182)</f>
        <v>0</v>
      </c>
      <c r="Q29" s="44">
        <f>SUM(Kanazawa!$C$176:$D$182)</f>
        <v>0</v>
      </c>
      <c r="R29" s="44">
        <f>SUM(Shizuoka!$C$176:$D$182)</f>
        <v>0</v>
      </c>
      <c r="S29" s="44">
        <f>SUM(Kumamoto!$C$176:$D$182)</f>
        <v>0</v>
      </c>
      <c r="T29" s="44">
        <f>SUM('Tokyo Metropolitan'!$C$176:$D$182)</f>
        <v>0</v>
      </c>
      <c r="U29" s="44">
        <f>SUM(Saitama!$C$176:$D$182)</f>
        <v>0</v>
      </c>
      <c r="V29" s="44">
        <f>SUM(Ryukyus!$C$176:$D$182)</f>
        <v>0</v>
      </c>
      <c r="W29" s="44">
        <f>SUM(Mie!$C$176:$D$182)</f>
        <v>0</v>
      </c>
      <c r="X29" s="44">
        <f>SUM(Meiji!$C$176:$D$182)</f>
        <v>0</v>
      </c>
      <c r="Y29" s="44">
        <f>SUM(Doshisha!$C$176:$D$182)</f>
        <v>1</v>
      </c>
      <c r="Z29" s="44">
        <f>SUM(Ryukoku!$C$176:$D$182)</f>
        <v>0</v>
      </c>
      <c r="AA29" s="44">
        <f>SUM(Senshu!$C$176:$D$182)</f>
        <v>0</v>
      </c>
      <c r="AB29" s="44">
        <f>SUM(Meijo!$C$176:$D$182)</f>
        <v>0</v>
      </c>
      <c r="AC29" s="44">
        <f>SUM(Chukyo!$C$176:$D$182)</f>
        <v>0</v>
      </c>
      <c r="AD29" s="44">
        <f>SUM('Kyoto Sangyo'!$C$176:$D$182)</f>
        <v>0</v>
      </c>
      <c r="AE29" s="44">
        <f>SUM('Tohoku Gakuin'!$C$176:$D$182)</f>
        <v>0</v>
      </c>
      <c r="AF29" s="44">
        <f>SUM(Chubu!$C$176:$D$182)</f>
        <v>0</v>
      </c>
      <c r="AG29" s="44">
        <f>SUM('Kobe Gakuin'!$C$176:$D$182)</f>
        <v>0</v>
      </c>
      <c r="AH29" s="44">
        <f>SUM(Rissho!$C$176:$D$182)</f>
        <v>0</v>
      </c>
      <c r="AI29" s="44">
        <f>SUM(Aichi!$C$176:$D$182)</f>
        <v>0</v>
      </c>
      <c r="AJ29" s="44">
        <f>SUM('Chiba Tech'!$C$176:$D$182)</f>
        <v>0</v>
      </c>
      <c r="AK29" s="44">
        <f>SUM(Nanzan!$C$176:$D$182)</f>
        <v>0</v>
      </c>
      <c r="AL29" s="44">
        <f>SUM(Konan!$C$176:$D$182)</f>
        <v>0</v>
      </c>
      <c r="AM29" s="44">
        <f>SUM('Aichi Shukutoku'!$C$176:$D$182)</f>
        <v>0</v>
      </c>
      <c r="AN29" s="44">
        <f>SUM(Tokkyo!$C$176:$D$182)</f>
        <v>0</v>
      </c>
      <c r="AO29" s="44">
        <f>SUM('Mukogawa Women'!$C$176:$D$182)</f>
        <v>0</v>
      </c>
      <c r="AP29" s="44">
        <f>SUM('Hokkai-Gakuen'!$C$176:$D$182)</f>
        <v>0</v>
      </c>
      <c r="AQ29" s="44">
        <f>SUM('Shibaura '!$C$176:$D$182)</f>
        <v>0</v>
      </c>
      <c r="AR29" s="44">
        <f>SUM('Osaka Sangyo'!$C$176:$D$182)</f>
        <v>0</v>
      </c>
      <c r="AS29" s="44">
        <f>SUM('Seinan Gakuin'!$C$176:$D$182)</f>
        <v>0</v>
      </c>
      <c r="AT29" s="44">
        <f>SUM(Soka!$C$176:$D$182)</f>
        <v>0</v>
      </c>
    </row>
    <row r="30" spans="3:46" ht="18" customHeight="1">
      <c r="C30" s="57">
        <v>28</v>
      </c>
      <c r="D30" s="57">
        <v>26</v>
      </c>
      <c r="E30" s="57">
        <v>21</v>
      </c>
      <c r="F30" s="56">
        <v>44383</v>
      </c>
      <c r="G30" s="56">
        <v>44389</v>
      </c>
      <c r="I30" s="44">
        <f>SUM(Kyoto!$C$183:$D$189)</f>
        <v>0</v>
      </c>
      <c r="J30" s="44">
        <f>SUM(Kyushu!$C$183:$D$189)</f>
        <v>0</v>
      </c>
      <c r="K30" s="44">
        <f>SUM(Tohoku!$C$183:$D$189)</f>
        <v>0</v>
      </c>
      <c r="L30" s="44">
        <f>SUM(Hokkaio!$C$183:$D$189)</f>
        <v>0</v>
      </c>
      <c r="M30" s="44">
        <f>SUM(Nagoya!$C$183:$D$189)</f>
        <v>0</v>
      </c>
      <c r="N30" s="44">
        <f>SUM(Hiroshima!$C$183:$D$189)</f>
        <v>0</v>
      </c>
      <c r="O30" s="44">
        <f>SUM(Chiba!$C$183:$D$189)</f>
        <v>0</v>
      </c>
      <c r="P30" s="44">
        <f>SUM(Niigata!$C$183:$D$189)</f>
        <v>0</v>
      </c>
      <c r="Q30" s="44">
        <f>SUM(Kanazawa!$C$183:$D$189)</f>
        <v>0</v>
      </c>
      <c r="R30" s="44">
        <f>SUM(Shizuoka!$C$183:$D$189)</f>
        <v>0</v>
      </c>
      <c r="S30" s="44">
        <f>SUM(Kumamoto!$C$183:$D$189)</f>
        <v>0</v>
      </c>
      <c r="T30" s="44">
        <f>SUM('Tokyo Metropolitan'!$C$183:$D$189)</f>
        <v>0</v>
      </c>
      <c r="U30" s="44">
        <f>SUM(Saitama!$C$183:$D$189)</f>
        <v>0</v>
      </c>
      <c r="V30" s="44">
        <f>SUM(Ryukyus!$C$183:$D$189)</f>
        <v>0</v>
      </c>
      <c r="W30" s="44">
        <f>SUM(Mie!$C$183:$D$189)</f>
        <v>0</v>
      </c>
      <c r="X30" s="44">
        <f>SUM(Meiji!$C$183:$D$189)</f>
        <v>0</v>
      </c>
      <c r="Y30" s="44">
        <f>SUM(Doshisha!$C$183:$D$189)</f>
        <v>0</v>
      </c>
      <c r="Z30" s="44">
        <f>SUM(Ryukoku!$C$183:$D$189)</f>
        <v>0</v>
      </c>
      <c r="AA30" s="44">
        <f>SUM(Senshu!$C$183:$D$189)</f>
        <v>0</v>
      </c>
      <c r="AB30" s="44">
        <f>SUM(Meijo!$C$183:$D$189)</f>
        <v>0</v>
      </c>
      <c r="AC30" s="44">
        <f>SUM(Chukyo!$C$183:$D$189)</f>
        <v>0</v>
      </c>
      <c r="AD30" s="44">
        <f>SUM('Kyoto Sangyo'!$C$183:$D$189)</f>
        <v>0</v>
      </c>
      <c r="AE30" s="44">
        <f>SUM('Tohoku Gakuin'!$C$183:$D$189)</f>
        <v>0</v>
      </c>
      <c r="AF30" s="44">
        <f>SUM(Chubu!$C$183:$D$189)</f>
        <v>0</v>
      </c>
      <c r="AG30" s="44">
        <f>SUM('Kobe Gakuin'!$C$183:$D$189)</f>
        <v>0</v>
      </c>
      <c r="AH30" s="44">
        <f>SUM(Rissho!$C$183:$D$189)</f>
        <v>0</v>
      </c>
      <c r="AI30" s="44">
        <f>SUM(Aichi!$C$183:$D$189)</f>
        <v>0</v>
      </c>
      <c r="AJ30" s="44">
        <f>SUM('Chiba Tech'!$C$183:$D$189)</f>
        <v>0</v>
      </c>
      <c r="AK30" s="44">
        <f>SUM(Nanzan!$C$183:$D$189)</f>
        <v>0</v>
      </c>
      <c r="AL30" s="44">
        <f>SUM(Konan!$C$183:$D$189)</f>
        <v>0</v>
      </c>
      <c r="AM30" s="44">
        <f>SUM('Aichi Shukutoku'!$C$183:$D$189)</f>
        <v>0</v>
      </c>
      <c r="AN30" s="44">
        <f>SUM(Tokkyo!$C$183:$D$189)</f>
        <v>0</v>
      </c>
      <c r="AO30" s="44">
        <f>SUM('Mukogawa Women'!$C$183:$D$189)</f>
        <v>0</v>
      </c>
      <c r="AP30" s="44">
        <f>SUM('Hokkai-Gakuen'!$C$183:$D$189)</f>
        <v>0</v>
      </c>
      <c r="AQ30" s="44">
        <f>SUM('Shibaura '!$C$183:$D$189)</f>
        <v>0</v>
      </c>
      <c r="AR30" s="44">
        <f>SUM('Osaka Sangyo'!$C$183:$D$189)</f>
        <v>1</v>
      </c>
      <c r="AS30" s="44">
        <f>SUM('Seinan Gakuin'!$C$183:$D$189)</f>
        <v>0</v>
      </c>
      <c r="AT30" s="44">
        <f>SUM(Soka!$C$183:$D$189)</f>
        <v>0</v>
      </c>
    </row>
    <row r="31" spans="3:46" ht="18" customHeight="1">
      <c r="C31" s="57">
        <v>29</v>
      </c>
      <c r="D31" s="57">
        <v>27</v>
      </c>
      <c r="E31" s="57">
        <v>22</v>
      </c>
      <c r="F31" s="56">
        <v>44390</v>
      </c>
      <c r="G31" s="56">
        <v>44396</v>
      </c>
      <c r="I31" s="58">
        <f>SUM(Kyoto!$C$190:$D$196)</f>
        <v>1</v>
      </c>
      <c r="J31" s="58">
        <f>SUM(Kyushu!$C$190:$D$196)</f>
        <v>0</v>
      </c>
      <c r="K31" s="58">
        <f>SUM(Tohoku!$C$190:$D$196)</f>
        <v>0</v>
      </c>
      <c r="L31" s="58">
        <f>SUM(Hokkaio!$C$190:$D$196)</f>
        <v>0</v>
      </c>
      <c r="M31" s="58">
        <f>SUM(Nagoya!$C$190:$D$196)</f>
        <v>1</v>
      </c>
      <c r="N31" s="44">
        <f>SUM(Hiroshima!$C$190:$D$196)</f>
        <v>1</v>
      </c>
      <c r="O31" s="44">
        <f>SUM(Chiba!$C$190:$D$196)</f>
        <v>0</v>
      </c>
      <c r="P31" s="44">
        <f>SUM(Niigata!$C$190:$D$196)</f>
        <v>0</v>
      </c>
      <c r="Q31" s="44">
        <f>SUM(Kanazawa!$C$190:$D$196)</f>
        <v>2</v>
      </c>
      <c r="R31" s="44">
        <f>SUM(Shizuoka!$C$190:$D$196)</f>
        <v>0</v>
      </c>
      <c r="S31" s="44">
        <f>SUM(Kumamoto!$C$190:$D$196)</f>
        <v>0</v>
      </c>
      <c r="T31" s="58">
        <f>SUM('Tokyo Metropolitan'!$C$190:$D$196)</f>
        <v>0</v>
      </c>
      <c r="U31" s="44">
        <f>SUM(Saitama!$C$190:$D$196)</f>
        <v>0</v>
      </c>
      <c r="V31" s="44">
        <f>SUM(Ryukyus!$C$190:$D$196)</f>
        <v>0</v>
      </c>
      <c r="W31" s="44">
        <f>SUM(Mie!$C$190:$D$196)</f>
        <v>0</v>
      </c>
      <c r="X31" s="44">
        <f>SUM(Meiji!$C$190:$D$196)</f>
        <v>0</v>
      </c>
      <c r="Y31" s="44">
        <f>SUM(Doshisha!$C$190:$D$196)</f>
        <v>5</v>
      </c>
      <c r="Z31" s="44">
        <f>SUM(Ryukoku!$C$190:$D$196)</f>
        <v>0</v>
      </c>
      <c r="AA31" s="44">
        <f>SUM(Senshu!$C$190:$D$196)</f>
        <v>2</v>
      </c>
      <c r="AB31" s="44">
        <f>SUM(Meijo!$C$190:$D$196)</f>
        <v>0</v>
      </c>
      <c r="AC31" s="44">
        <f>SUM(Chukyo!$C$190:$D$196)</f>
        <v>0</v>
      </c>
      <c r="AD31" s="58">
        <f>SUM('Kyoto Sangyo'!$C$190:$D$196)</f>
        <v>0</v>
      </c>
      <c r="AE31" s="58">
        <f>SUM('Tohoku Gakuin'!$C$190:$D$196)</f>
        <v>0</v>
      </c>
      <c r="AF31" s="58">
        <f>SUM(Chubu!$C$190:$D$196)</f>
        <v>0</v>
      </c>
      <c r="AG31" s="58">
        <f>SUM('Kobe Gakuin'!$C$190:$D$196)</f>
        <v>0</v>
      </c>
      <c r="AH31" s="58">
        <f>SUM(Rissho!$C$190:$D$196)</f>
        <v>1</v>
      </c>
      <c r="AI31" s="58">
        <f>SUM(Aichi!$C$190:$D$196)</f>
        <v>0</v>
      </c>
      <c r="AJ31" s="58">
        <f>SUM('Chiba Tech'!$C$190:$D$196)</f>
        <v>0</v>
      </c>
      <c r="AK31" s="58">
        <f>SUM(Nanzan!$C$190:$D$196)</f>
        <v>0</v>
      </c>
      <c r="AL31" s="58">
        <f>SUM(Konan!$C$190:$D$196)</f>
        <v>3</v>
      </c>
      <c r="AM31" s="58">
        <f>SUM('Aichi Shukutoku'!$C$190:$D$196)</f>
        <v>0</v>
      </c>
      <c r="AN31" s="58">
        <f>SUM(Tokkyo!$C$190:$D$196)</f>
        <v>1</v>
      </c>
      <c r="AO31" s="58">
        <f>SUM('Mukogawa Women'!$C$190:$D$196)</f>
        <v>1</v>
      </c>
      <c r="AP31" s="58">
        <f>SUM('Hokkai-Gakuen'!$C$190:$D$196)</f>
        <v>0</v>
      </c>
      <c r="AQ31" s="58">
        <f>SUM('Shibaura '!$C$190:$D$196)</f>
        <v>1</v>
      </c>
      <c r="AR31" s="58">
        <f>SUM('Osaka Sangyo'!$C$190:$D$196)</f>
        <v>3</v>
      </c>
      <c r="AS31" s="58">
        <f>SUM('Seinan Gakuin'!$C$190:$D$196)</f>
        <v>0</v>
      </c>
      <c r="AT31" s="58">
        <f>SUM(Soka!$C$190:$D$196)</f>
        <v>0</v>
      </c>
    </row>
    <row r="32" spans="3:46" ht="18" customHeight="1">
      <c r="C32" s="57">
        <v>30</v>
      </c>
      <c r="D32" s="57">
        <v>28</v>
      </c>
      <c r="E32" s="57">
        <v>23</v>
      </c>
      <c r="F32" s="56">
        <v>44397</v>
      </c>
      <c r="G32" s="56">
        <v>44403</v>
      </c>
      <c r="I32" s="44">
        <f>SUM(Kyoto!$C$197:$D$203)</f>
        <v>5</v>
      </c>
      <c r="J32" s="44">
        <f>SUM(Kyushu!$C$197:$D$203)</f>
        <v>0</v>
      </c>
      <c r="K32" s="44">
        <f>SUM(Tohoku!$C$197:$D$203)</f>
        <v>0</v>
      </c>
      <c r="L32" s="44">
        <f>SUM(Hokkaio!$C$197:$D$203)</f>
        <v>0</v>
      </c>
      <c r="M32" s="44">
        <f>SUM(Nagoya!$C$197:$D$203)</f>
        <v>0</v>
      </c>
      <c r="N32" s="44">
        <f>SUM(Hiroshima!$C$197:$D$203)</f>
        <v>0</v>
      </c>
      <c r="O32" s="44">
        <f>SUM(Chiba!$C$197:$D$203)</f>
        <v>0</v>
      </c>
      <c r="P32" s="44">
        <f>SUM(Niigata!$C$197:$D$203)</f>
        <v>0</v>
      </c>
      <c r="Q32" s="44">
        <f>SUM(Kanazawa!$C$197:$D$203)</f>
        <v>2</v>
      </c>
      <c r="R32" s="44">
        <f>SUM(Shizuoka!$C$197:$D$203)</f>
        <v>0</v>
      </c>
      <c r="S32" s="44">
        <f>SUM(Kumamoto!$C$197:$D$203)</f>
        <v>0</v>
      </c>
      <c r="T32" s="44">
        <f>SUM('Tokyo Metropolitan'!$C$197:$D$203)</f>
        <v>0</v>
      </c>
      <c r="U32" s="44">
        <f>SUM(Saitama!$C$197:$D$203)</f>
        <v>0</v>
      </c>
      <c r="V32" s="44">
        <f>SUM(Ryukyus!$C$197:$D$203)</f>
        <v>0</v>
      </c>
      <c r="W32" s="44">
        <f>SUM(Mie!$C$197:$D$203)</f>
        <v>0</v>
      </c>
      <c r="X32" s="44">
        <f>SUM(Meiji!$C$197:$D$203)</f>
        <v>0</v>
      </c>
      <c r="Y32" s="44">
        <f>SUM(Doshisha!$C$197:$D$203)</f>
        <v>1</v>
      </c>
      <c r="Z32" s="44">
        <f>SUM(Ryukoku!$C$197:$D$203)</f>
        <v>0</v>
      </c>
      <c r="AA32" s="44">
        <f>SUM(Senshu!$C$197:$D$203)</f>
        <v>1</v>
      </c>
      <c r="AB32" s="44">
        <f>SUM(Meijo!$C$197:$D$203)</f>
        <v>0</v>
      </c>
      <c r="AC32" s="44">
        <f>SUM(Chukyo!$C$197:$D$203)</f>
        <v>0</v>
      </c>
      <c r="AD32" s="44">
        <f>SUM('Kyoto Sangyo'!$C$197:$D$203)</f>
        <v>0</v>
      </c>
      <c r="AE32" s="44">
        <f>SUM('Tohoku Gakuin'!$C$197:$D$203)</f>
        <v>0</v>
      </c>
      <c r="AF32" s="44">
        <f>SUM(Chubu!$C$197:$D$203)</f>
        <v>3</v>
      </c>
      <c r="AG32" s="44">
        <f>SUM('Kobe Gakuin'!$C$197:$D$203)</f>
        <v>3</v>
      </c>
      <c r="AH32" s="44">
        <f>SUM(Rissho!$C$197:$D$203)</f>
        <v>0</v>
      </c>
      <c r="AI32" s="44">
        <f>SUM(Aichi!$C$197:$D$203)</f>
        <v>0</v>
      </c>
      <c r="AJ32" s="44">
        <f>SUM('Chiba Tech'!$C$197:$D$203)</f>
        <v>0</v>
      </c>
      <c r="AK32" s="44">
        <f>SUM(Nanzan!$C$197:$D$203)</f>
        <v>1</v>
      </c>
      <c r="AL32" s="44">
        <f>SUM(Konan!$C$197:$D$203)</f>
        <v>0</v>
      </c>
      <c r="AM32" s="44">
        <f>SUM('Aichi Shukutoku'!$C$197:$D$203)</f>
        <v>2</v>
      </c>
      <c r="AN32" s="44">
        <f>SUM(Tokkyo!$C$197:$D$203)</f>
        <v>0</v>
      </c>
      <c r="AO32" s="44">
        <f>SUM('Mukogawa Women'!$C$197:$D$203)</f>
        <v>1</v>
      </c>
      <c r="AP32" s="44">
        <f>SUM('Hokkai-Gakuen'!$C$197:$D$203)</f>
        <v>0</v>
      </c>
      <c r="AQ32" s="44">
        <f>SUM('Shibaura '!$C$197:$D$203)</f>
        <v>0</v>
      </c>
      <c r="AR32" s="44">
        <f>SUM('Osaka Sangyo'!$C$197:$D$203)</f>
        <v>0</v>
      </c>
      <c r="AS32" s="44">
        <f>SUM('Seinan Gakuin'!$C$197:$D$203)</f>
        <v>0</v>
      </c>
      <c r="AT32" s="44">
        <f>SUM(Soka!$C$197:$D$203)</f>
        <v>0</v>
      </c>
    </row>
    <row r="33" spans="3:46" ht="18" customHeight="1">
      <c r="C33" s="57">
        <v>31</v>
      </c>
      <c r="D33" s="57">
        <v>29</v>
      </c>
      <c r="E33" s="57">
        <v>24</v>
      </c>
      <c r="F33" s="56">
        <v>44404</v>
      </c>
      <c r="G33" s="56">
        <v>44410</v>
      </c>
      <c r="I33" s="44">
        <f>SUM(Kyoto!$C$204:$D$210)</f>
        <v>0</v>
      </c>
      <c r="J33" s="44">
        <f>SUM(Kyushu!$C$204:$D$210)</f>
        <v>2</v>
      </c>
      <c r="K33" s="44">
        <f>SUM(Tohoku!$C$204:$D$210)</f>
        <v>0</v>
      </c>
      <c r="L33" s="44">
        <f>SUM(Hokkaio!$C$204:$D$210)</f>
        <v>1</v>
      </c>
      <c r="M33" s="44">
        <f>SUM(Nagoya!$C$204:$D$210)</f>
        <v>1</v>
      </c>
      <c r="N33" s="44">
        <f>SUM(Hiroshima!$C$204:$D$210)</f>
        <v>0</v>
      </c>
      <c r="O33" s="44">
        <f>SUM(Chiba!$C$204:$D$210)</f>
        <v>1</v>
      </c>
      <c r="P33" s="44">
        <f>SUM(Niigata!$C$204:$D$210)</f>
        <v>5</v>
      </c>
      <c r="Q33" s="44">
        <f>SUM(Kanazawa!$C$204:$D$210)</f>
        <v>0</v>
      </c>
      <c r="R33" s="44">
        <f>SUM(Shizuoka!$C$204:$D$210)</f>
        <v>1</v>
      </c>
      <c r="S33" s="44">
        <f>SUM(Kumamoto!$C$204:$D$210)</f>
        <v>0</v>
      </c>
      <c r="T33" s="44">
        <f>SUM('Tokyo Metropolitan'!$C$204:$D$210)</f>
        <v>0</v>
      </c>
      <c r="U33" s="44">
        <f>SUM(Saitama!$C$204:$D$210)</f>
        <v>0</v>
      </c>
      <c r="V33" s="44">
        <f>SUM(Ryukyus!$C$204:$D$210)</f>
        <v>2</v>
      </c>
      <c r="W33" s="44">
        <f>SUM(Mie!$C$204:$D$210)</f>
        <v>10</v>
      </c>
      <c r="X33" s="44">
        <f>SUM(Meiji!$C$204:$D$210)</f>
        <v>1</v>
      </c>
      <c r="Y33" s="44">
        <f>SUM(Doshisha!$C$204:$D$210)</f>
        <v>4</v>
      </c>
      <c r="Z33" s="44">
        <f>SUM(Ryukoku!$C$204:$D$210)</f>
        <v>2</v>
      </c>
      <c r="AA33" s="44">
        <f>SUM(Senshu!$C$204:$D$210)</f>
        <v>0</v>
      </c>
      <c r="AB33" s="44">
        <f>SUM(Meijo!$C$204:$D$210)</f>
        <v>0</v>
      </c>
      <c r="AC33" s="44">
        <f>SUM(Chukyo!$C$204:$D$210)</f>
        <v>0</v>
      </c>
      <c r="AD33" s="44">
        <f>SUM('Kyoto Sangyo'!$C$204:$D$210)</f>
        <v>0</v>
      </c>
      <c r="AE33" s="44">
        <f>SUM('Tohoku Gakuin'!$C$204:$D$210)</f>
        <v>0</v>
      </c>
      <c r="AF33" s="44">
        <f>SUM(Chubu!$C$204:$D$210)</f>
        <v>1</v>
      </c>
      <c r="AG33" s="44">
        <f>SUM('Kobe Gakuin'!$C$204:$D$210)</f>
        <v>0</v>
      </c>
      <c r="AH33" s="44">
        <f>SUM(Rissho!$C$204:$D$210)</f>
        <v>1</v>
      </c>
      <c r="AI33" s="44">
        <f>SUM(Aichi!$C$204:$D$210)</f>
        <v>0</v>
      </c>
      <c r="AJ33" s="44">
        <f>SUM('Chiba Tech'!$C$204:$D$210)</f>
        <v>0</v>
      </c>
      <c r="AK33" s="44">
        <f>SUM(Nanzan!$C$204:$D$210)</f>
        <v>1</v>
      </c>
      <c r="AL33" s="44">
        <f>SUM(Konan!$C$204:$D$210)</f>
        <v>0</v>
      </c>
      <c r="AM33" s="44">
        <f>SUM('Aichi Shukutoku'!$C$204:$D$210)</f>
        <v>1</v>
      </c>
      <c r="AN33" s="44">
        <f>SUM(Tokkyo!$C$204:$D$210)</f>
        <v>0</v>
      </c>
      <c r="AO33" s="44">
        <f>SUM('Mukogawa Women'!$C$204:$D$210)</f>
        <v>1</v>
      </c>
      <c r="AP33" s="44">
        <f>SUM('Hokkai-Gakuen'!$C$204:$D$210)</f>
        <v>0</v>
      </c>
      <c r="AQ33" s="44">
        <f>SUM('Shibaura '!$C$204:$D$210)</f>
        <v>0</v>
      </c>
      <c r="AR33" s="44">
        <f>SUM('Osaka Sangyo'!$C$204:$D$210)</f>
        <v>0</v>
      </c>
      <c r="AS33" s="44">
        <f>SUM('Seinan Gakuin'!$C$204:$D$210)</f>
        <v>0</v>
      </c>
      <c r="AT33" s="44">
        <f>SUM(Soka!$C$204:$D$210)</f>
        <v>0</v>
      </c>
    </row>
    <row r="34" spans="3:46" ht="18" customHeight="1">
      <c r="C34" s="57">
        <v>32</v>
      </c>
      <c r="D34" s="57">
        <v>30</v>
      </c>
      <c r="E34" s="57">
        <v>25</v>
      </c>
      <c r="F34" s="56">
        <v>44411</v>
      </c>
      <c r="G34" s="56">
        <v>44417</v>
      </c>
      <c r="I34" s="44">
        <f>SUM(Kyoto!$C$211:$D$217)</f>
        <v>0</v>
      </c>
      <c r="J34" s="44">
        <f>SUM(Kyushu!$C$211:$D$217)</f>
        <v>0</v>
      </c>
      <c r="K34" s="44">
        <f>SUM(Tohoku!$C$211:$D$217)</f>
        <v>0</v>
      </c>
      <c r="L34" s="44">
        <f>SUM(Hokkaio!$C$211:$D$217)</f>
        <v>4</v>
      </c>
      <c r="M34" s="44">
        <f>SUM(Nagoya!$C$211:$D$217)</f>
        <v>0</v>
      </c>
      <c r="N34" s="44">
        <f>SUM(Hiroshima!$C$211:$D$217)</f>
        <v>0</v>
      </c>
      <c r="O34" s="44">
        <f>SUM(Chiba!$C$211:$D$217)</f>
        <v>0</v>
      </c>
      <c r="P34" s="44">
        <f>SUM(Niigata!$C$211:$D$217)</f>
        <v>0</v>
      </c>
      <c r="Q34" s="44">
        <f>SUM(Kanazawa!$C$211:$D$217)</f>
        <v>0</v>
      </c>
      <c r="R34" s="44">
        <f>SUM(Shizuoka!$C$211:$D$217)</f>
        <v>4</v>
      </c>
      <c r="S34" s="44">
        <f>SUM(Kumamoto!$C$211:$D$217)</f>
        <v>2</v>
      </c>
      <c r="T34" s="44">
        <f>SUM('Tokyo Metropolitan'!$C$211:$D$217)</f>
        <v>0</v>
      </c>
      <c r="U34" s="44">
        <f>SUM(Saitama!$C$211:$D$217)</f>
        <v>1</v>
      </c>
      <c r="V34" s="44">
        <f>SUM(Ryukyus!$C$211:$D$217)</f>
        <v>1</v>
      </c>
      <c r="W34" s="44">
        <f>SUM(Mie!$C$211:$D$217)</f>
        <v>14</v>
      </c>
      <c r="X34" s="44">
        <f>SUM(Meiji!$C$211:$D$217)</f>
        <v>8</v>
      </c>
      <c r="Y34" s="44">
        <f>SUM(Doshisha!$C$211:$D$217)</f>
        <v>2</v>
      </c>
      <c r="Z34" s="44">
        <f>SUM(Ryukoku!$C$211:$D$217)</f>
        <v>1</v>
      </c>
      <c r="AA34" s="44">
        <f>SUM(Senshu!$C$211:$D$217)</f>
        <v>2</v>
      </c>
      <c r="AB34" s="44">
        <f>SUM(Meijo!$C$211:$D$217)</f>
        <v>0</v>
      </c>
      <c r="AC34" s="44">
        <f>SUM(Chukyo!$C$211:$D$217)</f>
        <v>2</v>
      </c>
      <c r="AD34" s="44">
        <f>SUM('Kyoto Sangyo'!$C$211:$D$217)</f>
        <v>0</v>
      </c>
      <c r="AE34" s="44">
        <f>SUM('Tohoku Gakuin'!$C$211:$D$217)</f>
        <v>0</v>
      </c>
      <c r="AF34" s="44">
        <f>SUM(Chubu!$C$211:$D$217)</f>
        <v>0</v>
      </c>
      <c r="AG34" s="44">
        <f>SUM('Kobe Gakuin'!$C$211:$D$217)</f>
        <v>1</v>
      </c>
      <c r="AH34" s="44">
        <f>SUM(Rissho!$C$211:$D$217)</f>
        <v>7</v>
      </c>
      <c r="AI34" s="44">
        <f>SUM(Aichi!$C$211:$D$217)</f>
        <v>0</v>
      </c>
      <c r="AJ34" s="44">
        <f>SUM('Chiba Tech'!$C$211:$D$217)</f>
        <v>1</v>
      </c>
      <c r="AK34" s="44">
        <f>SUM(Nanzan!$C$211:$D$217)</f>
        <v>0</v>
      </c>
      <c r="AL34" s="44">
        <f>SUM(Konan!$C$211:$D$217)</f>
        <v>0</v>
      </c>
      <c r="AM34" s="44">
        <f>SUM('Aichi Shukutoku'!$C$211:$D$217)</f>
        <v>2</v>
      </c>
      <c r="AN34" s="44">
        <f>SUM(Tokkyo!$C$211:$D$217)</f>
        <v>0</v>
      </c>
      <c r="AO34" s="44">
        <f>SUM('Mukogawa Women'!$C$211:$D$217)</f>
        <v>0</v>
      </c>
      <c r="AP34" s="44">
        <f>SUM('Hokkai-Gakuen'!$C$211:$D$217)</f>
        <v>0</v>
      </c>
      <c r="AQ34" s="44">
        <f>SUM('Shibaura '!$C$211:$D$217)</f>
        <v>0</v>
      </c>
      <c r="AR34" s="44">
        <f>SUM('Osaka Sangyo'!$C$211:$D$217)</f>
        <v>0</v>
      </c>
      <c r="AS34" s="44">
        <f>SUM('Seinan Gakuin'!$C$211:$D$217)</f>
        <v>0</v>
      </c>
      <c r="AT34" s="44">
        <f>SUM(Soka!$C$211:$D$217)</f>
        <v>1</v>
      </c>
    </row>
    <row r="35" spans="3:46" ht="18" customHeight="1">
      <c r="C35" s="57">
        <v>33</v>
      </c>
      <c r="D35" s="57">
        <v>31</v>
      </c>
      <c r="E35" s="57">
        <v>26</v>
      </c>
      <c r="F35" s="56">
        <v>44418</v>
      </c>
      <c r="G35" s="56">
        <v>44424</v>
      </c>
      <c r="I35" s="44">
        <f>SUM(Kyoto!$C$218:$D$224)</f>
        <v>0</v>
      </c>
      <c r="J35" s="44">
        <f>SUM(Kyushu!$C$218:$D$224)</f>
        <v>1</v>
      </c>
      <c r="K35" s="44">
        <f>SUM(Tohoku!$C$218:$D$224)</f>
        <v>0</v>
      </c>
      <c r="L35" s="44">
        <f>SUM(Hokkaio!$C$218:$D$224)</f>
        <v>1</v>
      </c>
      <c r="M35" s="44">
        <f>SUM(Nagoya!$C$218:$D$224)</f>
        <v>0</v>
      </c>
      <c r="N35" s="44">
        <f>SUM(Hiroshima!$C$218:$D$224)</f>
        <v>0</v>
      </c>
      <c r="O35" s="44">
        <f>SUM(Chiba!$C$218:$D$224)</f>
        <v>0</v>
      </c>
      <c r="P35" s="44">
        <f>SUM(Niigata!$C$218:$D$224)</f>
        <v>0</v>
      </c>
      <c r="Q35" s="44">
        <f>SUM(Kanazawa!$C$218:$D$224)</f>
        <v>0</v>
      </c>
      <c r="R35" s="44">
        <f>SUM(Shizuoka!$C$218:$D$224)</f>
        <v>0</v>
      </c>
      <c r="S35" s="44">
        <f>SUM(Kumamoto!$C$218:$D$224)</f>
        <v>0</v>
      </c>
      <c r="T35" s="44">
        <f>SUM('Tokyo Metropolitan'!$C$218:$D$224)</f>
        <v>0</v>
      </c>
      <c r="U35" s="44">
        <f>SUM(Saitama!$C$218:$D$224)</f>
        <v>0</v>
      </c>
      <c r="V35" s="44">
        <f>SUM(Ryukyus!$C$218:$D$224)</f>
        <v>0</v>
      </c>
      <c r="W35" s="44">
        <f>SUM(Mie!$C$218:$D$224)</f>
        <v>0</v>
      </c>
      <c r="X35" s="44">
        <f>SUM(Meiji!$C$218:$D$224)</f>
        <v>0</v>
      </c>
      <c r="Y35" s="44">
        <f>SUM(Doshisha!$C$218:$D$224)</f>
        <v>1</v>
      </c>
      <c r="Z35" s="44">
        <f>SUM(Ryukoku!$C$218:$D$224)</f>
        <v>0</v>
      </c>
      <c r="AA35" s="44">
        <f>SUM(Senshu!$C$218:$D$224)</f>
        <v>2</v>
      </c>
      <c r="AB35" s="44">
        <f>SUM(Meijo!$C$218:$D$224)</f>
        <v>0</v>
      </c>
      <c r="AC35" s="44">
        <f>SUM(Chukyo!$C$218:$D$224)</f>
        <v>0</v>
      </c>
      <c r="AD35" s="44">
        <f>SUM('Kyoto Sangyo'!$C$218:$D$224)</f>
        <v>0</v>
      </c>
      <c r="AE35" s="44">
        <f>SUM('Tohoku Gakuin'!$C$218:$D$224)</f>
        <v>0</v>
      </c>
      <c r="AF35" s="44">
        <f>SUM(Chubu!$C$218:$D$224)</f>
        <v>0</v>
      </c>
      <c r="AG35" s="44">
        <f>SUM('Kobe Gakuin'!$C$218:$D$224)</f>
        <v>0</v>
      </c>
      <c r="AH35" s="44">
        <f>SUM(Rissho!$C$218:$D$224)</f>
        <v>0</v>
      </c>
      <c r="AI35" s="44">
        <f>SUM(Aichi!$C$218:$D$224)</f>
        <v>0</v>
      </c>
      <c r="AJ35" s="44">
        <f>SUM('Chiba Tech'!$C$218:$D$224)</f>
        <v>1</v>
      </c>
      <c r="AK35" s="44">
        <f>SUM(Nanzan!$C$218:$D$224)</f>
        <v>0</v>
      </c>
      <c r="AL35" s="44">
        <f>SUM(Konan!$C$218:$D$224)</f>
        <v>0</v>
      </c>
      <c r="AM35" s="44">
        <f>SUM('Aichi Shukutoku'!$C$218:$D$224)</f>
        <v>1</v>
      </c>
      <c r="AN35" s="44">
        <f>SUM(Tokkyo!$C$218:$D$224)</f>
        <v>0</v>
      </c>
      <c r="AO35" s="44">
        <f>SUM('Mukogawa Women'!$C$218:$D$224)</f>
        <v>1</v>
      </c>
      <c r="AP35" s="44">
        <f>SUM('Hokkai-Gakuen'!$C$218:$D$224)</f>
        <v>0</v>
      </c>
      <c r="AQ35" s="44">
        <f>SUM('Shibaura '!$C$218:$D$224)</f>
        <v>0</v>
      </c>
      <c r="AR35" s="44">
        <f>SUM('Osaka Sangyo'!$C$218:$D$224)</f>
        <v>0</v>
      </c>
      <c r="AS35" s="44">
        <f>SUM('Seinan Gakuin'!$C$218:$D$224)</f>
        <v>0</v>
      </c>
      <c r="AT35" s="44">
        <f>SUM(Soka!$C$218:$D$224)</f>
        <v>0</v>
      </c>
    </row>
    <row r="36" spans="3:46" ht="18" customHeight="1">
      <c r="C36" s="57">
        <v>34</v>
      </c>
      <c r="D36" s="57">
        <v>32</v>
      </c>
      <c r="E36" s="57">
        <v>27</v>
      </c>
      <c r="F36" s="56">
        <v>44425</v>
      </c>
      <c r="G36" s="56">
        <v>44431</v>
      </c>
      <c r="I36" s="44">
        <f>SUM(Kyoto!$C$225:$D$231)</f>
        <v>1</v>
      </c>
      <c r="J36" s="44">
        <f>SUM(Kyushu!$C$225:$D$231)</f>
        <v>0</v>
      </c>
      <c r="K36" s="44">
        <f>SUM(Tohoku!$C$225:$D$231)</f>
        <v>0</v>
      </c>
      <c r="L36" s="44">
        <f>SUM(Hokkaio!$C$225:$D$231)</f>
        <v>0</v>
      </c>
      <c r="M36" s="44">
        <f>SUM(Nagoya!$C$225:$D$231)</f>
        <v>0</v>
      </c>
      <c r="N36" s="44">
        <f>SUM(Hiroshima!$C$225:$D$231)</f>
        <v>0</v>
      </c>
      <c r="O36" s="44">
        <f>SUM(Chiba!$C$225:$D$231)</f>
        <v>0</v>
      </c>
      <c r="P36" s="44">
        <f>SUM(Niigata!$C$225:$D$231)</f>
        <v>0</v>
      </c>
      <c r="Q36" s="44">
        <f>SUM(Kanazawa!$C$225:$D$231)</f>
        <v>0</v>
      </c>
      <c r="R36" s="44">
        <f>SUM(Shizuoka!$C$225:$D$231)</f>
        <v>0</v>
      </c>
      <c r="S36" s="44">
        <f>SUM(Kumamoto!$C$225:$D$231)</f>
        <v>4</v>
      </c>
      <c r="T36" s="44">
        <f>SUM('Tokyo Metropolitan'!$C$225:$D$231)</f>
        <v>0</v>
      </c>
      <c r="U36" s="44">
        <f>SUM(Saitama!$C$225:$D$231)</f>
        <v>1</v>
      </c>
      <c r="V36" s="44">
        <f>SUM(Ryukyus!$C$225:$D$231)</f>
        <v>0</v>
      </c>
      <c r="W36" s="44">
        <f>SUM(Mie!$C$225:$D$231)</f>
        <v>1</v>
      </c>
      <c r="X36" s="44">
        <f>SUM(Meiji!$C$225:$D$231)</f>
        <v>1</v>
      </c>
      <c r="Y36" s="44">
        <f>SUM(Doshisha!$C$225:$D$231)</f>
        <v>1</v>
      </c>
      <c r="Z36" s="44">
        <f>SUM(Ryukoku!$C$225:$D$231)</f>
        <v>1</v>
      </c>
      <c r="AA36" s="44">
        <f>SUM(Senshu!$C$225:$D$231)</f>
        <v>5</v>
      </c>
      <c r="AB36" s="44">
        <f>SUM(Meijo!$C$225:$D$231)</f>
        <v>0</v>
      </c>
      <c r="AC36" s="44">
        <f>SUM(Chukyo!$C$225:$D$231)</f>
        <v>0</v>
      </c>
      <c r="AD36" s="44">
        <f>SUM('Kyoto Sangyo'!$C$225:$D$231)</f>
        <v>0</v>
      </c>
      <c r="AE36" s="44">
        <f>SUM('Tohoku Gakuin'!$C$225:$D$231)</f>
        <v>0</v>
      </c>
      <c r="AF36" s="44">
        <f>SUM(Chubu!$C$225:$D$231)</f>
        <v>1</v>
      </c>
      <c r="AG36" s="44">
        <f>SUM('Kobe Gakuin'!$C$225:$D$231)</f>
        <v>0</v>
      </c>
      <c r="AH36" s="44">
        <f>SUM(Rissho!$C$225:$D$231)</f>
        <v>1</v>
      </c>
      <c r="AI36" s="44">
        <f>SUM(Aichi!$C$225:$D$231)</f>
        <v>0</v>
      </c>
      <c r="AJ36" s="44">
        <f>SUM('Chiba Tech'!$C$225:$D$231)</f>
        <v>0</v>
      </c>
      <c r="AK36" s="44">
        <f>SUM(Nanzan!$C$225:$D$231)</f>
        <v>0</v>
      </c>
      <c r="AL36" s="44">
        <f>SUM(Konan!$C$225:$D$231)</f>
        <v>2</v>
      </c>
      <c r="AM36" s="44">
        <f>SUM('Aichi Shukutoku'!$C$225:$D$231)</f>
        <v>0</v>
      </c>
      <c r="AN36" s="44">
        <f>SUM(Tokkyo!$C$225:$D$231)</f>
        <v>0</v>
      </c>
      <c r="AO36" s="44">
        <f>SUM('Mukogawa Women'!$C$225:$D$231)</f>
        <v>1</v>
      </c>
      <c r="AP36" s="44">
        <f>SUM('Hokkai-Gakuen'!$C$225:$D$231)</f>
        <v>1</v>
      </c>
      <c r="AQ36" s="44">
        <f>SUM('Shibaura '!$C$225:$D$231)</f>
        <v>1</v>
      </c>
      <c r="AR36" s="44">
        <f>SUM('Osaka Sangyo'!$C$225:$D$231)</f>
        <v>1</v>
      </c>
      <c r="AS36" s="44">
        <f>SUM('Seinan Gakuin'!$C$225:$D$231)</f>
        <v>0</v>
      </c>
      <c r="AT36" s="44">
        <f>SUM(Soka!$C$225:$D$231)</f>
        <v>0</v>
      </c>
    </row>
    <row r="37" spans="3:46" ht="18" customHeight="1">
      <c r="C37" s="57">
        <v>35</v>
      </c>
      <c r="D37" s="57">
        <v>33</v>
      </c>
      <c r="E37" s="57">
        <v>28</v>
      </c>
      <c r="F37" s="56">
        <v>44432</v>
      </c>
      <c r="G37" s="56">
        <v>44438</v>
      </c>
      <c r="I37" s="44">
        <f>SUM(Kyoto!$C$232:$D$238)</f>
        <v>2</v>
      </c>
      <c r="J37" s="44">
        <f>SUM(Kyushu!$C$232:$D$238)</f>
        <v>2</v>
      </c>
      <c r="K37" s="44">
        <f>SUM(Tohoku!$C$232:$D$238)</f>
        <v>0</v>
      </c>
      <c r="L37" s="44">
        <f>SUM(Hokkaio!$C$232:$D$238)</f>
        <v>0</v>
      </c>
      <c r="M37" s="44">
        <f>SUM(Nagoya!$C$232:$D$238)</f>
        <v>0</v>
      </c>
      <c r="N37" s="44">
        <f>SUM(Hiroshima!$C$232:$D$238)</f>
        <v>0</v>
      </c>
      <c r="O37" s="44">
        <f>SUM(Chiba!$C$232:$D$238)</f>
        <v>0</v>
      </c>
      <c r="P37" s="44">
        <f>SUM(Niigata!$C$232:$D$238)</f>
        <v>0</v>
      </c>
      <c r="Q37" s="44">
        <f>SUM(Kanazawa!$C$232:$D$238)</f>
        <v>0</v>
      </c>
      <c r="R37" s="44">
        <f>SUM(Shizuoka!$C$232:$D$238)</f>
        <v>0</v>
      </c>
      <c r="S37" s="44">
        <f>SUM(Kumamoto!$C$232:$D$238)</f>
        <v>0</v>
      </c>
      <c r="T37" s="44">
        <f>SUM('Tokyo Metropolitan'!$C$232:$D$238)</f>
        <v>0</v>
      </c>
      <c r="U37" s="44">
        <f>SUM(Saitama!$C$232:$D$238)</f>
        <v>0</v>
      </c>
      <c r="V37" s="44">
        <f>SUM(Ryukyus!$C$232:$D$238)</f>
        <v>1</v>
      </c>
      <c r="W37" s="44">
        <f>SUM(Mie!$C$232:$D$238)</f>
        <v>0</v>
      </c>
      <c r="X37" s="44">
        <f>SUM(Meiji!$C$232:$D$238)</f>
        <v>1</v>
      </c>
      <c r="Y37" s="44">
        <f>SUM(Doshisha!$C$232:$D$238)</f>
        <v>2</v>
      </c>
      <c r="Z37" s="44">
        <f>SUM(Ryukoku!$C$232:$D$238)</f>
        <v>2</v>
      </c>
      <c r="AA37" s="44">
        <f>SUM(Senshu!$C$232:$D$238)</f>
        <v>0</v>
      </c>
      <c r="AB37" s="44">
        <f>SUM(Meijo!$C$232:$D$238)</f>
        <v>0</v>
      </c>
      <c r="AC37" s="44">
        <f>SUM(Chukyo!$C$232:$D$238)</f>
        <v>0</v>
      </c>
      <c r="AD37" s="44">
        <f>SUM('Kyoto Sangyo'!$C$232:$D$238)</f>
        <v>0</v>
      </c>
      <c r="AE37" s="44">
        <f>SUM('Tohoku Gakuin'!$C$232:$D$238)</f>
        <v>0</v>
      </c>
      <c r="AF37" s="44">
        <f>SUM(Chubu!$C$232:$D$238)</f>
        <v>1</v>
      </c>
      <c r="AG37" s="44">
        <f>SUM('Kobe Gakuin'!$C$232:$D$238)</f>
        <v>0</v>
      </c>
      <c r="AH37" s="44">
        <f>SUM(Rissho!$C$232:$D$238)</f>
        <v>0</v>
      </c>
      <c r="AI37" s="44">
        <f>SUM(Aichi!$C$232:$D$238)</f>
        <v>0</v>
      </c>
      <c r="AJ37" s="44">
        <f>SUM('Chiba Tech'!$C$232:$D$238)</f>
        <v>0</v>
      </c>
      <c r="AK37" s="44">
        <f>SUM(Nanzan!$C$232:$D$238)</f>
        <v>0</v>
      </c>
      <c r="AL37" s="44">
        <f>SUM(Konan!$C$232:$D$238)</f>
        <v>0</v>
      </c>
      <c r="AM37" s="44">
        <f>SUM('Aichi Shukutoku'!$C$232:$D$238)</f>
        <v>0</v>
      </c>
      <c r="AN37" s="44">
        <f>SUM(Tokkyo!$C$232:$D$238)</f>
        <v>0</v>
      </c>
      <c r="AO37" s="44">
        <f>SUM('Mukogawa Women'!$C$232:$D$238)</f>
        <v>1</v>
      </c>
      <c r="AP37" s="44">
        <f>SUM('Hokkai-Gakuen'!$C$232:$D$238)</f>
        <v>0</v>
      </c>
      <c r="AQ37" s="44">
        <f>SUM('Shibaura '!$C$232:$D$238)</f>
        <v>0</v>
      </c>
      <c r="AR37" s="44">
        <f>SUM('Osaka Sangyo'!$C$232:$D$238)</f>
        <v>0</v>
      </c>
      <c r="AS37" s="44">
        <f>SUM('Seinan Gakuin'!$C$232:$D$238)</f>
        <v>0</v>
      </c>
      <c r="AT37" s="44">
        <f>SUM(Soka!$C$232:$D$238)</f>
        <v>0</v>
      </c>
    </row>
    <row r="38" spans="3:46" ht="18" customHeight="1">
      <c r="C38" s="57">
        <v>36</v>
      </c>
      <c r="D38" s="57">
        <v>34</v>
      </c>
      <c r="E38" s="57">
        <v>29</v>
      </c>
      <c r="F38" s="56">
        <v>44439</v>
      </c>
      <c r="G38" s="56">
        <v>44445</v>
      </c>
      <c r="I38" s="44">
        <f>SUM(Kyoto!$C$239:$D$245)</f>
        <v>0</v>
      </c>
      <c r="J38" s="44">
        <f>SUM(Kyushu!$C$239:$D$245)</f>
        <v>2</v>
      </c>
      <c r="K38" s="44">
        <f>SUM(Tohoku!$C$239:$D$245)</f>
        <v>1</v>
      </c>
      <c r="L38" s="44">
        <f>SUM(Hokkaio!$C$239:$D$245)</f>
        <v>0</v>
      </c>
      <c r="M38" s="44">
        <f>SUM(Nagoya!$C$239:$D$245)</f>
        <v>0</v>
      </c>
      <c r="N38" s="44">
        <f>SUM(Hiroshima!$C$239:$D$245)</f>
        <v>0</v>
      </c>
      <c r="O38" s="44">
        <f>SUM(Chiba!$C$239:$D$245)</f>
        <v>0</v>
      </c>
      <c r="P38" s="44">
        <f>SUM(Niigata!$C$239:$D$245)</f>
        <v>0</v>
      </c>
      <c r="Q38" s="44">
        <f>SUM(Kanazawa!$C$239:$D$245)</f>
        <v>0</v>
      </c>
      <c r="R38" s="44">
        <f>SUM(Shizuoka!$C$239:$D$245)</f>
        <v>0</v>
      </c>
      <c r="S38" s="44">
        <f>SUM(Kumamoto!$C$239:$D$245)</f>
        <v>2</v>
      </c>
      <c r="T38" s="44">
        <f>SUM('Tokyo Metropolitan'!$C$239:$D$245)</f>
        <v>0</v>
      </c>
      <c r="U38" s="44">
        <f>SUM(Saitama!$C$239:$D$245)</f>
        <v>0</v>
      </c>
      <c r="V38" s="44">
        <f>SUM(Ryukyus!$C$239:$D$245)</f>
        <v>0</v>
      </c>
      <c r="W38" s="44">
        <f>SUM(Mie!$C$239:$D$245)</f>
        <v>1</v>
      </c>
      <c r="X38" s="44">
        <f>SUM(Meiji!$C$239:$D$245)</f>
        <v>0</v>
      </c>
      <c r="Y38" s="44">
        <f>SUM(Doshisha!$C$239:$D$245)</f>
        <v>0</v>
      </c>
      <c r="Z38" s="44">
        <f>SUM(Ryukoku!$C$239:$D$245)</f>
        <v>0</v>
      </c>
      <c r="AA38" s="44">
        <f>SUM(Senshu!$C$239:$D$245)</f>
        <v>0</v>
      </c>
      <c r="AB38" s="44">
        <f>SUM(Meijo!$C$239:$D$245)</f>
        <v>1</v>
      </c>
      <c r="AC38" s="44">
        <f>SUM(Chukyo!$C$239:$D$245)</f>
        <v>0</v>
      </c>
      <c r="AD38" s="44">
        <f>SUM('Kyoto Sangyo'!$C$239:$D$245)</f>
        <v>0</v>
      </c>
      <c r="AE38" s="44">
        <f>SUM('Tohoku Gakuin'!$C$239:$D$245)</f>
        <v>0</v>
      </c>
      <c r="AF38" s="44">
        <f>SUM(Chubu!$C$239:$D$245)</f>
        <v>0</v>
      </c>
      <c r="AG38" s="44">
        <f>SUM('Kobe Gakuin'!$C$239:$D$245)</f>
        <v>1</v>
      </c>
      <c r="AH38" s="44">
        <f>SUM(Rissho!$C$239:$D$245)</f>
        <v>0</v>
      </c>
      <c r="AI38" s="44">
        <f>SUM(Aichi!$C$239:$D$245)</f>
        <v>0</v>
      </c>
      <c r="AJ38" s="44">
        <f>SUM('Chiba Tech'!$C$239:$D$245)</f>
        <v>1</v>
      </c>
      <c r="AK38" s="44">
        <f>SUM(Nanzan!$C$239:$D$245)</f>
        <v>0</v>
      </c>
      <c r="AL38" s="44">
        <f>SUM(Konan!$C$239:$D$245)</f>
        <v>0</v>
      </c>
      <c r="AM38" s="44">
        <f>SUM('Aichi Shukutoku'!$C$239:$D$245)</f>
        <v>0</v>
      </c>
      <c r="AN38" s="44">
        <f>SUM(Tokkyo!$C$239:$D$245)</f>
        <v>0</v>
      </c>
      <c r="AO38" s="44">
        <f>SUM('Mukogawa Women'!$C$239:$D$245)</f>
        <v>0</v>
      </c>
      <c r="AP38" s="44">
        <f>SUM('Hokkai-Gakuen'!$C$239:$D$245)</f>
        <v>0</v>
      </c>
      <c r="AQ38" s="44">
        <f>SUM('Shibaura '!$C$239:$D$245)</f>
        <v>0</v>
      </c>
      <c r="AR38" s="44">
        <f>SUM('Osaka Sangyo'!$C$239:$D$245)</f>
        <v>0</v>
      </c>
      <c r="AS38" s="44">
        <f>SUM('Seinan Gakuin'!$C$239:$D$245)</f>
        <v>0</v>
      </c>
      <c r="AT38" s="44">
        <f>SUM(Soka!$C$239:$D$245)</f>
        <v>0</v>
      </c>
    </row>
    <row r="39" spans="3:46" ht="18" customHeight="1">
      <c r="C39" s="57">
        <v>37</v>
      </c>
      <c r="D39" s="57">
        <v>35</v>
      </c>
      <c r="E39" s="57">
        <v>30</v>
      </c>
      <c r="F39" s="56">
        <v>44446</v>
      </c>
      <c r="G39" s="56">
        <v>44452</v>
      </c>
      <c r="I39" s="44">
        <f>SUM(Kyoto!$C$246:$D$252)</f>
        <v>0</v>
      </c>
      <c r="J39" s="44">
        <f>SUM(Kyushu!$C$246:$D$252)</f>
        <v>0</v>
      </c>
      <c r="K39" s="44">
        <f>SUM(Tohoku!$C$246:$D$252)</f>
        <v>0</v>
      </c>
      <c r="L39" s="44">
        <f>SUM(Hokkaio!$C$246:$D$252)</f>
        <v>0</v>
      </c>
      <c r="M39" s="44">
        <f>SUM(Nagoya!$C$246:$D$252)</f>
        <v>0</v>
      </c>
      <c r="N39" s="44">
        <f>SUM(Hiroshima!$C$246:$D$252)</f>
        <v>0</v>
      </c>
      <c r="O39" s="44">
        <f>SUM(Chiba!$C$246:$D$252)</f>
        <v>0</v>
      </c>
      <c r="P39" s="44">
        <f>SUM(Niigata!$C$246:$D$252)</f>
        <v>0</v>
      </c>
      <c r="Q39" s="44">
        <f>SUM(Kanazawa!$C$246:$D$252)</f>
        <v>0</v>
      </c>
      <c r="R39" s="44">
        <f>SUM(Shizuoka!$C$246:$D$252)</f>
        <v>0</v>
      </c>
      <c r="S39" s="44">
        <f>SUM(Kumamoto!$C$246:$D$252)</f>
        <v>0</v>
      </c>
      <c r="T39" s="44">
        <f>SUM('Tokyo Metropolitan'!$C$246:$D$252)</f>
        <v>0</v>
      </c>
      <c r="U39" s="44">
        <f>SUM(Saitama!$C$246:$D$252)</f>
        <v>0</v>
      </c>
      <c r="V39" s="44">
        <f>SUM(Ryukyus!$C$246:$D$252)</f>
        <v>0</v>
      </c>
      <c r="W39" s="44">
        <f>SUM(Mie!$C$246:$D$252)</f>
        <v>0</v>
      </c>
      <c r="X39" s="44">
        <f>SUM(Meiji!$C$246:$D$252)</f>
        <v>1</v>
      </c>
      <c r="Y39" s="44">
        <f>SUM(Doshisha!$C$246:$D$252)</f>
        <v>1</v>
      </c>
      <c r="Z39" s="44">
        <f>SUM(Ryukoku!$C$246:$D$252)</f>
        <v>2</v>
      </c>
      <c r="AA39" s="44">
        <f>SUM(Senshu!$C$246:$D$252)</f>
        <v>0</v>
      </c>
      <c r="AB39" s="44">
        <f>SUM(Meijo!$C$246:$D$252)</f>
        <v>0</v>
      </c>
      <c r="AC39" s="44">
        <f>SUM(Chukyo!$C$246:$D$252)</f>
        <v>0</v>
      </c>
      <c r="AD39" s="44">
        <f>SUM('Kyoto Sangyo'!$C$246:$D$252)</f>
        <v>0</v>
      </c>
      <c r="AE39" s="44">
        <f>SUM('Tohoku Gakuin'!$C$246:$D$252)</f>
        <v>0</v>
      </c>
      <c r="AF39" s="44">
        <f>SUM(Chubu!$C$246:$D$252)</f>
        <v>0</v>
      </c>
      <c r="AG39" s="44">
        <f>SUM('Kobe Gakuin'!$C$246:$D$252)</f>
        <v>0</v>
      </c>
      <c r="AH39" s="44">
        <f>SUM(Rissho!$C$246:$D$252)</f>
        <v>0</v>
      </c>
      <c r="AI39" s="44">
        <f>SUM(Aichi!$C$246:$D$252)</f>
        <v>0</v>
      </c>
      <c r="AJ39" s="44">
        <f>SUM('Chiba Tech'!$C$246:$D$252)</f>
        <v>0</v>
      </c>
      <c r="AK39" s="44">
        <f>SUM(Nanzan!$C$246:$D$252)</f>
        <v>0</v>
      </c>
      <c r="AL39" s="44">
        <f>SUM(Konan!$C$246:$D$252)</f>
        <v>0</v>
      </c>
      <c r="AM39" s="44">
        <f>SUM('Aichi Shukutoku'!$C$246:$D$252)</f>
        <v>0</v>
      </c>
      <c r="AN39" s="44">
        <f>SUM(Tokkyo!$C$246:$D$252)</f>
        <v>0</v>
      </c>
      <c r="AO39" s="44">
        <f>SUM('Mukogawa Women'!$C$246:$D$252)</f>
        <v>1</v>
      </c>
      <c r="AP39" s="44">
        <f>SUM('Hokkai-Gakuen'!$C$246:$D$252)</f>
        <v>0</v>
      </c>
      <c r="AQ39" s="44">
        <f>SUM('Shibaura '!$C$246:$D$252)</f>
        <v>0</v>
      </c>
      <c r="AR39" s="44">
        <f>SUM('Osaka Sangyo'!$C$246:$D$252)</f>
        <v>0</v>
      </c>
      <c r="AS39" s="44">
        <f>SUM('Seinan Gakuin'!$C$246:$D$252)</f>
        <v>0</v>
      </c>
      <c r="AT39" s="44">
        <f>SUM(Soka!$C$246:$D$252)</f>
        <v>1</v>
      </c>
    </row>
    <row r="40" spans="3:46" ht="18" customHeight="1">
      <c r="C40" s="57">
        <v>38</v>
      </c>
      <c r="D40" s="57">
        <v>36</v>
      </c>
      <c r="E40" s="57">
        <v>31</v>
      </c>
      <c r="F40" s="56">
        <v>44453</v>
      </c>
      <c r="G40" s="56">
        <v>44459</v>
      </c>
      <c r="I40" s="44">
        <f>SUM(Kyoto!$C$253:$D$259)</f>
        <v>0</v>
      </c>
      <c r="J40" s="44">
        <f>SUM(Kyushu!$C$253:$D$259)</f>
        <v>0</v>
      </c>
      <c r="K40" s="44">
        <f>SUM(Tohoku!$C$253:$D$259)</f>
        <v>0</v>
      </c>
      <c r="L40" s="44">
        <f>SUM(Hokkaio!$C$253:$D$259)</f>
        <v>0</v>
      </c>
      <c r="M40" s="44">
        <f>SUM(Nagoya!$C$253:$D$259)</f>
        <v>0</v>
      </c>
      <c r="N40" s="44">
        <f>SUM(Hiroshima!$C$253:$D$259)</f>
        <v>0</v>
      </c>
      <c r="O40" s="44">
        <f>SUM(Chiba!$C$253:$D$259)</f>
        <v>0</v>
      </c>
      <c r="P40" s="44">
        <f>SUM(Niigata!$C$253:$D$259)</f>
        <v>0</v>
      </c>
      <c r="Q40" s="44">
        <f>SUM(Kanazawa!$C$253:$D$259)</f>
        <v>0</v>
      </c>
      <c r="R40" s="44">
        <f>SUM(Shizuoka!$C$253:$D$259)</f>
        <v>0</v>
      </c>
      <c r="S40" s="44">
        <f>SUM(Kumamoto!$C$253:$D$259)</f>
        <v>0</v>
      </c>
      <c r="T40" s="44">
        <f>SUM('Tokyo Metropolitan'!$C$253:$D$259)</f>
        <v>0</v>
      </c>
      <c r="U40" s="44">
        <f>SUM(Saitama!$C$253:$D$259)</f>
        <v>0</v>
      </c>
      <c r="V40" s="44">
        <f>SUM(Ryukyus!$C$253:$D$259)</f>
        <v>0</v>
      </c>
      <c r="W40" s="44">
        <f>SUM(Mie!$C$253:$D$259)</f>
        <v>0</v>
      </c>
      <c r="X40" s="44">
        <f>SUM(Meiji!$C$253:$D$259)</f>
        <v>0</v>
      </c>
      <c r="Y40" s="44">
        <f>SUM(Doshisha!$C$253:$D$259)</f>
        <v>0</v>
      </c>
      <c r="Z40" s="44">
        <f>SUM(Ryukoku!$C$253:$D$259)</f>
        <v>0</v>
      </c>
      <c r="AA40" s="44">
        <f>SUM(Senshu!$C$253:$D$259)</f>
        <v>1</v>
      </c>
      <c r="AB40" s="44">
        <f>SUM(Meijo!$C$253:$D$259)</f>
        <v>0</v>
      </c>
      <c r="AC40" s="44">
        <f>SUM(Chukyo!$C$253:$D$259)</f>
        <v>0</v>
      </c>
      <c r="AD40" s="44">
        <f>SUM('Kyoto Sangyo'!$C$253:$D$259)</f>
        <v>0</v>
      </c>
      <c r="AE40" s="44">
        <f>SUM('Tohoku Gakuin'!$C$253:$D$259)</f>
        <v>0</v>
      </c>
      <c r="AF40" s="44">
        <f>SUM(Chubu!$C$253:$D$259)</f>
        <v>1</v>
      </c>
      <c r="AG40" s="44">
        <f>SUM('Kobe Gakuin'!$C$253:$D$259)</f>
        <v>0</v>
      </c>
      <c r="AH40" s="44">
        <f>SUM(Rissho!$C$253:$D$259)</f>
        <v>0</v>
      </c>
      <c r="AI40" s="44">
        <f>SUM(Aichi!$C$253:$D$259)</f>
        <v>0</v>
      </c>
      <c r="AJ40" s="44">
        <f>SUM('Chiba Tech'!$C$253:$D$259)</f>
        <v>0</v>
      </c>
      <c r="AK40" s="44">
        <f>SUM(Nanzan!$C$253:$D$259)</f>
        <v>1</v>
      </c>
      <c r="AL40" s="44">
        <f>SUM(Konan!$C$253:$D$259)</f>
        <v>2</v>
      </c>
      <c r="AM40" s="44">
        <f>SUM('Aichi Shukutoku'!$C$253:$D$259)</f>
        <v>0</v>
      </c>
      <c r="AN40" s="44">
        <f>SUM(Tokkyo!$C$253:$D$259)</f>
        <v>0</v>
      </c>
      <c r="AO40" s="44">
        <f>SUM('Mukogawa Women'!$C$253:$D$259)</f>
        <v>0</v>
      </c>
      <c r="AP40" s="44">
        <f>SUM('Hokkai-Gakuen'!$C$253:$D$259)</f>
        <v>0</v>
      </c>
      <c r="AQ40" s="44">
        <f>SUM('Shibaura '!$C$253:$D$259)</f>
        <v>0</v>
      </c>
      <c r="AR40" s="44">
        <f>SUM('Osaka Sangyo'!$C$253:$D$259)</f>
        <v>0</v>
      </c>
      <c r="AS40" s="44">
        <f>SUM('Seinan Gakuin'!$C$253:$D$259)</f>
        <v>0</v>
      </c>
      <c r="AT40" s="44">
        <f>SUM(Soka!$C$253:$D$259)</f>
        <v>1</v>
      </c>
    </row>
    <row r="41" spans="3:46" ht="18" customHeight="1">
      <c r="C41" s="57">
        <v>39</v>
      </c>
      <c r="D41" s="57">
        <v>37</v>
      </c>
      <c r="E41" s="57">
        <v>32</v>
      </c>
      <c r="F41" s="56">
        <v>44460</v>
      </c>
      <c r="G41" s="56">
        <v>44466</v>
      </c>
      <c r="I41" s="44">
        <f>SUM(Kyoto!$C$260:$D$266)</f>
        <v>0</v>
      </c>
      <c r="J41" s="44">
        <f>SUM(Kyushu!$C$260:$D$266)</f>
        <v>0</v>
      </c>
      <c r="K41" s="44">
        <f>SUM(Tohoku!$C$260:$D$266)</f>
        <v>0</v>
      </c>
      <c r="L41" s="44">
        <f>SUM(Hokkaio!$C$260:$D$266)</f>
        <v>0</v>
      </c>
      <c r="M41" s="44">
        <f>SUM(Nagoya!$C$260:$D$266)</f>
        <v>0</v>
      </c>
      <c r="N41" s="44">
        <f>SUM(Hiroshima!$C$260:$D$266)</f>
        <v>0</v>
      </c>
      <c r="O41" s="44">
        <f>SUM(Chiba!$C$260:$D$266)</f>
        <v>0</v>
      </c>
      <c r="P41" s="44">
        <f>SUM(Niigata!$C$260:$D$266)</f>
        <v>0</v>
      </c>
      <c r="Q41" s="44">
        <f>SUM(Kanazawa!$C$260:$D$266)</f>
        <v>0</v>
      </c>
      <c r="R41" s="44">
        <f>SUM(Shizuoka!$C$260:$D$266)</f>
        <v>0</v>
      </c>
      <c r="S41" s="44">
        <f>SUM(Kumamoto!$C$260:$D$266)</f>
        <v>0</v>
      </c>
      <c r="T41" s="44">
        <f>SUM('Tokyo Metropolitan'!$C$260:$D$266)</f>
        <v>0</v>
      </c>
      <c r="U41" s="44">
        <f>SUM(Saitama!$C$260:$D$266)</f>
        <v>0</v>
      </c>
      <c r="V41" s="44">
        <f>SUM(Ryukyus!$C$260:$D$266)</f>
        <v>0</v>
      </c>
      <c r="W41" s="44">
        <f>SUM(Mie!$C$260:$D$266)</f>
        <v>0</v>
      </c>
      <c r="X41" s="44">
        <f>SUM(Meiji!$C$260:$D$266)</f>
        <v>0</v>
      </c>
      <c r="Y41" s="44">
        <f>SUM(Doshisha!$C$260:$D$266)</f>
        <v>0</v>
      </c>
      <c r="Z41" s="44">
        <f>SUM(Ryukoku!$C$260:$D$266)</f>
        <v>0</v>
      </c>
      <c r="AA41" s="44">
        <f>SUM(Senshu!$C$260:$D$266)</f>
        <v>1</v>
      </c>
      <c r="AB41" s="44">
        <f>SUM(Meijo!$C$260:$D$266)</f>
        <v>0</v>
      </c>
      <c r="AC41" s="44">
        <f>SUM(Chukyo!$C$260:$D$266)</f>
        <v>0</v>
      </c>
      <c r="AD41" s="44">
        <f>SUM('Kyoto Sangyo'!$C$260:$D$266)</f>
        <v>0</v>
      </c>
      <c r="AE41" s="44">
        <f>SUM('Tohoku Gakuin'!$C$260:$D$266)</f>
        <v>0</v>
      </c>
      <c r="AF41" s="44">
        <f>SUM(Chubu!$C$260:$D$266)</f>
        <v>1</v>
      </c>
      <c r="AG41" s="44">
        <f>SUM('Kobe Gakuin'!$C$260:$D$266)</f>
        <v>0</v>
      </c>
      <c r="AH41" s="44">
        <f>SUM(Rissho!$C$260:$D$266)</f>
        <v>0</v>
      </c>
      <c r="AI41" s="44">
        <f>SUM(Aichi!$C$260:$D$266)</f>
        <v>0</v>
      </c>
      <c r="AJ41" s="44">
        <f>SUM('Chiba Tech'!$C$260:$D$266)</f>
        <v>0</v>
      </c>
      <c r="AK41" s="44">
        <f>SUM(Nanzan!$C$260:$D$266)</f>
        <v>0</v>
      </c>
      <c r="AL41" s="44">
        <f>SUM(Konan!$C$260:$D$266)</f>
        <v>0</v>
      </c>
      <c r="AM41" s="44">
        <f>SUM('Aichi Shukutoku'!$C$260:$D$266)</f>
        <v>1</v>
      </c>
      <c r="AN41" s="44">
        <f>SUM(Tokkyo!$C$260:$D$266)</f>
        <v>0</v>
      </c>
      <c r="AO41" s="44">
        <f>SUM('Mukogawa Women'!$C$260:$D$266)</f>
        <v>0</v>
      </c>
      <c r="AP41" s="44">
        <f>SUM('Hokkai-Gakuen'!$C$260:$D$266)</f>
        <v>1</v>
      </c>
      <c r="AQ41" s="44">
        <f>SUM('Shibaura '!$C$260:$D$266)</f>
        <v>1</v>
      </c>
      <c r="AR41" s="44">
        <f>SUM('Osaka Sangyo'!$C$260:$D$266)</f>
        <v>0</v>
      </c>
      <c r="AS41" s="44">
        <f>SUM('Seinan Gakuin'!$C$260:$D$266)</f>
        <v>0</v>
      </c>
      <c r="AT41" s="44">
        <f>SUM(Soka!$C$260:$D$266)</f>
        <v>0</v>
      </c>
    </row>
    <row r="42" spans="3:46" ht="18" customHeight="1">
      <c r="C42" s="57">
        <v>40</v>
      </c>
      <c r="D42" s="57">
        <v>38</v>
      </c>
      <c r="E42" s="57">
        <v>33</v>
      </c>
      <c r="F42" s="56">
        <v>44467</v>
      </c>
      <c r="G42" s="56">
        <v>44473</v>
      </c>
      <c r="I42" s="44">
        <f>SUM(Kyoto!$C$267:$D$273)</f>
        <v>0</v>
      </c>
      <c r="J42" s="44">
        <f>SUM(Kyushu!$C$267:$D$273)</f>
        <v>0</v>
      </c>
      <c r="K42" s="44">
        <f>SUM(Tohoku!$C$267:$D$273)</f>
        <v>0</v>
      </c>
      <c r="L42" s="44">
        <f>SUM(Hokkaio!$C$267:$D$273)</f>
        <v>0</v>
      </c>
      <c r="M42" s="44">
        <f>SUM(Nagoya!$C$267:$D$273)</f>
        <v>0</v>
      </c>
      <c r="N42" s="44">
        <f>SUM(Hiroshima!$C$267:$D$273)</f>
        <v>0</v>
      </c>
      <c r="O42" s="44">
        <f>SUM(Chiba!$C$267:$D$273)</f>
        <v>3</v>
      </c>
      <c r="P42" s="44">
        <f>SUM(Niigata!$C$267:$D$273)</f>
        <v>0</v>
      </c>
      <c r="Q42" s="44">
        <f>SUM(Kanazawa!$C$267:$D$273)</f>
        <v>0</v>
      </c>
      <c r="R42" s="44">
        <f>SUM(Shizuoka!$C$267:$D$273)</f>
        <v>1</v>
      </c>
      <c r="S42" s="44">
        <f>SUM(Kumamoto!$C$267:$D$273)</f>
        <v>0</v>
      </c>
      <c r="T42" s="44">
        <f>SUM('Tokyo Metropolitan'!$C$267:$D$273)</f>
        <v>1</v>
      </c>
      <c r="U42" s="44">
        <f>SUM(Saitama!$C$267:$D$273)</f>
        <v>2</v>
      </c>
      <c r="V42" s="44">
        <f>SUM(Ryukyus!$C$267:$D$273)</f>
        <v>5</v>
      </c>
      <c r="W42" s="44">
        <f>SUM(Mie!$C$267:$D$273)</f>
        <v>0</v>
      </c>
      <c r="X42" s="44">
        <f>SUM(Meiji!$C$267:$D$273)</f>
        <v>0</v>
      </c>
      <c r="Y42" s="44">
        <f>SUM(Doshisha!$C$267:$D$273)</f>
        <v>1</v>
      </c>
      <c r="Z42" s="44">
        <f>SUM(Ryukoku!$C$267:$D$273)</f>
        <v>2</v>
      </c>
      <c r="AA42" s="44">
        <f>SUM(Senshu!$C$267:$D$273)</f>
        <v>1</v>
      </c>
      <c r="AB42" s="44">
        <f>SUM(Meijo!$C$267:$D$273)</f>
        <v>0</v>
      </c>
      <c r="AC42" s="44">
        <f>SUM(Chukyo!$C$267:$D$273)</f>
        <v>0</v>
      </c>
      <c r="AD42" s="44">
        <f>SUM('Kyoto Sangyo'!$C$267:$D$273)</f>
        <v>0</v>
      </c>
      <c r="AE42" s="44">
        <f>SUM('Tohoku Gakuin'!$C$267:$D$273)</f>
        <v>0</v>
      </c>
      <c r="AF42" s="44">
        <f>SUM(Chubu!$C$267:$D$273)</f>
        <v>2</v>
      </c>
      <c r="AG42" s="44">
        <f>SUM('Kobe Gakuin'!$C$267:$D$273)</f>
        <v>6</v>
      </c>
      <c r="AH42" s="44">
        <f>SUM(Rissho!$C$267:$D$273)</f>
        <v>0</v>
      </c>
      <c r="AI42" s="44">
        <f>SUM(Aichi!$C$267:$D$273)</f>
        <v>0</v>
      </c>
      <c r="AJ42" s="44">
        <f>SUM('Chiba Tech'!$C$267:$D$273)</f>
        <v>0</v>
      </c>
      <c r="AK42" s="44">
        <f>SUM(Nanzan!$C$267:$D$273)</f>
        <v>0</v>
      </c>
      <c r="AL42" s="44">
        <f>SUM(Konan!$C$267:$D$273)</f>
        <v>0</v>
      </c>
      <c r="AM42" s="44">
        <f>SUM('Aichi Shukutoku'!$C$267:$D$273)</f>
        <v>0</v>
      </c>
      <c r="AN42" s="44">
        <f>SUM(Tokkyo!$C$267:$D$273)</f>
        <v>0</v>
      </c>
      <c r="AO42" s="44">
        <f>SUM('Mukogawa Women'!$C$267:$D$273)</f>
        <v>0</v>
      </c>
      <c r="AP42" s="44">
        <f>SUM('Hokkai-Gakuen'!$C$267:$D$273)</f>
        <v>2</v>
      </c>
      <c r="AQ42" s="44">
        <f>SUM('Shibaura '!$C$267:$D$273)</f>
        <v>0</v>
      </c>
      <c r="AR42" s="44">
        <f>SUM('Osaka Sangyo'!$C$267:$D$273)</f>
        <v>0</v>
      </c>
      <c r="AS42" s="44">
        <f>SUM('Seinan Gakuin'!$C$267:$D$273)</f>
        <v>0</v>
      </c>
      <c r="AT42" s="44">
        <f>SUM(Soka!$C$267:$D$273)</f>
        <v>0</v>
      </c>
    </row>
    <row r="43" spans="3:46" ht="18" customHeight="1">
      <c r="C43" s="57">
        <v>41</v>
      </c>
      <c r="D43" s="57">
        <v>39</v>
      </c>
      <c r="E43" s="57">
        <v>34</v>
      </c>
      <c r="F43" s="56">
        <v>44474</v>
      </c>
      <c r="G43" s="56">
        <v>44480</v>
      </c>
      <c r="I43" s="44">
        <f>SUM(Kyoto!$C$274:$D$280)</f>
        <v>0</v>
      </c>
      <c r="J43" s="44">
        <f>SUM(Kyushu!$C$274:$D$280)</f>
        <v>0</v>
      </c>
      <c r="K43" s="44">
        <f>SUM(Tohoku!$C$274:$D$280)</f>
        <v>0</v>
      </c>
      <c r="L43" s="44">
        <f>SUM(Hokkaio!$C$274:$D$280)</f>
        <v>3</v>
      </c>
      <c r="M43" s="44">
        <f>SUM(Nagoya!$C$274:$D$280)</f>
        <v>1</v>
      </c>
      <c r="N43" s="44">
        <f>SUM(Hiroshima!$C$274:$D$280)</f>
        <v>0</v>
      </c>
      <c r="O43" s="44">
        <f>SUM(Chiba!$C$274:$D$280)</f>
        <v>0</v>
      </c>
      <c r="P43" s="44">
        <f>SUM(Niigata!$C$274:$D$280)</f>
        <v>0</v>
      </c>
      <c r="Q43" s="44">
        <f>SUM(Kanazawa!$C$274:$D$280)</f>
        <v>0</v>
      </c>
      <c r="R43" s="44">
        <f>SUM(Shizuoka!$C$274:$D$280)</f>
        <v>0</v>
      </c>
      <c r="S43" s="44">
        <f>SUM(Kumamoto!$C$274:$D$280)</f>
        <v>2</v>
      </c>
      <c r="T43" s="44">
        <f>SUM('Tokyo Metropolitan'!$C$274:$D$280)</f>
        <v>0</v>
      </c>
      <c r="U43" s="44">
        <f>SUM(Saitama!$C$274:$D$280)</f>
        <v>0</v>
      </c>
      <c r="V43" s="44">
        <f>SUM(Ryukyus!$C$274:$D$280)</f>
        <v>0</v>
      </c>
      <c r="W43" s="44">
        <f>SUM(Mie!$C$274:$D$280)</f>
        <v>0</v>
      </c>
      <c r="X43" s="44">
        <f>SUM(Meiji!$C$274:$D$280)</f>
        <v>0</v>
      </c>
      <c r="Y43" s="44">
        <f>SUM(Doshisha!$C$274:$D$280)</f>
        <v>3</v>
      </c>
      <c r="Z43" s="44">
        <f>SUM(Ryukoku!$C$274:$D$280)</f>
        <v>0</v>
      </c>
      <c r="AA43" s="44">
        <f>SUM(Senshu!$C$274:$D$280)</f>
        <v>0</v>
      </c>
      <c r="AB43" s="44">
        <f>SUM(Meijo!$C$274:$D$280)</f>
        <v>0</v>
      </c>
      <c r="AC43" s="44">
        <f>SUM(Chukyo!$C$274:$D$280)</f>
        <v>0</v>
      </c>
      <c r="AD43" s="44">
        <f>SUM('Kyoto Sangyo'!$C$274:$D$280)</f>
        <v>0</v>
      </c>
      <c r="AE43" s="44">
        <f>SUM('Tohoku Gakuin'!$C$274:$D$280)</f>
        <v>0</v>
      </c>
      <c r="AF43" s="44">
        <f>SUM(Chubu!$C$274:$D$280)</f>
        <v>0</v>
      </c>
      <c r="AG43" s="44">
        <f>SUM('Kobe Gakuin'!$C$274:$D$280)</f>
        <v>0</v>
      </c>
      <c r="AH43" s="44">
        <f>SUM(Rissho!$C$274:$D$280)</f>
        <v>0</v>
      </c>
      <c r="AI43" s="44">
        <f>SUM(Aichi!$C$274:$D$280)</f>
        <v>0</v>
      </c>
      <c r="AJ43" s="44">
        <f>SUM('Chiba Tech'!$C$274:$D$280)</f>
        <v>0</v>
      </c>
      <c r="AK43" s="44">
        <f>SUM(Nanzan!$C$274:$D$280)</f>
        <v>0</v>
      </c>
      <c r="AL43" s="44">
        <f>SUM(Konan!$C$274:$D$280)</f>
        <v>0</v>
      </c>
      <c r="AM43" s="44">
        <f>SUM('Aichi Shukutoku'!$C$274:$D$280)</f>
        <v>0</v>
      </c>
      <c r="AN43" s="44">
        <f>SUM(Tokkyo!$C$274:$D$280)</f>
        <v>0</v>
      </c>
      <c r="AO43" s="44">
        <f>SUM('Mukogawa Women'!$C$274:$D$280)</f>
        <v>0</v>
      </c>
      <c r="AP43" s="44">
        <f>SUM('Hokkai-Gakuen'!$C$274:$D$280)</f>
        <v>6</v>
      </c>
      <c r="AQ43" s="44">
        <f>SUM('Shibaura '!$C$274:$D$280)</f>
        <v>0</v>
      </c>
      <c r="AR43" s="44">
        <f>SUM('Osaka Sangyo'!$C$274:$D$280)</f>
        <v>0</v>
      </c>
      <c r="AS43" s="44">
        <f>SUM('Seinan Gakuin'!$C$274:$D$280)</f>
        <v>0</v>
      </c>
      <c r="AT43" s="44">
        <f>SUM(Soka!$C$274:$D$280)</f>
        <v>0</v>
      </c>
    </row>
    <row r="44" spans="3:46" ht="18" customHeight="1">
      <c r="C44" s="57">
        <v>42</v>
      </c>
      <c r="D44" s="57">
        <v>40</v>
      </c>
      <c r="E44" s="57">
        <v>35</v>
      </c>
      <c r="F44" s="56">
        <v>44481</v>
      </c>
      <c r="G44" s="56">
        <v>44487</v>
      </c>
      <c r="I44" s="44">
        <f>SUM(Kyoto!$C$281:$D$287)</f>
        <v>0</v>
      </c>
      <c r="J44" s="44">
        <f>SUM(Kyushu!$C$281:$D$287)</f>
        <v>1</v>
      </c>
      <c r="K44" s="44">
        <f>SUM(Tohoku!$C$281:$D$287)</f>
        <v>0</v>
      </c>
      <c r="L44" s="44">
        <f>SUM(Hokkaio!$C$281:$D$287)</f>
        <v>1</v>
      </c>
      <c r="M44" s="44">
        <f>SUM(Nagoya!$C$281:$D$287)</f>
        <v>0</v>
      </c>
      <c r="N44" s="44">
        <f>SUM(Hiroshima!$C$281:$D$287)</f>
        <v>0</v>
      </c>
      <c r="O44" s="44">
        <f>SUM(Chiba!$C$281:$D$287)</f>
        <v>0</v>
      </c>
      <c r="P44" s="44">
        <f>SUM(Niigata!$C$281:$D$287)</f>
        <v>0</v>
      </c>
      <c r="Q44" s="44">
        <f>SUM(Kanazawa!$C$281:$D$287)</f>
        <v>0</v>
      </c>
      <c r="R44" s="44">
        <f>SUM(Shizuoka!$C$281:$D$287)</f>
        <v>0</v>
      </c>
      <c r="S44" s="44">
        <f>SUM(Kumamoto!$C$281:$D$287)</f>
        <v>0</v>
      </c>
      <c r="T44" s="44">
        <f>SUM('Tokyo Metropolitan'!$C$281:$D$287)</f>
        <v>0</v>
      </c>
      <c r="U44" s="44">
        <f>SUM(Saitama!$C$281:$D$287)</f>
        <v>1</v>
      </c>
      <c r="V44" s="44">
        <f>SUM(Ryukyus!$C$281:$D$287)</f>
        <v>0</v>
      </c>
      <c r="W44" s="44">
        <f>SUM(Mie!$C$281:$D$287)</f>
        <v>0</v>
      </c>
      <c r="X44" s="44">
        <f>SUM(Meiji!$C$281:$D$287)</f>
        <v>0</v>
      </c>
      <c r="Y44" s="44">
        <f>SUM(Doshisha!$C$281:$D$287)</f>
        <v>2</v>
      </c>
      <c r="Z44" s="44">
        <f>SUM(Ryukoku!$C$281:$D$287)</f>
        <v>1</v>
      </c>
      <c r="AA44" s="44">
        <f>SUM(Senshu!$C$281:$D$287)</f>
        <v>0</v>
      </c>
      <c r="AB44" s="44">
        <f>SUM(Meijo!$C$281:$D$287)</f>
        <v>0</v>
      </c>
      <c r="AC44" s="44">
        <f>SUM(Chukyo!$C$281:$D$287)</f>
        <v>0</v>
      </c>
      <c r="AD44" s="44">
        <f>SUM('Kyoto Sangyo'!$C$281:$D$287)</f>
        <v>0</v>
      </c>
      <c r="AE44" s="44">
        <f>SUM('Tohoku Gakuin'!$C$281:$D$287)</f>
        <v>0</v>
      </c>
      <c r="AF44" s="44">
        <f>SUM(Chubu!$C$281:$D$287)</f>
        <v>0</v>
      </c>
      <c r="AG44" s="44">
        <f>SUM('Kobe Gakuin'!$C$281:$D$287)</f>
        <v>0</v>
      </c>
      <c r="AH44" s="44">
        <f>SUM(Rissho!$C$281:$D$287)</f>
        <v>1</v>
      </c>
      <c r="AI44" s="44">
        <f>SUM(Aichi!$C$281:$D$287)</f>
        <v>0</v>
      </c>
      <c r="AJ44" s="44">
        <f>SUM('Chiba Tech'!$C$281:$D$287)</f>
        <v>2</v>
      </c>
      <c r="AK44" s="44">
        <f>SUM(Nanzan!$C$281:$D$287)</f>
        <v>0</v>
      </c>
      <c r="AL44" s="44">
        <f>SUM(Konan!$C$281:$D$287)</f>
        <v>0</v>
      </c>
      <c r="AM44" s="44">
        <f>SUM('Aichi Shukutoku'!$C$281:$D$287)</f>
        <v>0</v>
      </c>
      <c r="AN44" s="44">
        <f>SUM(Tokkyo!$C$281:$D$287)</f>
        <v>0</v>
      </c>
      <c r="AO44" s="44">
        <f>SUM('Mukogawa Women'!$C$281:$D$287)</f>
        <v>0</v>
      </c>
      <c r="AP44" s="44">
        <f>SUM('Hokkai-Gakuen'!$C$281:$D$287)</f>
        <v>0</v>
      </c>
      <c r="AQ44" s="44">
        <f>SUM('Shibaura '!$C$281:$D$287)</f>
        <v>0</v>
      </c>
      <c r="AR44" s="44">
        <f>SUM('Osaka Sangyo'!$C$281:$D$287)</f>
        <v>0</v>
      </c>
      <c r="AS44" s="44">
        <f>SUM('Seinan Gakuin'!$C$281:$D$287)</f>
        <v>0</v>
      </c>
      <c r="AT44" s="44">
        <f>SUM(Soka!$C$281:$D$287)</f>
        <v>0</v>
      </c>
    </row>
    <row r="45" spans="3:46" ht="18" customHeight="1">
      <c r="C45" s="57">
        <v>43</v>
      </c>
      <c r="D45" s="57">
        <v>41</v>
      </c>
      <c r="E45" s="57">
        <v>36</v>
      </c>
      <c r="F45" s="56">
        <v>44488</v>
      </c>
      <c r="G45" s="56">
        <v>44494</v>
      </c>
      <c r="I45" s="44">
        <f>SUM(Kyoto!$C$288:$D$294)</f>
        <v>0</v>
      </c>
      <c r="J45" s="44">
        <f>SUM(Kyushu!$C$288:$D$294)</f>
        <v>2</v>
      </c>
      <c r="K45" s="44">
        <f>SUM(Tohoku!$C$288:$D$294)</f>
        <v>0</v>
      </c>
      <c r="L45" s="44">
        <f>SUM(Hokkaio!$C$288:$D$294)</f>
        <v>4</v>
      </c>
      <c r="M45" s="44">
        <f>SUM(Nagoya!$C$288:$D$294)</f>
        <v>0</v>
      </c>
      <c r="N45" s="44">
        <f>SUM(Hiroshima!$C$288:$D$294)</f>
        <v>0</v>
      </c>
      <c r="O45" s="44">
        <f>SUM(Chiba!$C$288:$D$294)</f>
        <v>0</v>
      </c>
      <c r="P45" s="44">
        <f>SUM(Niigata!$C$288:$D$294)</f>
        <v>0</v>
      </c>
      <c r="Q45" s="44">
        <f>SUM(Kanazawa!$C$288:$D$294)</f>
        <v>0</v>
      </c>
      <c r="R45" s="44">
        <f>SUM(Shizuoka!$C$288:$D$294)</f>
        <v>1</v>
      </c>
      <c r="S45" s="44">
        <f>SUM(Kumamoto!$C$288:$D$294)</f>
        <v>0</v>
      </c>
      <c r="T45" s="44">
        <f>SUM('Tokyo Metropolitan'!$C$288:$D$294)</f>
        <v>0</v>
      </c>
      <c r="U45" s="44">
        <f>SUM(Saitama!$C$288:$D$294)</f>
        <v>0</v>
      </c>
      <c r="V45" s="44">
        <f>SUM(Ryukyus!$C$288:$D$294)</f>
        <v>3</v>
      </c>
      <c r="W45" s="44">
        <f>SUM(Mie!$C$288:$D$294)</f>
        <v>0</v>
      </c>
      <c r="X45" s="44">
        <f>SUM(Meiji!$C$288:$D$294)</f>
        <v>0</v>
      </c>
      <c r="Y45" s="44">
        <f>SUM(Doshisha!$C$288:$D$294)</f>
        <v>0</v>
      </c>
      <c r="Z45" s="44">
        <f>SUM(Ryukoku!$C$288:$D$294)</f>
        <v>1</v>
      </c>
      <c r="AA45" s="44">
        <f>SUM(Senshu!$C$288:$D$294)</f>
        <v>0</v>
      </c>
      <c r="AB45" s="44">
        <f>SUM(Meijo!$C$288:$D$294)</f>
        <v>0</v>
      </c>
      <c r="AC45" s="44">
        <f>SUM(Chukyo!$C$288:$D$294)</f>
        <v>0</v>
      </c>
      <c r="AD45" s="44">
        <f>SUM('Kyoto Sangyo'!$C$288:$D$294)</f>
        <v>1</v>
      </c>
      <c r="AE45" s="44">
        <f>SUM('Tohoku Gakuin'!$C$288:$D$294)</f>
        <v>0</v>
      </c>
      <c r="AF45" s="44">
        <f>SUM(Chubu!$C$288:$D$294)</f>
        <v>0</v>
      </c>
      <c r="AG45" s="44">
        <f>SUM('Kobe Gakuin'!$C$288:$D$294)</f>
        <v>1</v>
      </c>
      <c r="AH45" s="44">
        <f>SUM(Rissho!$C$288:$D$294)</f>
        <v>0</v>
      </c>
      <c r="AI45" s="44">
        <f>SUM(Aichi!$C$288:$D$294)</f>
        <v>0</v>
      </c>
      <c r="AJ45" s="44">
        <f>SUM('Chiba Tech'!$C$288:$D$294)</f>
        <v>0</v>
      </c>
      <c r="AK45" s="44">
        <f>SUM(Nanzan!$C$288:$D$294)</f>
        <v>0</v>
      </c>
      <c r="AL45" s="44">
        <f>SUM(Konan!$C$288:$D$294)</f>
        <v>0</v>
      </c>
      <c r="AM45" s="44">
        <f>SUM('Aichi Shukutoku'!$C$288:$D$294)</f>
        <v>0</v>
      </c>
      <c r="AN45" s="44">
        <f>SUM(Tokkyo!$C$288:$D$294)</f>
        <v>0</v>
      </c>
      <c r="AO45" s="44">
        <f>SUM('Mukogawa Women'!$C$288:$D$294)</f>
        <v>2</v>
      </c>
      <c r="AP45" s="44">
        <f>SUM('Hokkai-Gakuen'!$C$288:$D$294)</f>
        <v>3</v>
      </c>
      <c r="AQ45" s="44">
        <f>SUM('Shibaura '!$C$288:$D$294)</f>
        <v>0</v>
      </c>
      <c r="AR45" s="44">
        <f>SUM('Osaka Sangyo'!$C$288:$D$294)</f>
        <v>0</v>
      </c>
      <c r="AS45" s="44">
        <f>SUM('Seinan Gakuin'!$C$288:$D$294)</f>
        <v>0</v>
      </c>
      <c r="AT45" s="44">
        <f>SUM(Soka!$C$288:$D$294)</f>
        <v>1</v>
      </c>
    </row>
    <row r="46" spans="3:46" ht="18" customHeight="1">
      <c r="C46" s="57">
        <v>44</v>
      </c>
      <c r="D46" s="57">
        <v>42</v>
      </c>
      <c r="E46" s="57">
        <v>37</v>
      </c>
      <c r="F46" s="56">
        <v>44495</v>
      </c>
      <c r="G46" s="56">
        <v>44501</v>
      </c>
      <c r="I46" s="44">
        <f>SUM(Kyoto!$C$295:$D$301)</f>
        <v>0</v>
      </c>
      <c r="J46" s="44">
        <f>SUM(Kyushu!$C$295:$D$301)</f>
        <v>1</v>
      </c>
      <c r="K46" s="44">
        <f>SUM(Tohoku!$C$295:$D$301)</f>
        <v>0</v>
      </c>
      <c r="L46" s="44">
        <f>SUM(Hokkaio!$C$295:$D$301)</f>
        <v>0</v>
      </c>
      <c r="M46" s="44">
        <f>SUM(Nagoya!$C$295:$D$301)</f>
        <v>0</v>
      </c>
      <c r="N46" s="44">
        <f>SUM(Hiroshima!$C$295:$D$301)</f>
        <v>0</v>
      </c>
      <c r="O46" s="44">
        <f>SUM(Chiba!$C$295:$D$301)</f>
        <v>1</v>
      </c>
      <c r="P46" s="44">
        <f>SUM(Niigata!$C$295:$D$301)</f>
        <v>0</v>
      </c>
      <c r="Q46" s="44">
        <f>SUM(Kanazawa!$C$295:$D$301)</f>
        <v>0</v>
      </c>
      <c r="R46" s="44">
        <f>SUM(Shizuoka!$C$295:$D$301)</f>
        <v>0</v>
      </c>
      <c r="S46" s="44">
        <f>SUM(Kumamoto!$C$295:$D$301)</f>
        <v>0</v>
      </c>
      <c r="T46" s="44">
        <f>SUM('Tokyo Metropolitan'!$C$295:$D$301)</f>
        <v>0</v>
      </c>
      <c r="U46" s="44">
        <f>SUM(Saitama!$C$295:$D$301)</f>
        <v>0</v>
      </c>
      <c r="V46" s="44">
        <f>SUM(Ryukyus!$C$295:$D$301)</f>
        <v>1</v>
      </c>
      <c r="W46" s="44">
        <f>SUM(Mie!$C$295:$D$301)</f>
        <v>0</v>
      </c>
      <c r="X46" s="44">
        <f>SUM(Meiji!$C$295:$D$301)</f>
        <v>0</v>
      </c>
      <c r="Y46" s="44">
        <f>SUM(Doshisha!$C$295:$D$301)</f>
        <v>2</v>
      </c>
      <c r="Z46" s="44">
        <f>SUM(Ryukoku!$C$295:$D$301)</f>
        <v>2</v>
      </c>
      <c r="AA46" s="44">
        <f>SUM(Senshu!$C$295:$D$301)</f>
        <v>0</v>
      </c>
      <c r="AB46" s="44">
        <f>SUM(Meijo!$C$295:$D$301)</f>
        <v>0</v>
      </c>
      <c r="AC46" s="44">
        <f>SUM(Chukyo!$C$295:$D$301)</f>
        <v>0</v>
      </c>
      <c r="AD46" s="44">
        <f>SUM('Kyoto Sangyo'!$C$295:$D$301)</f>
        <v>0</v>
      </c>
      <c r="AE46" s="44">
        <f>SUM('Tohoku Gakuin'!$C$295:$D$301)</f>
        <v>0</v>
      </c>
      <c r="AF46" s="44">
        <f>SUM(Chubu!$C$295:$D$301)</f>
        <v>0</v>
      </c>
      <c r="AG46" s="44">
        <f>SUM('Kobe Gakuin'!$C$295:$D$301)</f>
        <v>0</v>
      </c>
      <c r="AH46" s="44">
        <f>SUM(Rissho!$C$295:$D$301)</f>
        <v>1</v>
      </c>
      <c r="AI46" s="44">
        <f>SUM(Aichi!$C$295:$D$301)</f>
        <v>0</v>
      </c>
      <c r="AJ46" s="44">
        <f>SUM('Chiba Tech'!$C$295:$D$301)</f>
        <v>1</v>
      </c>
      <c r="AK46" s="44">
        <f>SUM(Nanzan!$C$295:$D$301)</f>
        <v>0</v>
      </c>
      <c r="AL46" s="44">
        <f>SUM(Konan!$C$295:$D$301)</f>
        <v>0</v>
      </c>
      <c r="AM46" s="44">
        <f>SUM('Aichi Shukutoku'!$C$295:$D$301)</f>
        <v>0</v>
      </c>
      <c r="AN46" s="44">
        <f>SUM(Tokkyo!$C$295:$D$301)</f>
        <v>0</v>
      </c>
      <c r="AO46" s="44">
        <f>SUM('Mukogawa Women'!$C$295:$D$301)</f>
        <v>0</v>
      </c>
      <c r="AP46" s="44">
        <f>SUM('Hokkai-Gakuen'!$C$295:$D$301)</f>
        <v>3</v>
      </c>
      <c r="AQ46" s="44">
        <f>SUM('Shibaura '!$C$295:$D$301)</f>
        <v>2</v>
      </c>
      <c r="AR46" s="44">
        <f>SUM('Osaka Sangyo'!$C$295:$D$301)</f>
        <v>0</v>
      </c>
      <c r="AS46" s="44">
        <f>SUM('Seinan Gakuin'!$C$295:$D$301)</f>
        <v>0</v>
      </c>
      <c r="AT46" s="44">
        <f>SUM(Soka!$C$295:$D$301)</f>
        <v>2</v>
      </c>
    </row>
    <row r="47" spans="3:46" ht="18" customHeight="1">
      <c r="C47" s="57">
        <v>45</v>
      </c>
      <c r="D47" s="57">
        <v>43</v>
      </c>
      <c r="E47" s="57">
        <v>38</v>
      </c>
      <c r="F47" s="56">
        <v>44502</v>
      </c>
      <c r="G47" s="56">
        <v>44508</v>
      </c>
      <c r="I47" s="44">
        <f>SUM(Kyoto!$C$302:$D$308)</f>
        <v>0</v>
      </c>
      <c r="J47" s="44">
        <f>SUM(Kyushu!$C$302:$D$308)</f>
        <v>3</v>
      </c>
      <c r="K47" s="44">
        <f>SUM(Tohoku!$C$302:$D$308)</f>
        <v>1</v>
      </c>
      <c r="L47" s="44">
        <f>SUM(Hokkaio!$C$302:$D$308)</f>
        <v>6.5</v>
      </c>
      <c r="M47" s="44">
        <f>SUM(Nagoya!$C$302:$D$308)</f>
        <v>0</v>
      </c>
      <c r="N47" s="44">
        <f>SUM(Hiroshima!$C$302:$D$308)</f>
        <v>0</v>
      </c>
      <c r="O47" s="44">
        <f>SUM(Chiba!$C$302:$D$308)</f>
        <v>1</v>
      </c>
      <c r="P47" s="44">
        <f>SUM(Niigata!$C$302:$D$308)</f>
        <v>0</v>
      </c>
      <c r="Q47" s="44">
        <f>SUM(Kanazawa!$C$302:$D$308)</f>
        <v>0</v>
      </c>
      <c r="R47" s="44">
        <f>SUM(Shizuoka!$C$302:$D$308)</f>
        <v>1</v>
      </c>
      <c r="S47" s="44">
        <f>SUM(Kumamoto!$C$302:$D$308)</f>
        <v>0</v>
      </c>
      <c r="T47" s="44">
        <f>SUM('Tokyo Metropolitan'!$C$302:$D$308)</f>
        <v>1</v>
      </c>
      <c r="U47" s="44">
        <f>SUM(Saitama!$C$302:$D$308)</f>
        <v>0</v>
      </c>
      <c r="V47" s="44">
        <f>SUM(Ryukyus!$C$302:$D$308)</f>
        <v>0</v>
      </c>
      <c r="W47" s="44">
        <f>SUM(Mie!$C$302:$D$308)</f>
        <v>0</v>
      </c>
      <c r="X47" s="44">
        <f>SUM(Meiji!$C$302:$D$308)</f>
        <v>0</v>
      </c>
      <c r="Y47" s="44">
        <f>SUM(Doshisha!$C$302:$D$308)</f>
        <v>7</v>
      </c>
      <c r="Z47" s="44">
        <f>SUM(Ryukoku!$C$302:$D$308)</f>
        <v>1</v>
      </c>
      <c r="AA47" s="44">
        <f>SUM(Senshu!$C$302:$D$308)</f>
        <v>1</v>
      </c>
      <c r="AB47" s="44">
        <f>SUM(Meijo!$C$302:$D$308)</f>
        <v>1</v>
      </c>
      <c r="AC47" s="44">
        <f>SUM(Chukyo!$C$302:$D$308)</f>
        <v>15</v>
      </c>
      <c r="AD47" s="44">
        <f>SUM('Kyoto Sangyo'!$C$302:$D$308)</f>
        <v>0</v>
      </c>
      <c r="AE47" s="44">
        <f>SUM('Tohoku Gakuin'!$C$302:$D$308)</f>
        <v>0</v>
      </c>
      <c r="AF47" s="44">
        <f>SUM(Chubu!$C$302:$D$308)</f>
        <v>2</v>
      </c>
      <c r="AG47" s="44">
        <f>SUM('Kobe Gakuin'!$C$302:$D$308)</f>
        <v>1</v>
      </c>
      <c r="AH47" s="44">
        <f>SUM(Rissho!$C$302:$D$308)</f>
        <v>0</v>
      </c>
      <c r="AI47" s="44">
        <f>SUM(Aichi!$C$302:$D$308)</f>
        <v>0</v>
      </c>
      <c r="AJ47" s="44">
        <f>SUM('Chiba Tech'!$C$302:$D$308)</f>
        <v>0</v>
      </c>
      <c r="AK47" s="44">
        <f>SUM(Nanzan!$C$302:$D$308)</f>
        <v>0</v>
      </c>
      <c r="AL47" s="44">
        <f>SUM(Konan!$C$302:$D$308)</f>
        <v>0</v>
      </c>
      <c r="AM47" s="44">
        <f>SUM('Aichi Shukutoku'!$C$302:$D$308)</f>
        <v>0</v>
      </c>
      <c r="AN47" s="44">
        <f>SUM(Tokkyo!$C$302:$D$308)</f>
        <v>2</v>
      </c>
      <c r="AO47" s="44">
        <f>SUM('Mukogawa Women'!$C$302:$D$308)</f>
        <v>2</v>
      </c>
      <c r="AP47" s="44">
        <f>SUM('Hokkai-Gakuen'!$C$302:$D$308)</f>
        <v>4</v>
      </c>
      <c r="AQ47" s="44">
        <f>SUM('Shibaura '!$C$302:$D$308)</f>
        <v>0</v>
      </c>
      <c r="AR47" s="44">
        <f>SUM('Osaka Sangyo'!$C$302:$D$308)</f>
        <v>0</v>
      </c>
      <c r="AS47" s="44">
        <f>SUM('Seinan Gakuin'!$C$302:$D$308)</f>
        <v>0</v>
      </c>
      <c r="AT47" s="44">
        <f>SUM(Soka!$C$302:$D$308)</f>
        <v>0</v>
      </c>
    </row>
    <row r="48" spans="3:46" ht="18" customHeight="1">
      <c r="C48" s="57">
        <v>46</v>
      </c>
      <c r="D48" s="57">
        <v>44</v>
      </c>
      <c r="E48" s="57">
        <v>39</v>
      </c>
      <c r="F48" s="56">
        <v>44509</v>
      </c>
      <c r="G48" s="56">
        <v>44515</v>
      </c>
      <c r="I48" s="44">
        <f>SUM(Kyoto!$C$309:$D$315)</f>
        <v>0</v>
      </c>
      <c r="J48" s="44">
        <f>SUM(Kyushu!$C$309:$D$315)</f>
        <v>25</v>
      </c>
      <c r="K48" s="44">
        <f>SUM(Tohoku!$C$309:$D$315)</f>
        <v>1</v>
      </c>
      <c r="L48" s="44">
        <f>SUM(Hokkaio!$C$309:$D$315)</f>
        <v>7.5000000000000009</v>
      </c>
      <c r="M48" s="44">
        <f>SUM(Nagoya!$C$309:$D$315)</f>
        <v>1</v>
      </c>
      <c r="N48" s="44">
        <f>SUM(Hiroshima!$C$309:$D$315)</f>
        <v>0</v>
      </c>
      <c r="O48" s="44">
        <f>SUM(Chiba!$C$309:$D$315)</f>
        <v>1</v>
      </c>
      <c r="P48" s="44">
        <f>SUM(Niigata!$C$309:$D$315)</f>
        <v>0</v>
      </c>
      <c r="Q48" s="44">
        <f>SUM(Kanazawa!$C$309:$D$315)</f>
        <v>0</v>
      </c>
      <c r="R48" s="44">
        <f>SUM(Shizuoka!$C$309:$D$315)</f>
        <v>0</v>
      </c>
      <c r="S48" s="44">
        <f>SUM(Kumamoto!$C$309:$D$315)</f>
        <v>0</v>
      </c>
      <c r="T48" s="44">
        <f>SUM('Tokyo Metropolitan'!$C$309:$D$315)</f>
        <v>1</v>
      </c>
      <c r="U48" s="44">
        <f>SUM(Saitama!$C$309:$D$315)</f>
        <v>0</v>
      </c>
      <c r="V48" s="44">
        <f>SUM(Ryukyus!$C$309:$D$315)</f>
        <v>1</v>
      </c>
      <c r="W48" s="44">
        <f>SUM(Mie!$C$309:$D$315)</f>
        <v>0</v>
      </c>
      <c r="X48" s="44">
        <f>SUM(Meiji!$C$309:$D$315)</f>
        <v>0</v>
      </c>
      <c r="Y48" s="44">
        <f>SUM(Doshisha!$C$309:$D$315)</f>
        <v>2</v>
      </c>
      <c r="Z48" s="44">
        <f>SUM(Ryukoku!$C$309:$D$315)</f>
        <v>21</v>
      </c>
      <c r="AA48" s="44">
        <f>SUM(Senshu!$C$309:$D$315)</f>
        <v>2</v>
      </c>
      <c r="AB48" s="44">
        <f>SUM(Meijo!$C$309:$D$315)</f>
        <v>0</v>
      </c>
      <c r="AC48" s="44">
        <f>SUM(Chukyo!$C$309:$D$315)</f>
        <v>4</v>
      </c>
      <c r="AD48" s="44">
        <f>SUM('Kyoto Sangyo'!$C$309:$D$315)</f>
        <v>0</v>
      </c>
      <c r="AE48" s="44">
        <f>SUM('Tohoku Gakuin'!$C$309:$D$315)</f>
        <v>0</v>
      </c>
      <c r="AF48" s="44">
        <f>SUM(Chubu!$C$309:$D$315)</f>
        <v>0</v>
      </c>
      <c r="AG48" s="44">
        <f>SUM('Kobe Gakuin'!$C$309:$D$315)</f>
        <v>2</v>
      </c>
      <c r="AH48" s="44">
        <f>SUM(Rissho!$C$309:$D$315)</f>
        <v>1</v>
      </c>
      <c r="AI48" s="44">
        <f>SUM(Aichi!$C$309:$D$315)</f>
        <v>0</v>
      </c>
      <c r="AJ48" s="44">
        <f>SUM('Chiba Tech'!$C$309:$D$315)</f>
        <v>1</v>
      </c>
      <c r="AK48" s="44">
        <f>SUM(Nanzan!$C$309:$D$315)</f>
        <v>1</v>
      </c>
      <c r="AL48" s="44">
        <f>SUM(Konan!$C$309:$D$315)</f>
        <v>1</v>
      </c>
      <c r="AM48" s="44">
        <f>SUM('Aichi Shukutoku'!$C$309:$D$315)</f>
        <v>0</v>
      </c>
      <c r="AN48" s="44">
        <f>SUM(Tokkyo!$C$309:$D$315)</f>
        <v>0</v>
      </c>
      <c r="AO48" s="44">
        <f>SUM('Mukogawa Women'!$C$309:$D$315)</f>
        <v>26</v>
      </c>
      <c r="AP48" s="44">
        <f>SUM('Hokkai-Gakuen'!$C$309:$D$315)</f>
        <v>5</v>
      </c>
      <c r="AQ48" s="44">
        <f>SUM('Shibaura '!$C$309:$D$315)</f>
        <v>2</v>
      </c>
      <c r="AR48" s="44">
        <f>SUM('Osaka Sangyo'!$C$309:$D$315)</f>
        <v>0</v>
      </c>
      <c r="AS48" s="44">
        <f>SUM('Seinan Gakuin'!$C$309:$D$315)</f>
        <v>0</v>
      </c>
      <c r="AT48" s="44">
        <f>SUM(Soka!$C$309:$D$315)</f>
        <v>0</v>
      </c>
    </row>
    <row r="49" spans="2:46" ht="18" customHeight="1">
      <c r="C49" s="57">
        <v>47</v>
      </c>
      <c r="D49" s="57">
        <v>45</v>
      </c>
      <c r="E49" s="57">
        <v>40</v>
      </c>
      <c r="F49" s="56">
        <v>44516</v>
      </c>
      <c r="G49" s="56">
        <v>44522</v>
      </c>
      <c r="I49" s="44">
        <f>SUM(Kyoto!$C$316:$D$322)</f>
        <v>0</v>
      </c>
      <c r="J49" s="44">
        <f>SUM(Kyushu!$C$316:$D$322)</f>
        <v>6</v>
      </c>
      <c r="K49" s="44">
        <f>SUM(Tohoku!$C$316:$D$322)</f>
        <v>0</v>
      </c>
      <c r="L49" s="44">
        <f>SUM(Hokkaio!$C$316:$D$322)</f>
        <v>4</v>
      </c>
      <c r="M49" s="44">
        <f>SUM(Nagoya!$C$316:$D$322)</f>
        <v>6</v>
      </c>
      <c r="N49" s="44">
        <f>SUM(Hiroshima!$C$316:$D$322)</f>
        <v>0</v>
      </c>
      <c r="O49" s="44">
        <f>SUM(Chiba!$C$316:$D$322)</f>
        <v>1</v>
      </c>
      <c r="P49" s="44">
        <f>SUM(Niigata!$C$316:$D$322)</f>
        <v>0</v>
      </c>
      <c r="Q49" s="44">
        <f>SUM(Kanazawa!$C$316:$D$322)</f>
        <v>1</v>
      </c>
      <c r="R49" s="44">
        <f>SUM(Shizuoka!$C$316:$D$322)</f>
        <v>4</v>
      </c>
      <c r="S49" s="44">
        <f>SUM(Kumamoto!$C$316:$D$322)</f>
        <v>0</v>
      </c>
      <c r="T49" s="44">
        <f>SUM('Tokyo Metropolitan'!$C$316:$D$322)</f>
        <v>1</v>
      </c>
      <c r="U49" s="44">
        <f>SUM(Saitama!$C$316:$D$322)</f>
        <v>0</v>
      </c>
      <c r="V49" s="44">
        <f>SUM(Ryukyus!$C$316:$D$322)</f>
        <v>0</v>
      </c>
      <c r="W49" s="44">
        <f>SUM(Mie!$C$316:$D$322)</f>
        <v>0</v>
      </c>
      <c r="X49" s="44">
        <f>SUM(Meiji!$C$316:$D$322)</f>
        <v>2</v>
      </c>
      <c r="Y49" s="44">
        <f>SUM(Doshisha!$C$316:$D$322)</f>
        <v>1</v>
      </c>
      <c r="Z49" s="44">
        <f>SUM(Ryukoku!$C$316:$D$322)</f>
        <v>3</v>
      </c>
      <c r="AA49" s="44">
        <f>SUM(Senshu!$C$316:$D$322)</f>
        <v>10</v>
      </c>
      <c r="AB49" s="44">
        <f>SUM(Meijo!$C$316:$D$322)</f>
        <v>2</v>
      </c>
      <c r="AC49" s="44">
        <f>SUM(Chukyo!$C$316:$D$322)</f>
        <v>0</v>
      </c>
      <c r="AD49" s="44">
        <f>SUM('Kyoto Sangyo'!$C$316:$D$322)</f>
        <v>4</v>
      </c>
      <c r="AE49" s="44">
        <f>SUM('Tohoku Gakuin'!$C$316:$D$322)</f>
        <v>0</v>
      </c>
      <c r="AF49" s="44">
        <f>SUM(Chubu!$C$316:$D$322)</f>
        <v>0</v>
      </c>
      <c r="AG49" s="44">
        <f>SUM('Kobe Gakuin'!$C$316:$D$322)</f>
        <v>3</v>
      </c>
      <c r="AH49" s="44">
        <f>SUM(Rissho!$C$316:$D$322)</f>
        <v>2</v>
      </c>
      <c r="AI49" s="44">
        <f>SUM(Aichi!$C$316:$D$322)</f>
        <v>0</v>
      </c>
      <c r="AJ49" s="44">
        <f>SUM('Chiba Tech'!$C$316:$D$322)</f>
        <v>0</v>
      </c>
      <c r="AK49" s="44">
        <f>SUM(Nanzan!$C$316:$D$322)</f>
        <v>0</v>
      </c>
      <c r="AL49" s="44">
        <f>SUM(Konan!$C$316:$D$322)</f>
        <v>0</v>
      </c>
      <c r="AM49" s="44">
        <f>SUM('Aichi Shukutoku'!$C$316:$D$322)</f>
        <v>3</v>
      </c>
      <c r="AN49" s="44">
        <f>SUM(Tokkyo!$C$316:$D$322)</f>
        <v>0</v>
      </c>
      <c r="AO49" s="44">
        <f>SUM('Mukogawa Women'!$C$316:$D$322)</f>
        <v>30</v>
      </c>
      <c r="AP49" s="44">
        <f>SUM('Hokkai-Gakuen'!$C$316:$D$322)</f>
        <v>7</v>
      </c>
      <c r="AQ49" s="44">
        <f>SUM('Shibaura '!$C$316:$D$322)</f>
        <v>2</v>
      </c>
      <c r="AR49" s="44">
        <f>SUM('Osaka Sangyo'!$C$316:$D$322)</f>
        <v>0</v>
      </c>
      <c r="AS49" s="44">
        <f>SUM('Seinan Gakuin'!$C$316:$D$322)</f>
        <v>0</v>
      </c>
      <c r="AT49" s="44">
        <f>SUM(Soka!$C$316:$D$322)</f>
        <v>1</v>
      </c>
    </row>
    <row r="50" spans="2:46" ht="18" customHeight="1">
      <c r="C50" s="57">
        <v>48</v>
      </c>
      <c r="D50" s="57">
        <v>46</v>
      </c>
      <c r="E50" s="57">
        <v>41</v>
      </c>
      <c r="F50" s="56">
        <v>44523</v>
      </c>
      <c r="G50" s="56">
        <v>44529</v>
      </c>
      <c r="I50" s="44">
        <f>SUM(Kyoto!$C$323:$D$329)</f>
        <v>0</v>
      </c>
      <c r="J50" s="44">
        <f>SUM(Kyushu!$C$323:$D$329)</f>
        <v>2</v>
      </c>
      <c r="K50" s="44">
        <f>SUM(Tohoku!$C$323:$D$329)</f>
        <v>0</v>
      </c>
      <c r="L50" s="44">
        <f>SUM(Hokkaio!$C$323:$D$329)</f>
        <v>4</v>
      </c>
      <c r="M50" s="44">
        <f>SUM(Nagoya!$C$323:$D$329)</f>
        <v>4</v>
      </c>
      <c r="N50" s="44">
        <f>SUM(Hiroshima!$C$323:$D$329)</f>
        <v>0</v>
      </c>
      <c r="O50" s="44">
        <f>SUM(Chiba!$C$323:$D$329)</f>
        <v>0</v>
      </c>
      <c r="P50" s="44">
        <f>SUM(Niigata!$C$323:$D$329)</f>
        <v>0</v>
      </c>
      <c r="Q50" s="44">
        <f>SUM(Kanazawa!$C$323:$D$329)</f>
        <v>2</v>
      </c>
      <c r="R50" s="44">
        <f>SUM(Shizuoka!$C$323:$D$329)</f>
        <v>1</v>
      </c>
      <c r="S50" s="44">
        <f>SUM(Kumamoto!$C$323:$D$329)</f>
        <v>1</v>
      </c>
      <c r="T50" s="44">
        <f>SUM('Tokyo Metropolitan'!$C$323:$D$329)</f>
        <v>2</v>
      </c>
      <c r="U50" s="44">
        <f>SUM(Saitama!$C$323:$D$329)</f>
        <v>1</v>
      </c>
      <c r="V50" s="44">
        <f>SUM(Ryukyus!$C$323:$D$329)</f>
        <v>0</v>
      </c>
      <c r="W50" s="44">
        <f>SUM(Mie!$C$323:$D$329)</f>
        <v>9</v>
      </c>
      <c r="X50" s="44">
        <f>SUM(Meiji!$C$323:$D$329)</f>
        <v>3</v>
      </c>
      <c r="Y50" s="44">
        <f>SUM(Doshisha!$C$323:$D$329)</f>
        <v>4</v>
      </c>
      <c r="Z50" s="44">
        <f>SUM(Ryukoku!$C$323:$D$329)</f>
        <v>2</v>
      </c>
      <c r="AA50" s="44">
        <f>SUM(Senshu!$C$323:$D$329)</f>
        <v>0</v>
      </c>
      <c r="AB50" s="44">
        <f>SUM(Meijo!$C$323:$D$329)</f>
        <v>4</v>
      </c>
      <c r="AC50" s="44">
        <f>SUM(Chukyo!$C$323:$D$329)</f>
        <v>2</v>
      </c>
      <c r="AD50" s="44">
        <f>SUM('Kyoto Sangyo'!$C$323:$D$329)</f>
        <v>0</v>
      </c>
      <c r="AE50" s="44">
        <f>SUM('Tohoku Gakuin'!$C$323:$D$329)</f>
        <v>0</v>
      </c>
      <c r="AF50" s="44">
        <f>SUM(Chubu!$C$323:$D$329)</f>
        <v>3</v>
      </c>
      <c r="AG50" s="44">
        <f>SUM('Kobe Gakuin'!$C$323:$D$329)</f>
        <v>2</v>
      </c>
      <c r="AH50" s="44">
        <f>SUM(Rissho!$C$323:$D$329)</f>
        <v>2</v>
      </c>
      <c r="AI50" s="44">
        <f>SUM(Aichi!$C$323:$D$329)</f>
        <v>0</v>
      </c>
      <c r="AJ50" s="44">
        <f>SUM('Chiba Tech'!$C$323:$D$329)</f>
        <v>0</v>
      </c>
      <c r="AK50" s="44">
        <f>SUM(Nanzan!$C$323:$D$329)</f>
        <v>1</v>
      </c>
      <c r="AL50" s="44">
        <f>SUM(Konan!$C$323:$D$329)</f>
        <v>2</v>
      </c>
      <c r="AM50" s="44">
        <f>SUM('Aichi Shukutoku'!$C$323:$D$329)</f>
        <v>0</v>
      </c>
      <c r="AN50" s="44">
        <f>SUM(Tokkyo!$C$323:$D$329)</f>
        <v>1</v>
      </c>
      <c r="AO50" s="44">
        <f>SUM('Mukogawa Women'!$C$323:$D$329)</f>
        <v>1</v>
      </c>
      <c r="AP50" s="44">
        <f>SUM('Hokkai-Gakuen'!$C$323:$D$329)</f>
        <v>3</v>
      </c>
      <c r="AQ50" s="44">
        <f>SUM('Shibaura '!$C$323:$D$329)</f>
        <v>0</v>
      </c>
      <c r="AR50" s="44">
        <f>SUM('Osaka Sangyo'!$C$323:$D$329)</f>
        <v>0</v>
      </c>
      <c r="AS50" s="44">
        <f>SUM('Seinan Gakuin'!$C$323:$D$329)</f>
        <v>0</v>
      </c>
      <c r="AT50" s="44">
        <f>SUM(Soka!$C$323:$D$329)</f>
        <v>1</v>
      </c>
    </row>
    <row r="51" spans="2:46" ht="18" customHeight="1">
      <c r="C51" s="57">
        <v>49</v>
      </c>
      <c r="D51" s="57">
        <v>47</v>
      </c>
      <c r="E51" s="57">
        <v>42</v>
      </c>
      <c r="F51" s="56">
        <v>44530</v>
      </c>
      <c r="G51" s="56">
        <v>44536</v>
      </c>
      <c r="I51" s="44">
        <f>SUM(Kyoto!$C$330:$D$336)</f>
        <v>0</v>
      </c>
      <c r="J51" s="44">
        <f>SUM(Kyushu!$C$330:$D$336)</f>
        <v>5</v>
      </c>
      <c r="K51" s="44">
        <f>SUM(Tohoku!$C$330:$D$336)</f>
        <v>0</v>
      </c>
      <c r="L51" s="44">
        <f>SUM(Hokkaio!$C$330:$D$336)</f>
        <v>0</v>
      </c>
      <c r="M51" s="44">
        <f>SUM(Nagoya!$C$330:$D$336)</f>
        <v>1</v>
      </c>
      <c r="N51" s="44">
        <f>SUM(Hiroshima!$C$330:$D$336)</f>
        <v>4</v>
      </c>
      <c r="O51" s="44">
        <f>SUM(Chiba!$C$330:$D$336)</f>
        <v>1</v>
      </c>
      <c r="P51" s="44">
        <f>SUM(Niigata!$C$330:$D$336)</f>
        <v>0</v>
      </c>
      <c r="Q51" s="44">
        <f>SUM(Kanazawa!$C$330:$D$336)</f>
        <v>0</v>
      </c>
      <c r="R51" s="44">
        <f>SUM(Shizuoka!$C$330:$D$336)</f>
        <v>3</v>
      </c>
      <c r="S51" s="44">
        <f>SUM(Kumamoto!$C$330:$D$336)</f>
        <v>4.5</v>
      </c>
      <c r="T51" s="44">
        <f>SUM('Tokyo Metropolitan'!$C$330:$D$336)</f>
        <v>1</v>
      </c>
      <c r="U51" s="44">
        <f>SUM(Saitama!$C$330:$D$336)</f>
        <v>0</v>
      </c>
      <c r="V51" s="44">
        <f>SUM(Ryukyus!$C$330:$D$336)</f>
        <v>0</v>
      </c>
      <c r="W51" s="44">
        <f>SUM(Mie!$C$330:$D$336)</f>
        <v>0</v>
      </c>
      <c r="X51" s="44">
        <f>SUM(Meiji!$C$330:$D$336)</f>
        <v>3</v>
      </c>
      <c r="Y51" s="44">
        <f>SUM(Doshisha!$C$330:$D$336)</f>
        <v>2</v>
      </c>
      <c r="Z51" s="44">
        <f>SUM(Ryukoku!$C$330:$D$336)</f>
        <v>2</v>
      </c>
      <c r="AA51" s="44">
        <f>SUM(Senshu!$C$330:$D$336)</f>
        <v>3</v>
      </c>
      <c r="AB51" s="44">
        <f>SUM(Meijo!$C$330:$D$336)</f>
        <v>3</v>
      </c>
      <c r="AC51" s="44">
        <f>SUM(Chukyo!$C$330:$D$336)</f>
        <v>3</v>
      </c>
      <c r="AD51" s="44">
        <f>SUM('Kyoto Sangyo'!$C$330:$D$336)</f>
        <v>0</v>
      </c>
      <c r="AE51" s="44">
        <f>SUM('Tohoku Gakuin'!$C$330:$D$336)</f>
        <v>0</v>
      </c>
      <c r="AF51" s="44">
        <f>SUM(Chubu!$C$330:$D$336)</f>
        <v>13</v>
      </c>
      <c r="AG51" s="44">
        <f>SUM('Kobe Gakuin'!$C$330:$D$336)</f>
        <v>2</v>
      </c>
      <c r="AH51" s="44">
        <f>SUM(Rissho!$C$330:$D$336)</f>
        <v>1</v>
      </c>
      <c r="AI51" s="44">
        <f>SUM(Aichi!$C$330:$D$336)</f>
        <v>0</v>
      </c>
      <c r="AJ51" s="44">
        <f>SUM('Chiba Tech'!$C$330:$D$336)</f>
        <v>2</v>
      </c>
      <c r="AK51" s="44">
        <f>SUM(Nanzan!$C$330:$D$336)</f>
        <v>1</v>
      </c>
      <c r="AL51" s="44">
        <f>SUM(Konan!$C$330:$D$336)</f>
        <v>0</v>
      </c>
      <c r="AM51" s="44">
        <f>SUM('Aichi Shukutoku'!$C$330:$D$336)</f>
        <v>9</v>
      </c>
      <c r="AN51" s="44">
        <f>SUM(Tokkyo!$C$330:$D$336)</f>
        <v>1</v>
      </c>
      <c r="AO51" s="44">
        <f>SUM('Mukogawa Women'!$C$330:$D$336)</f>
        <v>2</v>
      </c>
      <c r="AP51" s="44">
        <f>SUM('Hokkai-Gakuen'!$C$330:$D$336)</f>
        <v>1</v>
      </c>
      <c r="AQ51" s="44">
        <f>SUM('Shibaura '!$C$330:$D$336)</f>
        <v>0</v>
      </c>
      <c r="AR51" s="44">
        <f>SUM('Osaka Sangyo'!$C$330:$D$336)</f>
        <v>0</v>
      </c>
      <c r="AS51" s="44">
        <f>SUM('Seinan Gakuin'!$C$330:$D$336)</f>
        <v>0</v>
      </c>
      <c r="AT51" s="44">
        <f>SUM(Soka!$C$330:$D$336)</f>
        <v>3</v>
      </c>
    </row>
    <row r="52" spans="2:46" ht="18" customHeight="1">
      <c r="C52" s="57">
        <v>50</v>
      </c>
      <c r="D52" s="57">
        <v>48</v>
      </c>
      <c r="E52" s="57">
        <v>43</v>
      </c>
      <c r="F52" s="56">
        <v>44537</v>
      </c>
      <c r="G52" s="56">
        <v>44543</v>
      </c>
      <c r="I52" s="44">
        <f>SUM(Kyoto!$C$337:$D$343)</f>
        <v>0</v>
      </c>
      <c r="J52" s="44">
        <f>SUM(Kyushu!$C$337:$D$343)</f>
        <v>7</v>
      </c>
      <c r="K52" s="44">
        <f>SUM(Tohoku!$C$337:$D$343)</f>
        <v>0</v>
      </c>
      <c r="L52" s="44">
        <f>SUM(Hokkaio!$C$337:$D$343)</f>
        <v>2</v>
      </c>
      <c r="M52" s="44">
        <f>SUM(Nagoya!$C$337:$D$343)</f>
        <v>6</v>
      </c>
      <c r="N52" s="44">
        <f>SUM(Hiroshima!$C$337:$D$343)</f>
        <v>0</v>
      </c>
      <c r="O52" s="44">
        <f>SUM(Chiba!$C$337:$D$343)</f>
        <v>0</v>
      </c>
      <c r="P52" s="44">
        <f>SUM(Niigata!$C$337:$D$343)</f>
        <v>0</v>
      </c>
      <c r="Q52" s="44">
        <f>SUM(Kanazawa!$C$337:$D$343)</f>
        <v>0</v>
      </c>
      <c r="R52" s="44">
        <f>SUM(Shizuoka!$C$337:$D$343)</f>
        <v>0</v>
      </c>
      <c r="S52" s="44">
        <f>SUM(Kumamoto!$C$337:$D$343)</f>
        <v>9.6428571428571441</v>
      </c>
      <c r="T52" s="44">
        <f>SUM('Tokyo Metropolitan'!$C$337:$D$343)</f>
        <v>1</v>
      </c>
      <c r="U52" s="44">
        <f>SUM(Saitama!$C$337:$D$343)</f>
        <v>0</v>
      </c>
      <c r="V52" s="44">
        <f>SUM(Ryukyus!$C$337:$D$343)</f>
        <v>2</v>
      </c>
      <c r="W52" s="44">
        <f>SUM(Mie!$C$337:$D$343)</f>
        <v>0</v>
      </c>
      <c r="X52" s="44">
        <f>SUM(Meiji!$C$337:$D$343)</f>
        <v>1</v>
      </c>
      <c r="Y52" s="44">
        <f>SUM(Doshisha!$C$337:$D$343)</f>
        <v>31</v>
      </c>
      <c r="Z52" s="44">
        <f>SUM(Ryukoku!$C$337:$D$343)</f>
        <v>8</v>
      </c>
      <c r="AA52" s="44">
        <f>SUM(Senshu!$C$337:$D$343)</f>
        <v>1</v>
      </c>
      <c r="AB52" s="44">
        <f>SUM(Meijo!$C$337:$D$343)</f>
        <v>2</v>
      </c>
      <c r="AC52" s="44">
        <f>SUM(Chukyo!$C$337:$D$343)</f>
        <v>7</v>
      </c>
      <c r="AD52" s="44">
        <f>SUM('Kyoto Sangyo'!$C$337:$D$343)</f>
        <v>0</v>
      </c>
      <c r="AE52" s="44">
        <f>SUM('Tohoku Gakuin'!$C$337:$D$343)</f>
        <v>1</v>
      </c>
      <c r="AF52" s="44">
        <f>SUM(Chubu!$C$337:$D$343)</f>
        <v>4</v>
      </c>
      <c r="AG52" s="44">
        <f>SUM('Kobe Gakuin'!$C$337:$D$343)</f>
        <v>1</v>
      </c>
      <c r="AH52" s="44">
        <f>SUM(Rissho!$C$337:$D$343)</f>
        <v>3</v>
      </c>
      <c r="AI52" s="44">
        <f>SUM(Aichi!$C$337:$D$343)</f>
        <v>0</v>
      </c>
      <c r="AJ52" s="44">
        <f>SUM('Chiba Tech'!$C$337:$D$343)</f>
        <v>0</v>
      </c>
      <c r="AK52" s="44">
        <f>SUM(Nanzan!$C$337:$D$343)</f>
        <v>3</v>
      </c>
      <c r="AL52" s="44">
        <f>SUM(Konan!$C$337:$D$343)</f>
        <v>2</v>
      </c>
      <c r="AM52" s="44">
        <f>SUM('Aichi Shukutoku'!$C$337:$D$343)</f>
        <v>4</v>
      </c>
      <c r="AN52" s="44">
        <f>SUM(Tokkyo!$C$337:$D$343)</f>
        <v>2</v>
      </c>
      <c r="AO52" s="44">
        <f>SUM('Mukogawa Women'!$C$337:$D$343)</f>
        <v>1</v>
      </c>
      <c r="AP52" s="44">
        <f>SUM('Hokkai-Gakuen'!$C$337:$D$343)</f>
        <v>1</v>
      </c>
      <c r="AQ52" s="44">
        <f>SUM('Shibaura '!$C$337:$D$343)</f>
        <v>0</v>
      </c>
      <c r="AR52" s="44">
        <f>SUM('Osaka Sangyo'!$C$337:$D$343)</f>
        <v>0</v>
      </c>
      <c r="AS52" s="44">
        <f>SUM('Seinan Gakuin'!$C$337:$D$343)</f>
        <v>0</v>
      </c>
      <c r="AT52" s="44">
        <f>SUM(Soka!$C$337:$D$343)</f>
        <v>5</v>
      </c>
    </row>
    <row r="53" spans="2:46" ht="18" customHeight="1">
      <c r="C53" s="57">
        <v>51</v>
      </c>
      <c r="D53" s="57">
        <v>49</v>
      </c>
      <c r="E53" s="57">
        <v>44</v>
      </c>
      <c r="F53" s="56">
        <v>44544</v>
      </c>
      <c r="G53" s="56">
        <v>44550</v>
      </c>
      <c r="I53" s="58">
        <f>SUM(Kyoto!$C$344:$D$350)</f>
        <v>1</v>
      </c>
      <c r="J53" s="58">
        <f>SUM(Kyushu!$C$344:$D$350)</f>
        <v>0</v>
      </c>
      <c r="K53" s="58">
        <f>SUM(Tohoku!$C$344:$D$350)</f>
        <v>0</v>
      </c>
      <c r="L53" s="58">
        <f>SUM(Hokkaio!$C$344:$D$350)</f>
        <v>0</v>
      </c>
      <c r="M53" s="58">
        <f>SUM(Nagoya!$C$344:$D$350)</f>
        <v>5</v>
      </c>
      <c r="N53" s="44">
        <f>SUM(Hiroshima!$C$344:$D$350)</f>
        <v>0</v>
      </c>
      <c r="O53" s="44">
        <f>SUM(Chiba!$C$344:$D$350)</f>
        <v>1</v>
      </c>
      <c r="P53" s="44">
        <f>SUM(Niigata!$C$344:$D$350)</f>
        <v>0</v>
      </c>
      <c r="Q53" s="58">
        <f>SUM(Kanazawa!$C$344:$D$350)</f>
        <v>0</v>
      </c>
      <c r="R53" s="58">
        <f>SUM(Shizuoka!$C$344:$D$350)</f>
        <v>0</v>
      </c>
      <c r="S53" s="44">
        <f>SUM(Kumamoto!$C$344:$D$350)</f>
        <v>7.8571428571428577</v>
      </c>
      <c r="T53" s="58">
        <f>SUM('Tokyo Metropolitan'!$C$344:$D$350)</f>
        <v>1</v>
      </c>
      <c r="U53" s="44">
        <f>SUM(Saitama!$C$344:$D$350)</f>
        <v>1</v>
      </c>
      <c r="V53" s="44">
        <f>SUM(Ryukyus!$C$344:$D$350)</f>
        <v>0</v>
      </c>
      <c r="W53" s="58">
        <f>SUM(Mie!$C$344:$D$350)</f>
        <v>1</v>
      </c>
      <c r="X53" s="58">
        <f>SUM(Meiji!$C$344:$D$350)</f>
        <v>2</v>
      </c>
      <c r="Y53" s="58">
        <f>SUM(Doshisha!$C$344:$D$350)</f>
        <v>23</v>
      </c>
      <c r="Z53" s="58">
        <f>SUM(Ryukoku!$C$344:$D$350)</f>
        <v>4</v>
      </c>
      <c r="AA53" s="58">
        <f>SUM(Senshu!$C$344:$D$350)</f>
        <v>8</v>
      </c>
      <c r="AB53" s="58">
        <f>SUM(Meijo!$C$344:$D$350)</f>
        <v>2</v>
      </c>
      <c r="AC53" s="58">
        <f>SUM(Chukyo!$C$344:$D$350)</f>
        <v>2</v>
      </c>
      <c r="AD53" s="58">
        <f>SUM('Kyoto Sangyo'!$C$344:$D$350)</f>
        <v>2</v>
      </c>
      <c r="AE53" s="58">
        <f>SUM('Tohoku Gakuin'!$C$344:$D$350)</f>
        <v>1</v>
      </c>
      <c r="AF53" s="58">
        <f>SUM(Chubu!$C$344:$D$350)</f>
        <v>4</v>
      </c>
      <c r="AG53" s="58">
        <f>SUM('Kobe Gakuin'!$C$344:$D$350)</f>
        <v>2</v>
      </c>
      <c r="AH53" s="58">
        <f>SUM(Rissho!$C$344:$D$350)</f>
        <v>3</v>
      </c>
      <c r="AI53" s="58">
        <f>SUM(Aichi!$C$344:$D$350)</f>
        <v>0</v>
      </c>
      <c r="AJ53" s="58">
        <f>SUM('Chiba Tech'!$C$344:$D$350)</f>
        <v>3</v>
      </c>
      <c r="AK53" s="58">
        <f>SUM(Nanzan!$C$344:$D$350)</f>
        <v>1</v>
      </c>
      <c r="AL53" s="58">
        <f>SUM(Konan!$C$344:$D$350)</f>
        <v>2</v>
      </c>
      <c r="AM53" s="58">
        <f>SUM('Aichi Shukutoku'!$C$344:$D$350)</f>
        <v>4</v>
      </c>
      <c r="AN53" s="58">
        <f>SUM(Tokkyo!$C$344:$D$350)</f>
        <v>1</v>
      </c>
      <c r="AO53" s="58">
        <f>SUM('Mukogawa Women'!$C$344:$D$350)</f>
        <v>2</v>
      </c>
      <c r="AP53" s="58">
        <f>SUM('Hokkai-Gakuen'!$C$344:$D$350)</f>
        <v>3</v>
      </c>
      <c r="AQ53" s="58">
        <f>SUM('Shibaura '!$C$344:$D$350)</f>
        <v>3</v>
      </c>
      <c r="AR53" s="58">
        <f>SUM('Osaka Sangyo'!$C$344:$D$350)</f>
        <v>0</v>
      </c>
      <c r="AS53" s="58">
        <f>SUM('Seinan Gakuin'!$C$344:$D$350)</f>
        <v>0</v>
      </c>
      <c r="AT53" s="58">
        <f>SUM(Soka!$C$344:$D$350)</f>
        <v>1</v>
      </c>
    </row>
    <row r="54" spans="2:46" ht="18" customHeight="1">
      <c r="C54" s="57">
        <v>52</v>
      </c>
      <c r="D54" s="57">
        <v>50</v>
      </c>
      <c r="E54" s="57">
        <v>45</v>
      </c>
      <c r="F54" s="56">
        <v>44551</v>
      </c>
      <c r="G54" s="56">
        <v>44557</v>
      </c>
      <c r="I54" s="44">
        <f>SUM(Kyoto!$C$351:$D$357)</f>
        <v>4</v>
      </c>
      <c r="J54" s="44">
        <f>SUM(Kyushu!$C$351:$D$357)</f>
        <v>3</v>
      </c>
      <c r="K54" s="44">
        <f>SUM(Tohoku!$C$351:$D$357)</f>
        <v>4</v>
      </c>
      <c r="L54" s="44">
        <f>SUM(Hokkaio!$C$351:$D$357)</f>
        <v>2</v>
      </c>
      <c r="M54" s="44">
        <f>SUM(Nagoya!$C$351:$D$357)</f>
        <v>6</v>
      </c>
      <c r="N54" s="44">
        <f>SUM(Hiroshima!$C$351:$D$357)</f>
        <v>0</v>
      </c>
      <c r="O54" s="44">
        <f>SUM(Chiba!$C$351:$D$357)</f>
        <v>7</v>
      </c>
      <c r="P54" s="44">
        <f>SUM(Niigata!$C$351:$D$357)</f>
        <v>0</v>
      </c>
      <c r="Q54" s="44">
        <f>SUM(Kanazawa!$C$351:$D$357)</f>
        <v>2</v>
      </c>
      <c r="R54" s="44">
        <f>SUM(Shizuoka!$C$351:$D$357)</f>
        <v>1</v>
      </c>
      <c r="S54" s="44">
        <f>SUM(Kumamoto!$C$351:$D$357)</f>
        <v>5</v>
      </c>
      <c r="T54" s="44">
        <f>SUM('Tokyo Metropolitan'!$C$351:$D$357)</f>
        <v>1</v>
      </c>
      <c r="U54" s="44">
        <f>SUM(Saitama!$C$351:$D$357)</f>
        <v>4</v>
      </c>
      <c r="V54" s="44">
        <f>SUM(Ryukyus!$C$351:$D$357)</f>
        <v>0</v>
      </c>
      <c r="W54" s="44">
        <f>SUM(Mie!$C$351:$D$357)</f>
        <v>11</v>
      </c>
      <c r="X54" s="44">
        <f>SUM(Meiji!$C$351:$D$357)</f>
        <v>5</v>
      </c>
      <c r="Y54" s="44">
        <f>SUM(Doshisha!$C$351:$D$357)</f>
        <v>2</v>
      </c>
      <c r="Z54" s="44">
        <f>SUM(Ryukoku!$C$351:$D$357)</f>
        <v>0</v>
      </c>
      <c r="AA54" s="44">
        <f>SUM(Senshu!$C$351:$D$357)</f>
        <v>2</v>
      </c>
      <c r="AB54" s="44">
        <f>SUM(Meijo!$C$351:$D$357)</f>
        <v>6.454545454545455</v>
      </c>
      <c r="AC54" s="44">
        <f>SUM(Chukyo!$C$351:$D$357)</f>
        <v>3</v>
      </c>
      <c r="AD54" s="44">
        <f>SUM('Kyoto Sangyo'!$C$351:$D$357)</f>
        <v>0</v>
      </c>
      <c r="AE54" s="44">
        <f>SUM('Tohoku Gakuin'!$C$351:$D$357)</f>
        <v>0</v>
      </c>
      <c r="AF54" s="44">
        <f>SUM(Chubu!$C$351:$D$357)</f>
        <v>1</v>
      </c>
      <c r="AG54" s="44">
        <f>SUM('Kobe Gakuin'!$C$351:$D$357)</f>
        <v>1</v>
      </c>
      <c r="AH54" s="44">
        <f>SUM(Rissho!$C$351:$D$357)</f>
        <v>1</v>
      </c>
      <c r="AI54" s="44">
        <f>SUM(Aichi!$C$351:$D$357)</f>
        <v>0</v>
      </c>
      <c r="AJ54" s="44">
        <f>SUM('Chiba Tech'!$C$351:$D$357)</f>
        <v>1</v>
      </c>
      <c r="AK54" s="44">
        <f>SUM(Nanzan!$C$351:$D$357)</f>
        <v>1</v>
      </c>
      <c r="AL54" s="44">
        <f>SUM(Konan!$C$351:$D$357)</f>
        <v>1</v>
      </c>
      <c r="AM54" s="44">
        <f>SUM('Aichi Shukutoku'!$C$351:$D$357)</f>
        <v>2</v>
      </c>
      <c r="AN54" s="44">
        <f>SUM(Tokkyo!$C$351:$D$357)</f>
        <v>2</v>
      </c>
      <c r="AO54" s="44">
        <f>SUM('Mukogawa Women'!$C$351:$D$357)</f>
        <v>1</v>
      </c>
      <c r="AP54" s="44">
        <f>SUM('Hokkai-Gakuen'!$C$351:$D$357)</f>
        <v>1</v>
      </c>
      <c r="AQ54" s="44">
        <f>SUM('Shibaura '!$C$351:$D$357)</f>
        <v>1</v>
      </c>
      <c r="AR54" s="44">
        <f>SUM('Osaka Sangyo'!$C$351:$D$357)</f>
        <v>0</v>
      </c>
      <c r="AS54" s="44">
        <f>SUM('Seinan Gakuin'!$C$351:$D$357)</f>
        <v>0</v>
      </c>
      <c r="AT54" s="44">
        <f>SUM(Soka!$C$351:$D$357)</f>
        <v>0</v>
      </c>
    </row>
    <row r="55" spans="2:46" ht="18" customHeight="1">
      <c r="C55" s="59" t="s">
        <v>80</v>
      </c>
      <c r="D55" s="57">
        <v>51</v>
      </c>
      <c r="E55" s="57">
        <v>46</v>
      </c>
      <c r="F55" s="56">
        <v>44558</v>
      </c>
      <c r="G55" s="56">
        <v>44199</v>
      </c>
      <c r="I55" s="44">
        <f>SUM(Kyoto!$C$358:$D$364)</f>
        <v>5</v>
      </c>
      <c r="J55" s="44">
        <f>SUM(Kyushu!$C$358:$D$364)</f>
        <v>3</v>
      </c>
      <c r="K55" s="44">
        <f>SUM(Tohoku!$C$358:$D$364)</f>
        <v>1</v>
      </c>
      <c r="L55" s="44">
        <f>SUM(Hokkaio!$C$358:$D$364)</f>
        <v>0</v>
      </c>
      <c r="M55" s="44">
        <f>SUM(Nagoya!$C$358:$D$364)</f>
        <v>2</v>
      </c>
      <c r="N55" s="44">
        <f>SUM(Hiroshima!$C$358:$D$364)</f>
        <v>1</v>
      </c>
      <c r="O55" s="44">
        <f>SUM(Chiba!$C$358:$D$364)</f>
        <v>4.9999999999999991</v>
      </c>
      <c r="P55" s="44">
        <f>SUM(Niigata!$C$358:$D$364)</f>
        <v>0</v>
      </c>
      <c r="Q55" s="44">
        <f>SUM(Kanazawa!$C$358:$D$364)</f>
        <v>1</v>
      </c>
      <c r="R55" s="44">
        <f>SUM(Shizuoka!$C$358:$D$364)</f>
        <v>0</v>
      </c>
      <c r="S55" s="44">
        <f>SUM(Kumamoto!$C$358:$D$364)</f>
        <v>0</v>
      </c>
      <c r="T55" s="44">
        <f>SUM('Tokyo Metropolitan'!$C$358:$D$364)</f>
        <v>2</v>
      </c>
      <c r="U55" s="44">
        <f>SUM(Saitama!$C$358:$D$364)</f>
        <v>6</v>
      </c>
      <c r="V55" s="44">
        <f>SUM(Ryukyus!$C$358:$D$364)</f>
        <v>0</v>
      </c>
      <c r="W55" s="44">
        <f>SUM(Mie!$C$358:$D$364)</f>
        <v>14</v>
      </c>
      <c r="X55" s="44">
        <f>SUM(Meiji!$C$358:$D$364)</f>
        <v>1</v>
      </c>
      <c r="Y55" s="44">
        <f>SUM(Doshisha!$C$358:$D$364)</f>
        <v>3</v>
      </c>
      <c r="Z55" s="44">
        <f>SUM(Ryukoku!$C$358:$D$364)</f>
        <v>0</v>
      </c>
      <c r="AA55" s="44">
        <f>SUM(Senshu!$C$358:$D$364)</f>
        <v>3</v>
      </c>
      <c r="AB55" s="44">
        <f>SUM(Meijo!$C$358:$D$364)</f>
        <v>5.7272727272727275</v>
      </c>
      <c r="AC55" s="44">
        <f>SUM(Chukyo!$C$358:$D$364)</f>
        <v>3.5</v>
      </c>
      <c r="AD55" s="44">
        <f>SUM('Kyoto Sangyo'!$C$358:$D$364)</f>
        <v>0</v>
      </c>
      <c r="AE55" s="44">
        <f>SUM('Tohoku Gakuin'!$C$358:$D$364)</f>
        <v>1</v>
      </c>
      <c r="AF55" s="44">
        <f>SUM(Chubu!$C$358:$D$364)</f>
        <v>0</v>
      </c>
      <c r="AG55" s="44">
        <f>SUM('Kobe Gakuin'!$C$358:$D$364)</f>
        <v>2</v>
      </c>
      <c r="AH55" s="44">
        <f>SUM(Rissho!$C$358:$D$364)</f>
        <v>0</v>
      </c>
      <c r="AI55" s="44">
        <f>SUM(Aichi!$C$358:$D$364)</f>
        <v>0</v>
      </c>
      <c r="AJ55" s="44">
        <f>SUM('Chiba Tech'!$C$358:$D$364)</f>
        <v>1</v>
      </c>
      <c r="AK55" s="44">
        <f>SUM(Nanzan!$C$358:$D$364)</f>
        <v>0</v>
      </c>
      <c r="AL55" s="44">
        <f>SUM(Konan!$C$358:$D$364)</f>
        <v>0</v>
      </c>
      <c r="AM55" s="44">
        <f>SUM('Aichi Shukutoku'!$C$358:$D$364)</f>
        <v>3</v>
      </c>
      <c r="AN55" s="44">
        <f>SUM(Tokkyo!$C$358:$D$364)</f>
        <v>1</v>
      </c>
      <c r="AO55" s="44">
        <f>SUM('Mukogawa Women'!$C$358:$D$364)</f>
        <v>3</v>
      </c>
      <c r="AP55" s="44">
        <f>SUM('Hokkai-Gakuen'!$C$358:$D$364)</f>
        <v>1</v>
      </c>
      <c r="AQ55" s="44">
        <f>SUM('Shibaura '!$C$358:$D$364)</f>
        <v>2</v>
      </c>
      <c r="AR55" s="44">
        <f>SUM('Osaka Sangyo'!$C$358:$D$364)</f>
        <v>0</v>
      </c>
      <c r="AS55" s="44">
        <f>SUM('Seinan Gakuin'!$C$358:$D$364)</f>
        <v>0</v>
      </c>
      <c r="AT55" s="44">
        <f>SUM(Soka!$C$358:$D$364)</f>
        <v>1</v>
      </c>
    </row>
    <row r="56" spans="2:46" ht="18" customHeight="1">
      <c r="B56" s="53">
        <v>2021</v>
      </c>
      <c r="C56" s="57">
        <v>1</v>
      </c>
      <c r="D56" s="57">
        <v>52</v>
      </c>
      <c r="E56" s="57">
        <v>47</v>
      </c>
      <c r="F56" s="56">
        <v>44200</v>
      </c>
      <c r="G56" s="56">
        <v>44206</v>
      </c>
      <c r="I56" s="44">
        <f>SUM(Kyoto!$C$365:$D$371)</f>
        <v>1</v>
      </c>
      <c r="J56" s="44">
        <f>SUM(Kyushu!$C$365:$D$371)</f>
        <v>18</v>
      </c>
      <c r="K56" s="44">
        <f>SUM(Tohoku!$C$365:$D$371)</f>
        <v>9</v>
      </c>
      <c r="L56" s="44">
        <f>SUM(Hokkaio!$C$365:$D$371)</f>
        <v>2.1428571428571428</v>
      </c>
      <c r="M56" s="44">
        <f>SUM(Nagoya!$C$365:$D$371)</f>
        <v>4</v>
      </c>
      <c r="N56" s="44">
        <f>SUM(Hiroshima!$C$365:$D$371)</f>
        <v>3</v>
      </c>
      <c r="O56" s="44">
        <f>SUM(Chiba!$C$365:$D$371)</f>
        <v>0</v>
      </c>
      <c r="P56" s="44">
        <f>SUM(Niigata!$C$365:$D$371)</f>
        <v>0</v>
      </c>
      <c r="Q56" s="44">
        <f>SUM(Kanazawa!$C$365:$D$371)</f>
        <v>0</v>
      </c>
      <c r="R56" s="44">
        <f>SUM(Shizuoka!$C$365:$D$371)</f>
        <v>0</v>
      </c>
      <c r="S56" s="44">
        <f>SUM(Kumamoto!$C$365:$D$371)</f>
        <v>6</v>
      </c>
      <c r="T56" s="44">
        <f>SUM('Tokyo Metropolitan'!$C$365:$D$371)</f>
        <v>4</v>
      </c>
      <c r="U56" s="44">
        <f>SUM(Saitama!$C$365:$D$371)</f>
        <v>5</v>
      </c>
      <c r="V56" s="44">
        <f>SUM(Ryukyus!$C$365:$D$371)</f>
        <v>1</v>
      </c>
      <c r="W56" s="44">
        <f>SUM(Mie!$C$365:$D$371)</f>
        <v>1</v>
      </c>
      <c r="X56" s="44">
        <f>SUM(Meiji!$C$365:$D$371)</f>
        <v>0</v>
      </c>
      <c r="Y56" s="44">
        <f>SUM(Doshisha!$C$365:$D$371)</f>
        <v>15</v>
      </c>
      <c r="Z56" s="44">
        <f>SUM(Ryukoku!$C$365:$D$371)</f>
        <v>6</v>
      </c>
      <c r="AA56" s="44">
        <f>SUM(Senshu!$C$365:$D$371)</f>
        <v>12</v>
      </c>
      <c r="AB56" s="44">
        <f>SUM(Meijo!$C$365:$D$371)</f>
        <v>2.8181818181818183</v>
      </c>
      <c r="AC56" s="44">
        <f>SUM(Chukyo!$C$365:$D$371)</f>
        <v>6.5</v>
      </c>
      <c r="AD56" s="44">
        <f>SUM('Kyoto Sangyo'!$C$365:$D$371)</f>
        <v>2</v>
      </c>
      <c r="AE56" s="44">
        <f>SUM('Tohoku Gakuin'!$C$365:$D$371)</f>
        <v>2</v>
      </c>
      <c r="AF56" s="44">
        <f>SUM(Chubu!$C$365:$D$371)</f>
        <v>8</v>
      </c>
      <c r="AG56" s="44">
        <f>SUM('Kobe Gakuin'!$C$365:$D$371)</f>
        <v>0</v>
      </c>
      <c r="AH56" s="44">
        <f>SUM(Rissho!$C$365:$D$371)</f>
        <v>4</v>
      </c>
      <c r="AI56" s="44">
        <f>SUM(Aichi!$C$365:$D$371)</f>
        <v>1</v>
      </c>
      <c r="AJ56" s="44">
        <f>SUM('Chiba Tech'!$C$365:$D$371)</f>
        <v>1</v>
      </c>
      <c r="AK56" s="44">
        <f>SUM(Nanzan!$C$365:$D$371)</f>
        <v>0</v>
      </c>
      <c r="AL56" s="44">
        <f>SUM(Konan!$C$365:$D$371)</f>
        <v>7</v>
      </c>
      <c r="AM56" s="44">
        <f>SUM('Aichi Shukutoku'!$C$365:$D$371)</f>
        <v>4</v>
      </c>
      <c r="AN56" s="44">
        <f>SUM(Tokkyo!$C$365:$D$371)</f>
        <v>4</v>
      </c>
      <c r="AO56" s="44">
        <f>SUM('Mukogawa Women'!$C$365:$D$371)</f>
        <v>5</v>
      </c>
      <c r="AP56" s="44">
        <f>SUM('Hokkai-Gakuen'!$C$365:$D$371)</f>
        <v>2</v>
      </c>
      <c r="AQ56" s="44">
        <f>SUM('Shibaura '!$C$365:$D$371)</f>
        <v>6</v>
      </c>
      <c r="AR56" s="44">
        <f>SUM('Osaka Sangyo'!$C$365:$D$371)</f>
        <v>0</v>
      </c>
      <c r="AS56" s="44">
        <f>SUM('Seinan Gakuin'!$C$365:$D$371)</f>
        <v>2</v>
      </c>
      <c r="AT56" s="44">
        <f>SUM(Soka!$C$365:$D$371)</f>
        <v>8</v>
      </c>
    </row>
    <row r="57" spans="2:46" ht="18" customHeight="1">
      <c r="C57" s="57">
        <v>2</v>
      </c>
      <c r="D57" s="57">
        <v>53</v>
      </c>
      <c r="E57" s="57">
        <v>48</v>
      </c>
      <c r="F57" s="56">
        <v>44207</v>
      </c>
      <c r="G57" s="56">
        <v>44213</v>
      </c>
      <c r="I57" s="44">
        <f>SUM(Kyoto!$C$372:$D$378)</f>
        <v>2</v>
      </c>
      <c r="J57" s="44">
        <f>SUM(Kyushu!$C$372:$D$378)</f>
        <v>13</v>
      </c>
      <c r="K57" s="44">
        <f>SUM(Tohoku!$C$372:$D$378)</f>
        <v>1</v>
      </c>
      <c r="L57" s="44">
        <f>SUM(Hokkaio!$C$372:$D$378)</f>
        <v>0.8571428571428571</v>
      </c>
      <c r="M57" s="44">
        <f>SUM(Nagoya!$C$372:$D$378)</f>
        <v>2</v>
      </c>
      <c r="N57" s="44">
        <f>SUM(Hiroshima!$C$372:$D$378)</f>
        <v>2</v>
      </c>
      <c r="O57" s="44">
        <f>SUM(Chiba!$C$372:$D$378)</f>
        <v>2</v>
      </c>
      <c r="P57" s="44">
        <f>SUM(Niigata!$C$372:$D$378)</f>
        <v>1</v>
      </c>
      <c r="Q57" s="44">
        <f>SUM(Kanazawa!$C$372:$D$378)</f>
        <v>0</v>
      </c>
      <c r="R57" s="44">
        <f>SUM(Shizuoka!$C$372:$D$378)</f>
        <v>1</v>
      </c>
      <c r="S57" s="44">
        <f>SUM(Kumamoto!$C$372:$D$378)</f>
        <v>2</v>
      </c>
      <c r="T57" s="44">
        <f>SUM('Tokyo Metropolitan'!$C$372:$D$378)</f>
        <v>5</v>
      </c>
      <c r="U57" s="44">
        <f>SUM(Saitama!$C$372:$D$378)</f>
        <v>5</v>
      </c>
      <c r="V57" s="44">
        <f>SUM(Ryukyus!$C$372:$D$378)</f>
        <v>1</v>
      </c>
      <c r="W57" s="44">
        <f>SUM(Mie!$C$372:$D$378)</f>
        <v>4</v>
      </c>
      <c r="X57" s="44">
        <f>SUM(Meiji!$C$372:$D$378)</f>
        <v>1</v>
      </c>
      <c r="Y57" s="44">
        <f>SUM(Doshisha!$C$372:$D$378)</f>
        <v>22</v>
      </c>
      <c r="Z57" s="44">
        <f>SUM(Ryukoku!$C$372:$D$378)</f>
        <v>3</v>
      </c>
      <c r="AA57" s="44">
        <f>SUM(Senshu!$C$372:$D$378)</f>
        <v>2</v>
      </c>
      <c r="AB57" s="44">
        <f>SUM(Meijo!$C$372:$D$378)</f>
        <v>5</v>
      </c>
      <c r="AC57" s="44">
        <f>SUM(Chukyo!$C$372:$D$378)</f>
        <v>3</v>
      </c>
      <c r="AD57" s="44">
        <f>SUM('Kyoto Sangyo'!$C$372:$D$378)</f>
        <v>2</v>
      </c>
      <c r="AE57" s="44">
        <f>SUM('Tohoku Gakuin'!$C$372:$D$378)</f>
        <v>7</v>
      </c>
      <c r="AF57" s="44">
        <f>SUM(Chubu!$C$372:$D$378)</f>
        <v>2</v>
      </c>
      <c r="AG57" s="44">
        <f>SUM('Kobe Gakuin'!$C$372:$D$378)</f>
        <v>5</v>
      </c>
      <c r="AH57" s="44">
        <f>SUM(Rissho!$C$372:$D$378)</f>
        <v>6</v>
      </c>
      <c r="AI57" s="44">
        <f>SUM(Aichi!$C$372:$D$378)</f>
        <v>1</v>
      </c>
      <c r="AJ57" s="44">
        <f>SUM('Chiba Tech'!$C$372:$D$378)</f>
        <v>3</v>
      </c>
      <c r="AK57" s="44">
        <f>SUM(Nanzan!$C$372:$D$378)</f>
        <v>0</v>
      </c>
      <c r="AL57" s="44">
        <f>SUM(Konan!$C$372:$D$378)</f>
        <v>4</v>
      </c>
      <c r="AM57" s="44">
        <f>SUM('Aichi Shukutoku'!$C$372:$D$378)</f>
        <v>0</v>
      </c>
      <c r="AN57" s="44">
        <f>SUM(Tokkyo!$C$372:$D$378)</f>
        <v>2</v>
      </c>
      <c r="AO57" s="44">
        <f>SUM('Mukogawa Women'!$C$372:$D$378)</f>
        <v>5</v>
      </c>
      <c r="AP57" s="44">
        <f>SUM('Hokkai-Gakuen'!$C$372:$D$378)</f>
        <v>2</v>
      </c>
      <c r="AQ57" s="44">
        <f>SUM('Shibaura '!$C$372:$D$378)</f>
        <v>4</v>
      </c>
      <c r="AR57" s="44">
        <f>SUM('Osaka Sangyo'!$C$372:$D$378)</f>
        <v>0</v>
      </c>
      <c r="AS57" s="44">
        <f>SUM('Seinan Gakuin'!$C$372:$D$378)</f>
        <v>4</v>
      </c>
      <c r="AT57" s="44">
        <f>SUM(Soka!$C$372:$D$378)</f>
        <v>10</v>
      </c>
    </row>
    <row r="58" spans="2:46" ht="18" customHeight="1">
      <c r="C58" s="57">
        <v>3</v>
      </c>
      <c r="D58" s="57">
        <v>54</v>
      </c>
      <c r="E58" s="57">
        <v>49</v>
      </c>
      <c r="F58" s="56">
        <v>44214</v>
      </c>
      <c r="G58" s="56">
        <v>44220</v>
      </c>
      <c r="I58" s="44">
        <f>SUM(Kyoto!$C$379:$D$385)</f>
        <v>3</v>
      </c>
      <c r="J58" s="44">
        <f>SUM(Kyushu!$C$379:$D$385)</f>
        <v>8</v>
      </c>
      <c r="K58" s="44">
        <f>SUM(Tohoku!$C$379:$D$385)</f>
        <v>0</v>
      </c>
      <c r="L58" s="44">
        <f>SUM(Hokkaio!$C$379:$D$385)</f>
        <v>2.6</v>
      </c>
      <c r="M58" s="44">
        <f>SUM(Nagoya!$C$379:$D$385)</f>
        <v>2</v>
      </c>
      <c r="N58" s="44">
        <f>SUM(Hiroshima!$C$379:$D$385)</f>
        <v>4</v>
      </c>
      <c r="O58" s="44">
        <f>SUM(Chiba!$C$379:$D$385)</f>
        <v>8</v>
      </c>
      <c r="P58" s="44">
        <f>SUM(Niigata!$C$379:$D$385)</f>
        <v>0</v>
      </c>
      <c r="Q58" s="44">
        <f>SUM(Kanazawa!$C$379:$D$385)</f>
        <v>0</v>
      </c>
      <c r="R58" s="44">
        <f>SUM(Shizuoka!$C$379:$D$385)</f>
        <v>2</v>
      </c>
      <c r="S58" s="44">
        <f>SUM(Kumamoto!$C$379:$D$385)</f>
        <v>0</v>
      </c>
      <c r="T58" s="44">
        <f>SUM('Tokyo Metropolitan'!$C$379:$D$385)</f>
        <v>2</v>
      </c>
      <c r="U58" s="44">
        <f>SUM(Saitama!$C$379:$D$385)</f>
        <v>6</v>
      </c>
      <c r="V58" s="44">
        <f>SUM(Ryukyus!$C$379:$D$385)</f>
        <v>5</v>
      </c>
      <c r="W58" s="44">
        <f>SUM(Mie!$C$379:$D$385)</f>
        <v>0</v>
      </c>
      <c r="X58" s="44">
        <f>SUM(Meiji!$C$379:$D$385)</f>
        <v>0</v>
      </c>
      <c r="Y58" s="44">
        <f>SUM(Doshisha!$C$379:$D$385)</f>
        <v>6</v>
      </c>
      <c r="Z58" s="44">
        <f>SUM(Ryukoku!$C$379:$D$385)</f>
        <v>3</v>
      </c>
      <c r="AA58" s="44">
        <f>SUM(Senshu!$C$379:$D$385)</f>
        <v>4</v>
      </c>
      <c r="AB58" s="44">
        <f>SUM(Meijo!$C$379:$D$385)</f>
        <v>3</v>
      </c>
      <c r="AC58" s="44">
        <f>SUM(Chukyo!$C$379:$D$385)</f>
        <v>6</v>
      </c>
      <c r="AD58" s="44">
        <f>SUM('Kyoto Sangyo'!$C$379:$D$385)</f>
        <v>1</v>
      </c>
      <c r="AE58" s="44">
        <f>SUM('Tohoku Gakuin'!$C$379:$D$385)</f>
        <v>2</v>
      </c>
      <c r="AF58" s="44">
        <f>SUM(Chubu!$C$379:$D$385)</f>
        <v>2</v>
      </c>
      <c r="AG58" s="44">
        <f>SUM('Kobe Gakuin'!$C$379:$D$385)</f>
        <v>1</v>
      </c>
      <c r="AH58" s="44">
        <f>SUM(Rissho!$C$379:$D$385)</f>
        <v>2</v>
      </c>
      <c r="AI58" s="44">
        <f>SUM(Aichi!$C$379:$D$385)</f>
        <v>1</v>
      </c>
      <c r="AJ58" s="44">
        <f>SUM('Chiba Tech'!$C$379:$D$385)</f>
        <v>1</v>
      </c>
      <c r="AK58" s="44">
        <f>SUM(Nanzan!$C$379:$D$385)</f>
        <v>0</v>
      </c>
      <c r="AL58" s="44">
        <f>SUM(Konan!$C$379:$D$385)</f>
        <v>3</v>
      </c>
      <c r="AM58" s="44">
        <f>SUM('Aichi Shukutoku'!$C$379:$D$385)</f>
        <v>1</v>
      </c>
      <c r="AN58" s="44">
        <f>SUM(Tokkyo!$C$379:$D$385)</f>
        <v>2</v>
      </c>
      <c r="AO58" s="44">
        <f>SUM('Mukogawa Women'!$C$379:$D$385)</f>
        <v>2</v>
      </c>
      <c r="AP58" s="44">
        <f>SUM('Hokkai-Gakuen'!$C$379:$D$385)</f>
        <v>3</v>
      </c>
      <c r="AQ58" s="44">
        <f>SUM('Shibaura '!$C$379:$D$385)</f>
        <v>1</v>
      </c>
      <c r="AR58" s="44">
        <f>SUM('Osaka Sangyo'!$C$379:$D$385)</f>
        <v>0</v>
      </c>
      <c r="AS58" s="44">
        <f>SUM('Seinan Gakuin'!$C$379:$D$385)</f>
        <v>2</v>
      </c>
      <c r="AT58" s="44">
        <f>SUM(Soka!$C$379:$D$385)</f>
        <v>0</v>
      </c>
    </row>
    <row r="59" spans="2:46" ht="18" customHeight="1">
      <c r="C59" s="57">
        <v>4</v>
      </c>
      <c r="D59" s="57">
        <v>55</v>
      </c>
      <c r="E59" s="57">
        <v>50</v>
      </c>
      <c r="F59" s="56">
        <v>44221</v>
      </c>
      <c r="G59" s="56">
        <v>44227</v>
      </c>
      <c r="I59" s="58">
        <f>SUM(Kyoto!$C$386:$D$392)</f>
        <v>1</v>
      </c>
      <c r="J59" s="58">
        <f>SUM(Kyushu!$C$386:$D$392)</f>
        <v>1</v>
      </c>
      <c r="K59" s="58">
        <f>SUM(Tohoku!$C$386:$D$392)</f>
        <v>3</v>
      </c>
      <c r="L59" s="58">
        <f>SUM(Hokkaio!$C$386:$D$392)</f>
        <v>0.4</v>
      </c>
      <c r="M59" s="58">
        <f>SUM(Nagoya!$C$386:$D$392)</f>
        <v>4</v>
      </c>
      <c r="N59" s="44">
        <f>SUM(Hiroshima!$C$386:$D$392)</f>
        <v>10</v>
      </c>
      <c r="O59" s="44">
        <f>SUM(Chiba!$C$386:$D$392)</f>
        <v>8</v>
      </c>
      <c r="P59" s="44">
        <f>SUM(Niigata!$C$386:$D$392)</f>
        <v>1</v>
      </c>
      <c r="Q59" s="44">
        <f>SUM(Kanazawa!$C$386:$D$392)</f>
        <v>0</v>
      </c>
      <c r="R59" s="44">
        <f>SUM(Shizuoka!$C$386:$D$392)</f>
        <v>0</v>
      </c>
      <c r="S59" s="44">
        <f>SUM(Kumamoto!$C$386:$D$392)</f>
        <v>0</v>
      </c>
      <c r="T59" s="58">
        <f>SUM('Tokyo Metropolitan'!$C$386:$D$392)</f>
        <v>0</v>
      </c>
      <c r="U59" s="44">
        <f>SUM(Saitama!$C$386:$D$392)</f>
        <v>0</v>
      </c>
      <c r="V59" s="44">
        <f>SUM(Ryukyus!$C$386:$D$392)</f>
        <v>5</v>
      </c>
      <c r="W59" s="44">
        <f>SUM(Mie!$C$386:$D$392)</f>
        <v>0</v>
      </c>
      <c r="X59" s="44">
        <f>SUM(Meiji!$C$386:$D$392)</f>
        <v>0</v>
      </c>
      <c r="Y59" s="44">
        <f>SUM(Doshisha!$C$386:$D$392)</f>
        <v>1</v>
      </c>
      <c r="Z59" s="44">
        <f>SUM(Ryukoku!$C$386:$D$392)</f>
        <v>3</v>
      </c>
      <c r="AA59" s="44">
        <f>SUM(Senshu!$C$386:$D$392)</f>
        <v>8</v>
      </c>
      <c r="AB59" s="44">
        <f>SUM(Meijo!$C$386:$D$392)</f>
        <v>2.6666666666666661</v>
      </c>
      <c r="AC59" s="44">
        <f>SUM(Chukyo!$C$386:$D$392)</f>
        <v>3</v>
      </c>
      <c r="AD59" s="58">
        <f>SUM('Kyoto Sangyo'!$C$386:$D$392)</f>
        <v>0</v>
      </c>
      <c r="AE59" s="58">
        <f>SUM('Tohoku Gakuin'!$C$386:$D$392)</f>
        <v>0</v>
      </c>
      <c r="AF59" s="58">
        <f>SUM(Chubu!$C$386:$D$392)</f>
        <v>4</v>
      </c>
      <c r="AG59" s="58">
        <f>SUM('Kobe Gakuin'!$C$386:$D$392)</f>
        <v>2</v>
      </c>
      <c r="AH59" s="58">
        <f>SUM(Rissho!$C$386:$D$392)</f>
        <v>5</v>
      </c>
      <c r="AI59" s="58">
        <f>SUM(Aichi!$C$386:$D$392)</f>
        <v>0</v>
      </c>
      <c r="AJ59" s="58">
        <f>SUM('Chiba Tech'!$C$386:$D$392)</f>
        <v>1</v>
      </c>
      <c r="AK59" s="58">
        <f>SUM(Nanzan!$C$386:$D$392)</f>
        <v>1</v>
      </c>
      <c r="AL59" s="58">
        <f>SUM(Konan!$C$386:$D$392)</f>
        <v>0</v>
      </c>
      <c r="AM59" s="58">
        <f>SUM('Aichi Shukutoku'!$C$386:$D$392)</f>
        <v>1</v>
      </c>
      <c r="AN59" s="58">
        <f>SUM(Tokkyo!$C$386:$D$392)</f>
        <v>1</v>
      </c>
      <c r="AO59" s="58">
        <f>SUM('Mukogawa Women'!$C$386:$D$392)</f>
        <v>2</v>
      </c>
      <c r="AP59" s="58">
        <f>SUM('Hokkai-Gakuen'!$C$386:$D$392)</f>
        <v>1</v>
      </c>
      <c r="AQ59" s="58">
        <f>SUM('Shibaura '!$C$386:$D$392)</f>
        <v>0</v>
      </c>
      <c r="AR59" s="58">
        <f>SUM('Osaka Sangyo'!$C$386:$D$392)</f>
        <v>0</v>
      </c>
      <c r="AS59" s="58">
        <f>SUM('Seinan Gakuin'!$C$386:$D$392)</f>
        <v>0</v>
      </c>
      <c r="AT59" s="58">
        <f>SUM(Soka!$C$386:$D$392)</f>
        <v>1</v>
      </c>
    </row>
    <row r="60" spans="2:46" ht="18" customHeight="1">
      <c r="C60" s="57">
        <v>5</v>
      </c>
      <c r="D60" s="57">
        <v>56</v>
      </c>
      <c r="E60" s="57">
        <v>51</v>
      </c>
      <c r="F60" s="56">
        <v>44228</v>
      </c>
      <c r="G60" s="56">
        <v>44234</v>
      </c>
      <c r="I60" s="58">
        <f>SUM(Kyoto!$C$393:$D$399)</f>
        <v>2</v>
      </c>
      <c r="J60" s="58">
        <f>SUM(Kyushu!$C$393:$D$399)</f>
        <v>0</v>
      </c>
      <c r="K60" s="58">
        <f>SUM(Tohoku!$C$393:$D$399)</f>
        <v>0</v>
      </c>
      <c r="L60" s="58">
        <f>SUM(Hokkaio!$C$393:$D$399)</f>
        <v>2</v>
      </c>
      <c r="M60" s="58">
        <f>SUM(Nagoya!$C$393:$D$399)</f>
        <v>0</v>
      </c>
      <c r="N60" s="44">
        <f>SUM(Hiroshima!$C$393:$D$399)</f>
        <v>0</v>
      </c>
      <c r="O60" s="44">
        <f>SUM(Chiba!$C$393:$D$399)</f>
        <v>6</v>
      </c>
      <c r="P60" s="44">
        <f>SUM(Niigata!$C$393:$D$399)</f>
        <v>1</v>
      </c>
      <c r="Q60" s="44">
        <f>SUM(Kanazawa!$C$393:$D$399)</f>
        <v>0</v>
      </c>
      <c r="R60" s="44">
        <f>SUM(Shizuoka!$C$393:$D$399)</f>
        <v>0</v>
      </c>
      <c r="S60" s="44">
        <f>SUM(Kumamoto!$C$393:$D$399)</f>
        <v>0</v>
      </c>
      <c r="T60" s="58">
        <f>SUM('Tokyo Metropolitan'!$C$393:$D$399)</f>
        <v>0</v>
      </c>
      <c r="U60" s="44">
        <f>SUM(Saitama!$C$393:$D$399)</f>
        <v>1</v>
      </c>
      <c r="V60" s="44">
        <f>SUM(Ryukyus!$C$393:$D$399)</f>
        <v>0</v>
      </c>
      <c r="W60" s="44">
        <f>SUM(Mie!$C$393:$D$399)</f>
        <v>0</v>
      </c>
      <c r="X60" s="44">
        <f>SUM(Meiji!$C$393:$D$399)</f>
        <v>7</v>
      </c>
      <c r="Y60" s="44">
        <f>SUM(Doshisha!$C$393:$D$399)</f>
        <v>3</v>
      </c>
      <c r="Z60" s="44">
        <f>SUM(Ryukoku!$C$393:$D$399)</f>
        <v>6</v>
      </c>
      <c r="AA60" s="44">
        <f>SUM(Senshu!$C$393:$D$399)</f>
        <v>0</v>
      </c>
      <c r="AB60" s="44">
        <f>SUM(Meijo!$C$393:$D$399)</f>
        <v>1.1666666666666665</v>
      </c>
      <c r="AC60" s="44">
        <f>SUM(Chukyo!$C$393:$D$399)</f>
        <v>1</v>
      </c>
      <c r="AD60" s="58">
        <f>SUM('Kyoto Sangyo'!$C$393:$D$399)</f>
        <v>0</v>
      </c>
      <c r="AE60" s="58">
        <f>SUM('Tohoku Gakuin'!$C$393:$D$399)</f>
        <v>0</v>
      </c>
      <c r="AF60" s="58">
        <f>SUM(Chubu!$C$393:$D$399)</f>
        <v>3</v>
      </c>
      <c r="AG60" s="58">
        <f>SUM('Kobe Gakuin'!$C$393:$D$399)</f>
        <v>0</v>
      </c>
      <c r="AH60" s="58">
        <f>SUM(Rissho!$C$393:$D$399)</f>
        <v>2</v>
      </c>
      <c r="AI60" s="58">
        <f>SUM(Aichi!$C$393:$D$399)</f>
        <v>0</v>
      </c>
      <c r="AJ60" s="58">
        <f>SUM('Chiba Tech'!$C$393:$D$399)</f>
        <v>0</v>
      </c>
      <c r="AK60" s="58">
        <f>SUM(Nanzan!$C$393:$D$399)</f>
        <v>0</v>
      </c>
      <c r="AL60" s="58">
        <f>SUM(Konan!$C$393:$D$399)</f>
        <v>1</v>
      </c>
      <c r="AM60" s="58">
        <f>SUM('Aichi Shukutoku'!$C$393:$D$399)</f>
        <v>1</v>
      </c>
      <c r="AN60" s="58">
        <f>SUM(Tokkyo!$C$393:$D$399)</f>
        <v>4</v>
      </c>
      <c r="AO60" s="58">
        <f>SUM('Mukogawa Women'!$C$393:$D$399)</f>
        <v>0</v>
      </c>
      <c r="AP60" s="58">
        <f>SUM('Hokkai-Gakuen'!$C$393:$D$399)</f>
        <v>1</v>
      </c>
      <c r="AQ60" s="58">
        <f>SUM('Shibaura '!$C$393:$D$399)</f>
        <v>1</v>
      </c>
      <c r="AR60" s="58">
        <f>SUM('Osaka Sangyo'!$C$393:$D$399)</f>
        <v>0</v>
      </c>
      <c r="AS60" s="58">
        <f>SUM('Seinan Gakuin'!$C$393:$D$399)</f>
        <v>0</v>
      </c>
      <c r="AT60" s="58">
        <f>SUM(Soka!$C$393:$D$399)</f>
        <v>0</v>
      </c>
    </row>
    <row r="61" spans="2:46" ht="18" customHeight="1">
      <c r="C61" s="57">
        <v>6</v>
      </c>
      <c r="D61" s="57">
        <v>57</v>
      </c>
      <c r="E61" s="57">
        <v>52</v>
      </c>
      <c r="F61" s="56">
        <v>44235</v>
      </c>
      <c r="G61" s="56">
        <v>44241</v>
      </c>
      <c r="I61" s="58">
        <f>SUM(Kyoto!$C$400:$D$406)</f>
        <v>0</v>
      </c>
      <c r="J61" s="58">
        <f>SUM(Kyushu!$C$400:$D$406)</f>
        <v>1</v>
      </c>
      <c r="K61" s="58">
        <f>SUM(Tohoku!$C$400:$D$406)</f>
        <v>0</v>
      </c>
      <c r="L61" s="58">
        <f>SUM(Hokkaio!$C$400:$D$406)</f>
        <v>1</v>
      </c>
      <c r="M61" s="58">
        <f>SUM(Nagoya!$C$400:$D$406)</f>
        <v>0</v>
      </c>
      <c r="N61" s="44">
        <f>SUM(Hiroshima!$C$400:$D$406)</f>
        <v>0</v>
      </c>
      <c r="O61" s="44">
        <f>SUM(Chiba!$C$400:$D$406)</f>
        <v>3</v>
      </c>
      <c r="P61" s="44">
        <f>SUM(Niigata!$C$400:$D$406)</f>
        <v>1</v>
      </c>
      <c r="Q61" s="44">
        <f>SUM(Kanazawa!$C$400:$D$406)</f>
        <v>0</v>
      </c>
      <c r="R61" s="44">
        <f>SUM(Shizuoka!$C$400:$D$406)</f>
        <v>0</v>
      </c>
      <c r="S61" s="44">
        <f>SUM(Kumamoto!$C$400:$D$406)</f>
        <v>0</v>
      </c>
      <c r="T61" s="58">
        <f>SUM('Tokyo Metropolitan'!$C$400:$D$406)</f>
        <v>1</v>
      </c>
      <c r="U61" s="44">
        <f>SUM(Saitama!$C$400:$D$406)</f>
        <v>0</v>
      </c>
      <c r="V61" s="44">
        <f>SUM(Ryukyus!$C$400:$D$406)</f>
        <v>0</v>
      </c>
      <c r="W61" s="44">
        <f>SUM(Mie!$C$400:$D$406)</f>
        <v>0</v>
      </c>
      <c r="X61" s="44">
        <f>SUM(Meiji!$C$400:$D$406)</f>
        <v>0</v>
      </c>
      <c r="Y61" s="44">
        <f>SUM(Doshisha!$C$400:$D$406)</f>
        <v>0</v>
      </c>
      <c r="Z61" s="44">
        <f>SUM(Ryukoku!$C$400:$D$406)</f>
        <v>0</v>
      </c>
      <c r="AA61" s="44">
        <f>SUM(Senshu!$C$400:$D$406)</f>
        <v>1</v>
      </c>
      <c r="AB61" s="44">
        <f>SUM(Meijo!$C$400:$D$406)</f>
        <v>0.16666666666666666</v>
      </c>
      <c r="AC61" s="44">
        <f>SUM(Chukyo!$C$400:$D$406)</f>
        <v>0</v>
      </c>
      <c r="AD61" s="58">
        <f>SUM('Kyoto Sangyo'!$C$400:$D$406)</f>
        <v>0</v>
      </c>
      <c r="AE61" s="58">
        <f>SUM('Tohoku Gakuin'!$C$400:$D$406)</f>
        <v>0</v>
      </c>
      <c r="AF61" s="58">
        <f>SUM(Chubu!$C$400:$D$406)</f>
        <v>0</v>
      </c>
      <c r="AG61" s="58">
        <f>SUM('Kobe Gakuin'!$C$400:$D$406)</f>
        <v>0</v>
      </c>
      <c r="AH61" s="58">
        <f>SUM(Rissho!$C$400:$D$406)</f>
        <v>1</v>
      </c>
      <c r="AI61" s="58">
        <f>SUM(Aichi!$C$400:$D$406)</f>
        <v>1</v>
      </c>
      <c r="AJ61" s="58">
        <f>SUM('Chiba Tech'!$C$400:$D$406)</f>
        <v>2</v>
      </c>
      <c r="AK61" s="58">
        <f>SUM(Nanzan!$C$400:$D$406)</f>
        <v>0</v>
      </c>
      <c r="AL61" s="58">
        <f>SUM(Konan!$C$400:$D$406)</f>
        <v>0</v>
      </c>
      <c r="AM61" s="58">
        <f>SUM('Aichi Shukutoku'!$C$400:$D$406)</f>
        <v>0</v>
      </c>
      <c r="AN61" s="58">
        <f>SUM(Tokkyo!$C$400:$D$406)</f>
        <v>1</v>
      </c>
      <c r="AO61" s="58">
        <f>SUM('Mukogawa Women'!$C$400:$D$406)</f>
        <v>0</v>
      </c>
      <c r="AP61" s="58">
        <f>SUM('Hokkai-Gakuen'!$C$400:$D$406)</f>
        <v>3</v>
      </c>
      <c r="AQ61" s="58">
        <f>SUM('Shibaura '!$C$400:$D$406)</f>
        <v>1</v>
      </c>
      <c r="AR61" s="58">
        <f>SUM('Osaka Sangyo'!$C$400:$D$406)</f>
        <v>0</v>
      </c>
      <c r="AS61" s="58">
        <f>SUM('Seinan Gakuin'!$C$400:$D$406)</f>
        <v>0</v>
      </c>
      <c r="AT61" s="58">
        <f>SUM(Soka!$C$400:$D$406)</f>
        <v>1</v>
      </c>
    </row>
    <row r="62" spans="2:46" ht="18" customHeight="1">
      <c r="C62" s="57">
        <v>7</v>
      </c>
      <c r="D62" s="57">
        <v>58</v>
      </c>
      <c r="E62" s="57">
        <v>53</v>
      </c>
      <c r="F62" s="56">
        <v>44242</v>
      </c>
      <c r="G62" s="56">
        <v>44248</v>
      </c>
      <c r="I62" s="44">
        <f>SUM(Kyoto!$C$407:$D$413)</f>
        <v>1</v>
      </c>
      <c r="J62" s="44">
        <f>SUM(Kyushu!$C$407:$D$413)</f>
        <v>0</v>
      </c>
      <c r="K62" s="44">
        <f>SUM(Tohoku!$C$407:$D$413)</f>
        <v>0</v>
      </c>
      <c r="L62" s="44">
        <f>SUM(Hokkaio!$C$407:$D$413)</f>
        <v>0</v>
      </c>
      <c r="M62" s="44">
        <f>SUM(Nagoya!$C$407:$D$413)</f>
        <v>0</v>
      </c>
      <c r="N62" s="44">
        <f>SUM(Hiroshima!$C$407:$D$413)</f>
        <v>1</v>
      </c>
      <c r="O62" s="44">
        <f>SUM(Chiba!$C$407:$D$413)</f>
        <v>0</v>
      </c>
      <c r="P62" s="44">
        <f>SUM(Niigata!$C$407:$D$413)</f>
        <v>0</v>
      </c>
      <c r="Q62" s="44">
        <f>SUM(Kanazawa!$C$407:$D$413)</f>
        <v>0</v>
      </c>
      <c r="R62" s="44">
        <f>SUM(Shizuoka!$C$407:$D$413)</f>
        <v>1</v>
      </c>
      <c r="S62" s="44">
        <f>SUM(Kumamoto!$C$407:$D$413)</f>
        <v>0</v>
      </c>
      <c r="T62" s="44">
        <f>SUM('Tokyo Metropolitan'!$C$407:$D$413)</f>
        <v>0</v>
      </c>
      <c r="U62" s="44">
        <f>SUM(Saitama!$C$407:$D$413)</f>
        <v>0</v>
      </c>
      <c r="V62" s="44">
        <f>SUM(Ryukyus!$C$407:$D$413)</f>
        <v>0</v>
      </c>
      <c r="W62" s="44">
        <f>SUM(Mie!$C$407:$D$413)</f>
        <v>0</v>
      </c>
      <c r="X62" s="44">
        <f>SUM(Meiji!$C$407:$D$413)</f>
        <v>0</v>
      </c>
      <c r="Y62" s="44">
        <f>SUM(Doshisha!$C$407:$D$413)</f>
        <v>0</v>
      </c>
      <c r="Z62" s="44">
        <f>SUM(Ryukoku!$C$407:$D$413)</f>
        <v>1</v>
      </c>
      <c r="AA62" s="44">
        <f>SUM(Senshu!$C$407:$D$413)</f>
        <v>0</v>
      </c>
      <c r="AB62" s="44">
        <f>SUM(Meijo!$C$407:$D$413)</f>
        <v>0</v>
      </c>
      <c r="AC62" s="44">
        <f>SUM(Chukyo!$C$407:$D$413)</f>
        <v>0</v>
      </c>
      <c r="AD62" s="44">
        <f>SUM('Kyoto Sangyo'!$C$407:$D$413)</f>
        <v>0</v>
      </c>
      <c r="AE62" s="44">
        <f>SUM('Tohoku Gakuin'!$C$407:$D$413)</f>
        <v>0</v>
      </c>
      <c r="AF62" s="44">
        <f>SUM(Chubu!$C$407:$D$413)</f>
        <v>1</v>
      </c>
      <c r="AG62" s="44">
        <f>SUM('Kobe Gakuin'!$C$407:$D$413)</f>
        <v>0</v>
      </c>
      <c r="AH62" s="44">
        <f>SUM(Rissho!$C$407:$D$413)</f>
        <v>0</v>
      </c>
      <c r="AI62" s="44">
        <f>SUM(Aichi!$C$407:$D$413)</f>
        <v>0</v>
      </c>
      <c r="AJ62" s="44">
        <f>SUM('Chiba Tech'!$C$407:$D$413)</f>
        <v>0</v>
      </c>
      <c r="AK62" s="44">
        <f>SUM(Nanzan!$C$407:$D$413)</f>
        <v>0</v>
      </c>
      <c r="AL62" s="44">
        <f>SUM(Konan!$C$407:$D$413)</f>
        <v>0</v>
      </c>
      <c r="AM62" s="44">
        <f>SUM('Aichi Shukutoku'!$C$407:$D$413)</f>
        <v>0</v>
      </c>
      <c r="AN62" s="44">
        <f>SUM(Tokkyo!$C$407:$D$413)</f>
        <v>0</v>
      </c>
      <c r="AO62" s="44">
        <f>SUM('Mukogawa Women'!$C$407:$D$413)</f>
        <v>0</v>
      </c>
      <c r="AP62" s="44">
        <f>SUM('Hokkai-Gakuen'!$C$407:$D$413)</f>
        <v>0</v>
      </c>
      <c r="AQ62" s="44">
        <f>SUM('Shibaura '!$C$407:$D$413)</f>
        <v>0</v>
      </c>
      <c r="AR62" s="44">
        <f>SUM('Osaka Sangyo'!$C$407:$D$413)</f>
        <v>0</v>
      </c>
      <c r="AS62" s="44">
        <f>SUM('Seinan Gakuin'!$C$407:$D$413)</f>
        <v>0</v>
      </c>
      <c r="AT62" s="44">
        <f>SUM(Soka!$C$407:$D$413)</f>
        <v>0</v>
      </c>
    </row>
    <row r="63" spans="2:46" ht="18" customHeight="1">
      <c r="C63" s="57">
        <v>8</v>
      </c>
      <c r="D63" s="57">
        <v>59</v>
      </c>
      <c r="E63" s="57">
        <v>54</v>
      </c>
      <c r="F63" s="56">
        <v>44249</v>
      </c>
      <c r="G63" s="56">
        <v>44255</v>
      </c>
      <c r="I63" s="44">
        <f>SUM(Kyoto!$C$414:$D$420)</f>
        <v>1</v>
      </c>
      <c r="J63" s="44">
        <f>SUM(Kyushu!$C$414:$D$420)</f>
        <v>1</v>
      </c>
      <c r="K63" s="44">
        <f>SUM(Tohoku!$C$414:$D$420)</f>
        <v>1</v>
      </c>
      <c r="L63" s="44">
        <f>SUM(Hokkaio!$C$414:$D$420)</f>
        <v>0</v>
      </c>
      <c r="M63" s="44">
        <f>SUM(Nagoya!$C$414:$D$420)</f>
        <v>0</v>
      </c>
      <c r="N63" s="44">
        <f>SUM(Hiroshima!$C$414:$D$420)</f>
        <v>0</v>
      </c>
      <c r="O63" s="44">
        <f>SUM(Chiba!$C$414:$D$420)</f>
        <v>0</v>
      </c>
      <c r="P63" s="44">
        <f>SUM(Niigata!$C$414:$D$420)</f>
        <v>0</v>
      </c>
      <c r="Q63" s="44">
        <f>SUM(Kanazawa!$C$414:$D$420)</f>
        <v>5</v>
      </c>
      <c r="R63" s="44">
        <f>SUM(Shizuoka!$C$414:$D$420)</f>
        <v>0</v>
      </c>
      <c r="S63" s="44">
        <f>SUM(Kumamoto!$C$414:$D$420)</f>
        <v>0</v>
      </c>
      <c r="T63" s="44">
        <f>SUM('Tokyo Metropolitan'!$C$414:$D$420)</f>
        <v>0</v>
      </c>
      <c r="U63" s="44">
        <f>SUM(Saitama!$C$414:$D$420)</f>
        <v>0</v>
      </c>
      <c r="V63" s="44">
        <f>SUM(Ryukyus!$C$414:$D$420)</f>
        <v>0</v>
      </c>
      <c r="W63" s="44">
        <f>SUM(Mie!$C$414:$D$420)</f>
        <v>0</v>
      </c>
      <c r="X63" s="44">
        <f>SUM(Meiji!$C$414:$D$420)</f>
        <v>0</v>
      </c>
      <c r="Y63" s="44">
        <f>SUM(Doshisha!$C$414:$D$420)</f>
        <v>0</v>
      </c>
      <c r="Z63" s="44">
        <f>SUM(Ryukoku!$C$414:$D$420)</f>
        <v>0</v>
      </c>
      <c r="AA63" s="44">
        <f>SUM(Senshu!$C$414:$D$420)</f>
        <v>1</v>
      </c>
      <c r="AB63" s="44">
        <f>SUM(Meijo!$C$414:$D$420)</f>
        <v>0</v>
      </c>
      <c r="AC63" s="44">
        <f>SUM(Chukyo!$C$414:$D$420)</f>
        <v>0</v>
      </c>
      <c r="AD63" s="44">
        <f>SUM('Kyoto Sangyo'!$C$414:$D$420)</f>
        <v>0</v>
      </c>
      <c r="AE63" s="44">
        <f>SUM('Tohoku Gakuin'!$C$414:$D$420)</f>
        <v>0</v>
      </c>
      <c r="AF63" s="44">
        <f>SUM(Chubu!$C$414:$D$420)</f>
        <v>0</v>
      </c>
      <c r="AG63" s="44">
        <f>SUM('Kobe Gakuin'!$C$414:$D$420)</f>
        <v>0</v>
      </c>
      <c r="AH63" s="44">
        <f>SUM(Rissho!$C$414:$D$420)</f>
        <v>1</v>
      </c>
      <c r="AI63" s="44">
        <f>SUM(Aichi!$C$414:$D$420)</f>
        <v>0</v>
      </c>
      <c r="AJ63" s="44">
        <f>SUM('Chiba Tech'!$C$414:$D$420)</f>
        <v>1</v>
      </c>
      <c r="AK63" s="44">
        <f>SUM(Nanzan!$C$414:$D$420)</f>
        <v>0</v>
      </c>
      <c r="AL63" s="44">
        <f>SUM(Konan!$C$414:$D$420)</f>
        <v>0</v>
      </c>
      <c r="AM63" s="44">
        <f>SUM('Aichi Shukutoku'!$C$414:$D$420)</f>
        <v>0</v>
      </c>
      <c r="AN63" s="44">
        <f>SUM(Tokkyo!$C$414:$D$420)</f>
        <v>0</v>
      </c>
      <c r="AO63" s="44">
        <f>SUM('Mukogawa Women'!$C$414:$D$420)</f>
        <v>0</v>
      </c>
      <c r="AP63" s="44">
        <f>SUM('Hokkai-Gakuen'!$C$414:$D$420)</f>
        <v>0</v>
      </c>
      <c r="AQ63" s="44">
        <f>SUM('Shibaura '!$C$414:$D$420)</f>
        <v>0</v>
      </c>
      <c r="AR63" s="44">
        <f>SUM('Osaka Sangyo'!$C$414:$D$420)</f>
        <v>0</v>
      </c>
      <c r="AS63" s="44">
        <f>SUM('Seinan Gakuin'!$C$414:$D$420)</f>
        <v>0</v>
      </c>
      <c r="AT63" s="44">
        <f>SUM(Soka!$C$414:$D$420)</f>
        <v>0</v>
      </c>
    </row>
    <row r="64" spans="2:46" ht="18" customHeight="1">
      <c r="C64" s="57">
        <v>9</v>
      </c>
      <c r="D64" s="57">
        <v>60</v>
      </c>
      <c r="E64" s="57">
        <v>55</v>
      </c>
      <c r="F64" s="56">
        <v>44256</v>
      </c>
      <c r="G64" s="56">
        <v>44262</v>
      </c>
      <c r="I64" s="58">
        <f>SUM(Kyoto!$C$421:$D$427)</f>
        <v>0</v>
      </c>
      <c r="J64" s="58">
        <f>SUM(Kyushu!$C$421:$D$427)</f>
        <v>0</v>
      </c>
      <c r="K64" s="58">
        <f>SUM(Tohoku!$C$421:$D$427)</f>
        <v>0</v>
      </c>
      <c r="L64" s="58">
        <f>SUM(Hokkaio!$C$421:$D$427)</f>
        <v>0</v>
      </c>
      <c r="M64" s="58">
        <f>SUM(Nagoya!$C$421:$D$427)</f>
        <v>0</v>
      </c>
      <c r="N64" s="44">
        <f>SUM(Hiroshima!$C$421:$D$427)</f>
        <v>0</v>
      </c>
      <c r="O64" s="44">
        <f>SUM(Chiba!$C$421:$D$427)</f>
        <v>0</v>
      </c>
      <c r="P64" s="44">
        <f>SUM(Niigata!$C$421:$D$427)</f>
        <v>0</v>
      </c>
      <c r="Q64" s="44">
        <f>SUM(Kanazawa!$C$421:$D$427)</f>
        <v>0</v>
      </c>
      <c r="R64" s="44">
        <f>SUM(Shizuoka!$C$421:$D$427)</f>
        <v>0</v>
      </c>
      <c r="S64" s="44">
        <f>SUM(Kumamoto!$C$421:$D$427)</f>
        <v>0</v>
      </c>
      <c r="T64" s="58">
        <f>SUM('Tokyo Metropolitan'!$C$421:$D$427)</f>
        <v>0</v>
      </c>
      <c r="U64" s="44">
        <f>SUM(Saitama!$C$421:$D$427)</f>
        <v>0</v>
      </c>
      <c r="V64" s="44">
        <f>SUM(Ryukyus!$C$421:$D$427)</f>
        <v>0</v>
      </c>
      <c r="W64" s="44">
        <f>SUM(Mie!$C$421:$D$427)</f>
        <v>0</v>
      </c>
      <c r="X64" s="44">
        <f>SUM(Meiji!$C$421:$D$427)</f>
        <v>0</v>
      </c>
      <c r="Y64" s="44">
        <f>SUM(Doshisha!$C$421:$D$427)</f>
        <v>0</v>
      </c>
      <c r="Z64" s="44">
        <f>SUM(Ryukoku!$C$421:$D$427)</f>
        <v>0</v>
      </c>
      <c r="AA64" s="44">
        <f>SUM(Senshu!$C$421:$D$427)</f>
        <v>0</v>
      </c>
      <c r="AB64" s="44">
        <f>SUM(Meijo!$C$421:$D$427)</f>
        <v>0.46666666666666662</v>
      </c>
      <c r="AC64" s="44">
        <f>SUM(Chukyo!$C$421:$D$427)</f>
        <v>0</v>
      </c>
      <c r="AD64" s="58">
        <f>SUM('Kyoto Sangyo'!$C$421:$D$427)</f>
        <v>0</v>
      </c>
      <c r="AE64" s="58">
        <f>SUM('Tohoku Gakuin'!$C$421:$D$427)</f>
        <v>0</v>
      </c>
      <c r="AF64" s="58">
        <f>SUM(Chubu!$C$421:$D$427)</f>
        <v>0</v>
      </c>
      <c r="AG64" s="58">
        <f>SUM('Kobe Gakuin'!$C$421:$D$427)</f>
        <v>0</v>
      </c>
      <c r="AH64" s="58">
        <f>SUM(Rissho!$C$421:$D$427)</f>
        <v>0</v>
      </c>
      <c r="AI64" s="58">
        <f>SUM(Aichi!$C$421:$D$427)</f>
        <v>0</v>
      </c>
      <c r="AJ64" s="58">
        <f>SUM('Chiba Tech'!$C$421:$D$427)</f>
        <v>0</v>
      </c>
      <c r="AK64" s="58">
        <f>SUM(Nanzan!$C$421:$D$427)</f>
        <v>0</v>
      </c>
      <c r="AL64" s="58">
        <f>SUM(Konan!$C$421:$D$427)</f>
        <v>0</v>
      </c>
      <c r="AM64" s="58">
        <f>SUM('Aichi Shukutoku'!$C$421:$D$427)</f>
        <v>0</v>
      </c>
      <c r="AN64" s="58">
        <f>SUM(Tokkyo!$C$421:$D$427)</f>
        <v>0</v>
      </c>
      <c r="AO64" s="58">
        <f>SUM('Mukogawa Women'!$C$421:$D$427)</f>
        <v>1</v>
      </c>
      <c r="AP64" s="58">
        <f>SUM('Hokkai-Gakuen'!$C$421:$D$427)</f>
        <v>0</v>
      </c>
      <c r="AQ64" s="58">
        <f>SUM('Shibaura '!$C$421:$D$427)</f>
        <v>0</v>
      </c>
      <c r="AR64" s="58">
        <f>SUM('Osaka Sangyo'!$C$421:$D$427)</f>
        <v>0</v>
      </c>
      <c r="AS64" s="58">
        <f>SUM('Seinan Gakuin'!$C$421:$D$427)</f>
        <v>0</v>
      </c>
      <c r="AT64" s="58">
        <f>SUM(Soka!$C$421:$D$427)</f>
        <v>0</v>
      </c>
    </row>
    <row r="65" spans="3:46" ht="18" customHeight="1">
      <c r="C65" s="57">
        <v>10</v>
      </c>
      <c r="D65" s="57">
        <v>61</v>
      </c>
      <c r="E65" s="57">
        <v>56</v>
      </c>
      <c r="F65" s="56">
        <v>44263</v>
      </c>
      <c r="G65" s="56">
        <v>44269</v>
      </c>
      <c r="I65" s="58">
        <f>SUM(Kyoto!$C$428:$D$434)</f>
        <v>0</v>
      </c>
      <c r="J65" s="58">
        <f>SUM(Kyushu!$C$428:$D$434)</f>
        <v>0</v>
      </c>
      <c r="K65" s="58">
        <f>SUM(Tohoku!$C$428:$D$434)</f>
        <v>4</v>
      </c>
      <c r="L65" s="58">
        <f>SUM(Hokkaio!$C$428:$D$434)</f>
        <v>1</v>
      </c>
      <c r="M65" s="58">
        <f>SUM(Nagoya!$C$428:$D$434)</f>
        <v>5</v>
      </c>
      <c r="N65" s="44">
        <f>SUM(Hiroshima!$C$428:$D$434)</f>
        <v>0</v>
      </c>
      <c r="O65" s="44">
        <f>SUM(Chiba!$C$428:$D$434)</f>
        <v>0</v>
      </c>
      <c r="P65" s="44">
        <f>SUM(Niigata!$C$428:$D$434)</f>
        <v>0</v>
      </c>
      <c r="Q65" s="44">
        <f>SUM(Kanazawa!$C$428:$D$434)</f>
        <v>0</v>
      </c>
      <c r="R65" s="44">
        <f>SUM(Shizuoka!$C$428:$D$434)</f>
        <v>0</v>
      </c>
      <c r="S65" s="44">
        <f>SUM(Kumamoto!$C$428:$D$434)</f>
        <v>0</v>
      </c>
      <c r="T65" s="58">
        <f>SUM('Tokyo Metropolitan'!$C$428:$D$434)</f>
        <v>0</v>
      </c>
      <c r="U65" s="44">
        <f>SUM(Saitama!$C$428:$D$434)</f>
        <v>0</v>
      </c>
      <c r="V65" s="44">
        <f>SUM(Ryukyus!$C$428:$D$434)</f>
        <v>1</v>
      </c>
      <c r="W65" s="44">
        <f>SUM(Mie!$C$428:$D$434)</f>
        <v>0</v>
      </c>
      <c r="X65" s="44">
        <f>SUM(Meiji!$C$428:$D$434)</f>
        <v>0</v>
      </c>
      <c r="Y65" s="44">
        <f>SUM(Doshisha!$C$428:$D$434)</f>
        <v>1</v>
      </c>
      <c r="Z65" s="44">
        <f>SUM(Ryukoku!$C$428:$D$434)</f>
        <v>0</v>
      </c>
      <c r="AA65" s="44">
        <f>SUM(Senshu!$C$428:$D$434)</f>
        <v>0</v>
      </c>
      <c r="AB65" s="44">
        <f>SUM(Meijo!$C$428:$D$434)</f>
        <v>0.46666666666666662</v>
      </c>
      <c r="AC65" s="44">
        <f>SUM(Chukyo!$C$428:$D$434)</f>
        <v>0</v>
      </c>
      <c r="AD65" s="58">
        <f>SUM('Kyoto Sangyo'!$C$428:$D$434)</f>
        <v>0</v>
      </c>
      <c r="AE65" s="58">
        <f>SUM('Tohoku Gakuin'!$C$428:$D$434)</f>
        <v>4</v>
      </c>
      <c r="AF65" s="58">
        <f>SUM(Chubu!$C$428:$D$434)</f>
        <v>0</v>
      </c>
      <c r="AG65" s="58">
        <f>SUM('Kobe Gakuin'!$C$428:$D$434)</f>
        <v>0</v>
      </c>
      <c r="AH65" s="58">
        <f>SUM(Rissho!$C$428:$D$434)</f>
        <v>1</v>
      </c>
      <c r="AI65" s="58">
        <f>SUM(Aichi!$C$428:$D$434)</f>
        <v>0</v>
      </c>
      <c r="AJ65" s="58">
        <f>SUM('Chiba Tech'!$C$428:$D$434)</f>
        <v>0</v>
      </c>
      <c r="AK65" s="58">
        <f>SUM(Nanzan!$C$428:$D$434)</f>
        <v>0</v>
      </c>
      <c r="AL65" s="58">
        <f>SUM(Konan!$C$428:$D$434)</f>
        <v>0</v>
      </c>
      <c r="AM65" s="58">
        <f>SUM('Aichi Shukutoku'!$C$428:$D$434)</f>
        <v>1</v>
      </c>
      <c r="AN65" s="58">
        <f>SUM(Tokkyo!$C$428:$D$434)</f>
        <v>0</v>
      </c>
      <c r="AO65" s="58">
        <f>SUM('Mukogawa Women'!$C$428:$D$434)</f>
        <v>0</v>
      </c>
      <c r="AP65" s="58">
        <f>SUM('Hokkai-Gakuen'!$C$428:$D$434)</f>
        <v>0</v>
      </c>
      <c r="AQ65" s="58">
        <f>SUM('Shibaura '!$C$428:$D$434)</f>
        <v>1</v>
      </c>
      <c r="AR65" s="58">
        <f>SUM('Osaka Sangyo'!$C$428:$D$434)</f>
        <v>0</v>
      </c>
      <c r="AS65" s="58">
        <f>SUM('Seinan Gakuin'!$C$428:$D$434)</f>
        <v>0</v>
      </c>
      <c r="AT65" s="58">
        <f>SUM(Soka!$C$428:$D$434)</f>
        <v>0</v>
      </c>
    </row>
    <row r="66" spans="3:46" ht="18" customHeight="1">
      <c r="C66" s="57">
        <v>11</v>
      </c>
      <c r="D66" s="57">
        <v>62</v>
      </c>
      <c r="E66" s="57">
        <v>57</v>
      </c>
      <c r="F66" s="56">
        <v>44270</v>
      </c>
      <c r="G66" s="56">
        <v>44276</v>
      </c>
      <c r="I66" s="58">
        <f>SUM(Kyoto!$C$435:$D$441)</f>
        <v>0</v>
      </c>
      <c r="J66" s="58">
        <f>SUM(Kyushu!$C$435:$D$441)</f>
        <v>3</v>
      </c>
      <c r="K66" s="58">
        <f>SUM(Tohoku!$C$435:$D$441)</f>
        <v>8</v>
      </c>
      <c r="L66" s="58">
        <f>SUM(Hokkaio!$C$435:$D$441)</f>
        <v>1</v>
      </c>
      <c r="M66" s="58">
        <f>SUM(Nagoya!$C$435:$D$441)</f>
        <v>2</v>
      </c>
      <c r="N66" s="44">
        <f>SUM(Hiroshima!$C$435:$D$441)</f>
        <v>0</v>
      </c>
      <c r="O66" s="44">
        <f>SUM(Chiba!$C$435:$D$441)</f>
        <v>2</v>
      </c>
      <c r="P66" s="44">
        <f>SUM(Niigata!$C$435:$D$441)</f>
        <v>2</v>
      </c>
      <c r="Q66" s="44">
        <f>SUM(Kanazawa!$C$435:$D$441)</f>
        <v>0</v>
      </c>
      <c r="R66" s="44">
        <f>SUM(Shizuoka!$C$435:$D$441)</f>
        <v>0</v>
      </c>
      <c r="S66" s="44">
        <f>SUM(Kumamoto!$C$435:$D$441)</f>
        <v>0</v>
      </c>
      <c r="T66" s="58">
        <f>SUM('Tokyo Metropolitan'!$C$435:$D$441)</f>
        <v>0</v>
      </c>
      <c r="U66" s="44">
        <f>SUM(Saitama!$C$435:$D$441)</f>
        <v>3</v>
      </c>
      <c r="V66" s="44">
        <f>SUM(Ryukyus!$C$435:$D$441)</f>
        <v>3</v>
      </c>
      <c r="W66" s="44">
        <f>SUM(Mie!$C$435:$D$441)</f>
        <v>0</v>
      </c>
      <c r="X66" s="44">
        <f>SUM(Meiji!$C$435:$D$441)</f>
        <v>0</v>
      </c>
      <c r="Y66" s="44">
        <f>SUM(Doshisha!$C$435:$D$441)</f>
        <v>0</v>
      </c>
      <c r="Z66" s="44">
        <f>SUM(Ryukoku!$C$435:$D$441)</f>
        <v>0</v>
      </c>
      <c r="AA66" s="44">
        <f>SUM(Senshu!$C$435:$D$441)</f>
        <v>1</v>
      </c>
      <c r="AB66" s="44">
        <f>SUM(Meijo!$C$435:$D$441)</f>
        <v>6.6666666666666666E-2</v>
      </c>
      <c r="AC66" s="44">
        <f>SUM(Chukyo!$C$435:$D$441)</f>
        <v>1</v>
      </c>
      <c r="AD66" s="58">
        <f>SUM('Kyoto Sangyo'!$C$435:$D$441)</f>
        <v>0</v>
      </c>
      <c r="AE66" s="58">
        <f>SUM('Tohoku Gakuin'!$C$435:$D$441)</f>
        <v>2</v>
      </c>
      <c r="AF66" s="58">
        <f>SUM(Chubu!$C$435:$D$441)</f>
        <v>0</v>
      </c>
      <c r="AG66" s="58">
        <f>SUM('Kobe Gakuin'!$C$435:$D$441)</f>
        <v>1</v>
      </c>
      <c r="AH66" s="58">
        <f>SUM(Rissho!$C$435:$D$441)</f>
        <v>4</v>
      </c>
      <c r="AI66" s="58">
        <f>SUM(Aichi!$C$435:$D$441)</f>
        <v>1</v>
      </c>
      <c r="AJ66" s="58">
        <f>SUM('Chiba Tech'!$C$435:$D$441)</f>
        <v>0</v>
      </c>
      <c r="AK66" s="58">
        <f>SUM(Nanzan!$C$435:$D$441)</f>
        <v>0</v>
      </c>
      <c r="AL66" s="58">
        <f>SUM(Konan!$C$435:$D$441)</f>
        <v>1</v>
      </c>
      <c r="AM66" s="58">
        <f>SUM('Aichi Shukutoku'!$C$435:$D$441)</f>
        <v>2.4</v>
      </c>
      <c r="AN66" s="58">
        <f>SUM(Tokkyo!$C$435:$D$441)</f>
        <v>2</v>
      </c>
      <c r="AO66" s="58">
        <f>SUM('Mukogawa Women'!$C$435:$D$441)</f>
        <v>1</v>
      </c>
      <c r="AP66" s="58">
        <f>SUM('Hokkai-Gakuen'!$C$435:$D$441)</f>
        <v>1</v>
      </c>
      <c r="AQ66" s="58">
        <f>SUM('Shibaura '!$C$435:$D$441)</f>
        <v>1</v>
      </c>
      <c r="AR66" s="58">
        <f>SUM('Osaka Sangyo'!$C$435:$D$441)</f>
        <v>0</v>
      </c>
      <c r="AS66" s="58">
        <f>SUM('Seinan Gakuin'!$C$435:$D$441)</f>
        <v>0</v>
      </c>
      <c r="AT66" s="58">
        <f>SUM(Soka!$C$435:$D$441)</f>
        <v>0</v>
      </c>
    </row>
    <row r="67" spans="3:46" ht="18" customHeight="1">
      <c r="C67" s="57">
        <v>12</v>
      </c>
      <c r="D67" s="57">
        <v>63</v>
      </c>
      <c r="E67" s="57">
        <v>58</v>
      </c>
      <c r="F67" s="56">
        <v>44277</v>
      </c>
      <c r="G67" s="56">
        <v>44283</v>
      </c>
      <c r="I67" s="44">
        <f>SUM(Kyoto!$C$442:$D$448)</f>
        <v>0</v>
      </c>
      <c r="J67" s="44">
        <f>SUM(Kyushu!$C$442:$D$448)</f>
        <v>9</v>
      </c>
      <c r="K67" s="44">
        <f>SUM(Tohoku!$C$442:$D$448)</f>
        <v>8</v>
      </c>
      <c r="L67" s="44">
        <f>SUM(Hokkaio!$C$442:$D$448)</f>
        <v>1</v>
      </c>
      <c r="M67" s="44">
        <f>SUM(Nagoya!$C$442:$D$448)</f>
        <v>2</v>
      </c>
      <c r="N67" s="44">
        <f>SUM(Hiroshima!$C$442:$D$448)</f>
        <v>0</v>
      </c>
      <c r="O67" s="44">
        <f>SUM(Chiba!$C$442:$D$448)</f>
        <v>3</v>
      </c>
      <c r="P67" s="44">
        <f>SUM(Niigata!$C$442:$D$448)</f>
        <v>0</v>
      </c>
      <c r="Q67" s="44">
        <f>SUM(Kanazawa!$C$442:$D$448)</f>
        <v>0</v>
      </c>
      <c r="R67" s="44">
        <f>SUM(Shizuoka!$C$442:$D$448)</f>
        <v>0</v>
      </c>
      <c r="S67" s="44">
        <f>SUM(Kumamoto!$C$442:$D$448)</f>
        <v>0</v>
      </c>
      <c r="T67" s="44">
        <f>SUM('Tokyo Metropolitan'!$C$442:$D$448)</f>
        <v>3</v>
      </c>
      <c r="U67" s="44">
        <f>SUM(Saitama!$C$442:$D$448)</f>
        <v>0</v>
      </c>
      <c r="V67" s="44">
        <f>SUM(Ryukyus!$C$442:$D$448)</f>
        <v>3</v>
      </c>
      <c r="W67" s="44">
        <f>SUM(Mie!$C$442:$D$448)</f>
        <v>0</v>
      </c>
      <c r="X67" s="44">
        <f>SUM(Meiji!$C$442:$D$448)</f>
        <v>35</v>
      </c>
      <c r="Y67" s="44">
        <f>SUM(Doshisha!$C$442:$D$448)</f>
        <v>0</v>
      </c>
      <c r="Z67" s="44">
        <f>SUM(Ryukoku!$C$442:$D$448)</f>
        <v>1</v>
      </c>
      <c r="AA67" s="44">
        <f>SUM(Senshu!$C$442:$D$448)</f>
        <v>3</v>
      </c>
      <c r="AB67" s="44">
        <f>SUM(Meijo!$C$442:$D$448)</f>
        <v>0</v>
      </c>
      <c r="AC67" s="44">
        <f>SUM(Chukyo!$C$442:$D$448)</f>
        <v>0</v>
      </c>
      <c r="AD67" s="44">
        <f>SUM('Kyoto Sangyo'!$C$442:$D$448)</f>
        <v>15</v>
      </c>
      <c r="AE67" s="44">
        <f>SUM('Tohoku Gakuin'!$C$442:$D$448)</f>
        <v>4</v>
      </c>
      <c r="AF67" s="44">
        <f>SUM(Chubu!$C$442:$D$448)</f>
        <v>0</v>
      </c>
      <c r="AG67" s="44">
        <f>SUM('Kobe Gakuin'!$C$442:$D$448)</f>
        <v>4</v>
      </c>
      <c r="AH67" s="44">
        <f>SUM(Rissho!$C$442:$D$448)</f>
        <v>2</v>
      </c>
      <c r="AI67" s="44">
        <f>SUM(Aichi!$C$442:$D$448)</f>
        <v>1</v>
      </c>
      <c r="AJ67" s="44">
        <f>SUM('Chiba Tech'!$C$442:$D$448)</f>
        <v>1</v>
      </c>
      <c r="AK67" s="44">
        <f>SUM(Nanzan!$C$442:$D$448)</f>
        <v>0</v>
      </c>
      <c r="AL67" s="44">
        <f>SUM(Konan!$C$442:$D$448)</f>
        <v>0</v>
      </c>
      <c r="AM67" s="44">
        <f>SUM('Aichi Shukutoku'!$C$442:$D$448)</f>
        <v>4.5999999999999996</v>
      </c>
      <c r="AN67" s="44">
        <f>SUM(Tokkyo!$C$442:$D$448)</f>
        <v>0</v>
      </c>
      <c r="AO67" s="44">
        <f>SUM('Mukogawa Women'!$C$442:$D$448)</f>
        <v>2</v>
      </c>
      <c r="AP67" s="44">
        <f>SUM('Hokkai-Gakuen'!$C$442:$D$448)</f>
        <v>0</v>
      </c>
      <c r="AQ67" s="44">
        <f>SUM('Shibaura '!$C$442:$D$448)</f>
        <v>1</v>
      </c>
      <c r="AR67" s="44">
        <f>SUM('Osaka Sangyo'!$C$442:$D$448)</f>
        <v>20</v>
      </c>
      <c r="AS67" s="44">
        <f>SUM('Seinan Gakuin'!$C$442:$D$448)</f>
        <v>0</v>
      </c>
      <c r="AT67" s="44">
        <f>SUM(Soka!$C$442:$D$448)</f>
        <v>0</v>
      </c>
    </row>
    <row r="68" spans="3:46" ht="18" customHeight="1">
      <c r="C68" s="57">
        <v>13</v>
      </c>
      <c r="D68" s="57">
        <v>64</v>
      </c>
      <c r="E68" s="57">
        <v>59</v>
      </c>
      <c r="F68" s="56">
        <v>44284</v>
      </c>
      <c r="G68" s="56">
        <v>44290</v>
      </c>
      <c r="I68" s="44">
        <f>SUM(Kyoto!$C$449:$D$455)</f>
        <v>3</v>
      </c>
      <c r="J68" s="44">
        <f>SUM(Kyushu!$C$449:$D$455)</f>
        <v>32</v>
      </c>
      <c r="K68" s="44">
        <f>SUM(Tohoku!$C$449:$D$455)</f>
        <v>10</v>
      </c>
      <c r="L68" s="44">
        <f>SUM(Hokkaio!$C$449:$D$455)</f>
        <v>0</v>
      </c>
      <c r="M68" s="44">
        <f>SUM(Nagoya!$C$449:$D$455)</f>
        <v>2</v>
      </c>
      <c r="N68" s="44">
        <f>SUM(Hiroshima!$C$449:$D$455)</f>
        <v>1</v>
      </c>
      <c r="O68" s="44">
        <f>SUM(Chiba!$C$449:$D$455)</f>
        <v>2</v>
      </c>
      <c r="P68" s="44">
        <f>SUM(Niigata!$C$449:$D$455)</f>
        <v>0</v>
      </c>
      <c r="Q68" s="44">
        <f>SUM(Kanazawa!$C$449:$D$455)</f>
        <v>1</v>
      </c>
      <c r="R68" s="44">
        <f>SUM(Shizuoka!$C$449:$D$455)</f>
        <v>4</v>
      </c>
      <c r="S68" s="44">
        <f>SUM(Kumamoto!$C$449:$D$455)</f>
        <v>0</v>
      </c>
      <c r="T68" s="44">
        <f>SUM('Tokyo Metropolitan'!$C$449:$D$455)</f>
        <v>0</v>
      </c>
      <c r="U68" s="44">
        <f>SUM(Saitama!$C$449:$D$455)</f>
        <v>0</v>
      </c>
      <c r="V68" s="44">
        <f>SUM(Ryukyus!$C$449:$D$455)</f>
        <v>13</v>
      </c>
      <c r="W68" s="44">
        <f>SUM(Mie!$C$449:$D$455)</f>
        <v>13</v>
      </c>
      <c r="X68" s="44">
        <f>SUM(Meiji!$C$449:$D$455)</f>
        <v>0</v>
      </c>
      <c r="Y68" s="44">
        <f>SUM(Doshisha!$C$449:$D$455)</f>
        <v>3</v>
      </c>
      <c r="Z68" s="44">
        <f>SUM(Ryukoku!$C$449:$D$455)</f>
        <v>0</v>
      </c>
      <c r="AA68" s="44">
        <f>SUM(Senshu!$C$449:$D$455)</f>
        <v>6</v>
      </c>
      <c r="AB68" s="44">
        <f>SUM(Meijo!$C$449:$D$455)</f>
        <v>1.6</v>
      </c>
      <c r="AC68" s="44">
        <f>SUM(Chukyo!$C$449:$D$455)</f>
        <v>1</v>
      </c>
      <c r="AD68" s="44">
        <f>SUM('Kyoto Sangyo'!$C$449:$D$455)</f>
        <v>3</v>
      </c>
      <c r="AE68" s="44">
        <f>SUM('Tohoku Gakuin'!$C$449:$D$455)</f>
        <v>1</v>
      </c>
      <c r="AF68" s="44">
        <f>SUM(Chubu!$C$449:$D$455)</f>
        <v>1</v>
      </c>
      <c r="AG68" s="44">
        <f>SUM('Kobe Gakuin'!$C$449:$D$455)</f>
        <v>13</v>
      </c>
      <c r="AH68" s="44">
        <f>SUM(Rissho!$C$449:$D$455)</f>
        <v>2</v>
      </c>
      <c r="AI68" s="44">
        <f>SUM(Aichi!$C$449:$D$455)</f>
        <v>0</v>
      </c>
      <c r="AJ68" s="44">
        <f>SUM('Chiba Tech'!$C$449:$D$455)</f>
        <v>0</v>
      </c>
      <c r="AK68" s="44">
        <f>SUM(Nanzan!$C$449:$D$455)</f>
        <v>1</v>
      </c>
      <c r="AL68" s="44">
        <f>SUM(Konan!$C$449:$D$455)</f>
        <v>9</v>
      </c>
      <c r="AM68" s="44">
        <f>SUM('Aichi Shukutoku'!$C$449:$D$455)</f>
        <v>1</v>
      </c>
      <c r="AN68" s="44">
        <f>SUM(Tokkyo!$C$449:$D$455)</f>
        <v>3</v>
      </c>
      <c r="AO68" s="44">
        <f>SUM('Mukogawa Women'!$C$449:$D$455)</f>
        <v>4</v>
      </c>
      <c r="AP68" s="44">
        <f>SUM('Hokkai-Gakuen'!$C$449:$D$455)</f>
        <v>1</v>
      </c>
      <c r="AQ68" s="44">
        <f>SUM('Shibaura '!$C$449:$D$455)</f>
        <v>1</v>
      </c>
      <c r="AR68" s="44">
        <f>SUM('Osaka Sangyo'!$C$449:$D$455)</f>
        <v>5</v>
      </c>
      <c r="AS68" s="44">
        <f>SUM('Seinan Gakuin'!$C$449:$D$455)</f>
        <v>0</v>
      </c>
      <c r="AT68" s="44">
        <f>SUM(Soka!$C$449:$D$455)</f>
        <v>1</v>
      </c>
    </row>
    <row r="69" spans="3:46" ht="18" customHeight="1">
      <c r="C69" s="57">
        <v>14</v>
      </c>
      <c r="D69" s="57">
        <v>65</v>
      </c>
      <c r="E69" s="57">
        <v>60</v>
      </c>
      <c r="F69" s="56">
        <v>44291</v>
      </c>
      <c r="G69" s="56">
        <v>44297</v>
      </c>
      <c r="I69" s="44">
        <f>SUM(Kyoto!$C$456:$D$462)</f>
        <v>11</v>
      </c>
      <c r="J69" s="44">
        <f>SUM(Kyushu!$C$456:$D$462)</f>
        <v>14</v>
      </c>
      <c r="K69" s="44">
        <f>SUM(Tohoku!$C$456:$D$462)</f>
        <v>3</v>
      </c>
      <c r="L69" s="44">
        <f>SUM(Hokkaio!$C$456:$D$462)</f>
        <v>1</v>
      </c>
      <c r="M69" s="44">
        <f>SUM(Nagoya!$C$456:$D$462)</f>
        <v>0</v>
      </c>
      <c r="N69" s="44">
        <f>SUM(Hiroshima!$C$456:$D$462)</f>
        <v>2</v>
      </c>
      <c r="O69" s="44">
        <f>SUM(Chiba!$C$456:$D$462)</f>
        <v>2</v>
      </c>
      <c r="P69" s="44">
        <f>SUM(Niigata!$C$456:$D$462)</f>
        <v>9</v>
      </c>
      <c r="Q69" s="44">
        <f>SUM(Kanazawa!$C$456:$D$462)</f>
        <v>2</v>
      </c>
      <c r="R69" s="44">
        <f>SUM(Shizuoka!$C$456:$D$462)</f>
        <v>1</v>
      </c>
      <c r="S69" s="44">
        <f>SUM(Kumamoto!$C$456:$D$462)</f>
        <v>0</v>
      </c>
      <c r="T69" s="44">
        <f>SUM('Tokyo Metropolitan'!$C$456:$D$462)</f>
        <v>4</v>
      </c>
      <c r="U69" s="44">
        <f>SUM(Saitama!$C$456:$D$462)</f>
        <v>0</v>
      </c>
      <c r="V69" s="44">
        <f>SUM(Ryukyus!$C$456:$D$462)</f>
        <v>0</v>
      </c>
      <c r="W69" s="44">
        <f>SUM(Mie!$C$456:$D$462)</f>
        <v>3</v>
      </c>
      <c r="X69" s="44">
        <f>SUM(Meiji!$C$456:$D$462)</f>
        <v>1</v>
      </c>
      <c r="Y69" s="44">
        <f>SUM(Doshisha!$C$456:$D$462)</f>
        <v>18</v>
      </c>
      <c r="Z69" s="44">
        <f>SUM(Ryukoku!$C$456:$D$462)</f>
        <v>14</v>
      </c>
      <c r="AA69" s="44">
        <f>SUM(Senshu!$C$456:$D$462)</f>
        <v>0</v>
      </c>
      <c r="AB69" s="44">
        <f>SUM(Meijo!$C$456:$D$462)</f>
        <v>2.8</v>
      </c>
      <c r="AC69" s="44">
        <f>SUM(Chukyo!$C$456:$D$462)</f>
        <v>2</v>
      </c>
      <c r="AD69" s="44">
        <f>SUM('Kyoto Sangyo'!$C$456:$D$462)</f>
        <v>3</v>
      </c>
      <c r="AE69" s="44">
        <f>SUM('Tohoku Gakuin'!$C$456:$D$462)</f>
        <v>1</v>
      </c>
      <c r="AF69" s="44">
        <f>SUM(Chubu!$C$456:$D$462)</f>
        <v>1</v>
      </c>
      <c r="AG69" s="44">
        <f>SUM('Kobe Gakuin'!$C$456:$D$462)</f>
        <v>8</v>
      </c>
      <c r="AH69" s="44">
        <f>SUM(Rissho!$C$456:$D$462)</f>
        <v>0</v>
      </c>
      <c r="AI69" s="44">
        <f>SUM(Aichi!$C$456:$D$462)</f>
        <v>0</v>
      </c>
      <c r="AJ69" s="44">
        <f>SUM('Chiba Tech'!$C$456:$D$462)</f>
        <v>0</v>
      </c>
      <c r="AK69" s="44">
        <f>SUM(Nanzan!$C$456:$D$462)</f>
        <v>1</v>
      </c>
      <c r="AL69" s="44">
        <f>SUM(Konan!$C$456:$D$462)</f>
        <v>9</v>
      </c>
      <c r="AM69" s="44">
        <f>SUM('Aichi Shukutoku'!$C$456:$D$462)</f>
        <v>5</v>
      </c>
      <c r="AN69" s="44">
        <f>SUM(Tokkyo!$C$456:$D$462)</f>
        <v>0</v>
      </c>
      <c r="AO69" s="44">
        <f>SUM('Mukogawa Women'!$C$456:$D$462)</f>
        <v>14</v>
      </c>
      <c r="AP69" s="44">
        <f>SUM('Hokkai-Gakuen'!$C$456:$D$462)</f>
        <v>0</v>
      </c>
      <c r="AQ69" s="44">
        <f>SUM('Shibaura '!$C$456:$D$462)</f>
        <v>1</v>
      </c>
      <c r="AR69" s="44">
        <f>SUM('Osaka Sangyo'!$C$456:$D$462)</f>
        <v>1</v>
      </c>
      <c r="AS69" s="44">
        <f>SUM('Seinan Gakuin'!$C$456:$D$462)</f>
        <v>1</v>
      </c>
      <c r="AT69" s="44">
        <f>SUM(Soka!$C$456:$D$462)</f>
        <v>2</v>
      </c>
    </row>
    <row r="70" spans="3:46" ht="18" customHeight="1">
      <c r="C70" s="57">
        <v>15</v>
      </c>
      <c r="D70" s="57">
        <v>66</v>
      </c>
      <c r="E70" s="57">
        <v>61</v>
      </c>
      <c r="F70" s="56">
        <v>44298</v>
      </c>
      <c r="G70" s="56">
        <v>44304</v>
      </c>
      <c r="I70" s="44">
        <f>SUM(Kyoto!$C$463:$D$469)</f>
        <v>5</v>
      </c>
      <c r="J70" s="44">
        <f>SUM(Kyushu!$C$463:$D$469)</f>
        <v>13</v>
      </c>
      <c r="K70" s="44">
        <f>SUM(Tohoku!$C$463:$D$469)</f>
        <v>1</v>
      </c>
      <c r="L70" s="44">
        <f>SUM(Hokkaio!$C$463:$D$469)</f>
        <v>0</v>
      </c>
      <c r="M70" s="44">
        <f>SUM(Nagoya!$C$463:$D$469)</f>
        <v>0</v>
      </c>
      <c r="N70" s="44">
        <f>SUM(Hiroshima!$C$463:$D$469)</f>
        <v>1</v>
      </c>
      <c r="O70" s="44">
        <f>SUM(Chiba!$C$463:$D$469)</f>
        <v>3</v>
      </c>
      <c r="P70" s="44">
        <f>SUM(Niigata!$C$463:$D$469)</f>
        <v>8</v>
      </c>
      <c r="Q70" s="44">
        <f>SUM(Kanazawa!$C$463:$D$469)</f>
        <v>0</v>
      </c>
      <c r="R70" s="44">
        <f>SUM(Shizuoka!$C$463:$D$469)</f>
        <v>0</v>
      </c>
      <c r="S70" s="44">
        <f>SUM(Kumamoto!$C$463:$D$469)</f>
        <v>0</v>
      </c>
      <c r="T70" s="44">
        <f>SUM('Tokyo Metropolitan'!$C$463:$D$469)</f>
        <v>1</v>
      </c>
      <c r="U70" s="44">
        <f>SUM(Saitama!$C$463:$D$469)</f>
        <v>1</v>
      </c>
      <c r="V70" s="44">
        <f>SUM(Ryukyus!$C$463:$D$469)</f>
        <v>15</v>
      </c>
      <c r="W70" s="44">
        <f>SUM(Mie!$C$463:$D$469)</f>
        <v>1</v>
      </c>
      <c r="X70" s="44">
        <f>SUM(Meiji!$C$463:$D$469)</f>
        <v>10</v>
      </c>
      <c r="Y70" s="44">
        <f>SUM(Doshisha!$C$463:$D$469)</f>
        <v>12</v>
      </c>
      <c r="Z70" s="44">
        <f>SUM(Ryukoku!$C$463:$D$469)</f>
        <v>12</v>
      </c>
      <c r="AA70" s="44">
        <f>SUM(Senshu!$C$463:$D$469)</f>
        <v>5</v>
      </c>
      <c r="AB70" s="44">
        <f>SUM(Meijo!$C$463:$D$469)</f>
        <v>4.5999999999999996</v>
      </c>
      <c r="AC70" s="44">
        <f>SUM(Chukyo!$C$463:$D$469)</f>
        <v>4</v>
      </c>
      <c r="AD70" s="44">
        <f>SUM('Kyoto Sangyo'!$C$463:$D$469)</f>
        <v>1</v>
      </c>
      <c r="AE70" s="44">
        <f>SUM('Tohoku Gakuin'!$C$463:$D$469)</f>
        <v>1</v>
      </c>
      <c r="AF70" s="44">
        <f>SUM(Chubu!$C$463:$D$469)</f>
        <v>0</v>
      </c>
      <c r="AG70" s="44">
        <f>SUM('Kobe Gakuin'!$C$463:$D$469)</f>
        <v>23</v>
      </c>
      <c r="AH70" s="44">
        <f>SUM(Rissho!$C$463:$D$469)</f>
        <v>2</v>
      </c>
      <c r="AI70" s="44">
        <f>SUM(Aichi!$C$463:$D$469)</f>
        <v>1</v>
      </c>
      <c r="AJ70" s="44">
        <f>SUM('Chiba Tech'!$C$463:$D$469)</f>
        <v>3</v>
      </c>
      <c r="AK70" s="44">
        <f>SUM(Nanzan!$C$463:$D$469)</f>
        <v>1</v>
      </c>
      <c r="AL70" s="44">
        <f>SUM(Konan!$C$463:$D$469)</f>
        <v>4</v>
      </c>
      <c r="AM70" s="44">
        <f>SUM('Aichi Shukutoku'!$C$463:$D$469)</f>
        <v>4</v>
      </c>
      <c r="AN70" s="44">
        <f>SUM(Tokkyo!$C$463:$D$469)</f>
        <v>1</v>
      </c>
      <c r="AO70" s="44">
        <f>SUM('Mukogawa Women'!$C$463:$D$469)</f>
        <v>9</v>
      </c>
      <c r="AP70" s="44">
        <f>SUM('Hokkai-Gakuen'!$C$463:$D$469)</f>
        <v>2</v>
      </c>
      <c r="AQ70" s="44">
        <f>SUM('Shibaura '!$C$463:$D$469)</f>
        <v>0</v>
      </c>
      <c r="AR70" s="44">
        <f>SUM('Osaka Sangyo'!$C$463:$D$469)</f>
        <v>0</v>
      </c>
      <c r="AS70" s="44">
        <f>SUM('Seinan Gakuin'!$C$463:$D$469)</f>
        <v>3</v>
      </c>
      <c r="AT70" s="44">
        <f>SUM(Soka!$C$463:$D$469)</f>
        <v>8</v>
      </c>
    </row>
    <row r="71" spans="3:46" ht="18" customHeight="1">
      <c r="C71" s="57">
        <v>16</v>
      </c>
      <c r="D71" s="57">
        <v>67</v>
      </c>
      <c r="E71" s="57">
        <v>62</v>
      </c>
      <c r="F71" s="56">
        <v>44305</v>
      </c>
      <c r="G71" s="56">
        <v>44311</v>
      </c>
      <c r="I71" s="44">
        <f>SUM(Kyoto!$C$470:$D$476)</f>
        <v>3</v>
      </c>
      <c r="J71" s="44">
        <f>SUM(Kyushu!$C$470:$D$476)</f>
        <v>14</v>
      </c>
      <c r="K71" s="44">
        <f>SUM(Tohoku!$C$470:$D$476)</f>
        <v>0</v>
      </c>
      <c r="L71" s="44">
        <f>SUM(Hokkaio!$C$470:$D$476)</f>
        <v>0</v>
      </c>
      <c r="M71" s="44">
        <f>SUM(Nagoya!$C$470:$D$476)</f>
        <v>1</v>
      </c>
      <c r="N71" s="44">
        <f>SUM(Hiroshima!$C$470:$D$476)</f>
        <v>0</v>
      </c>
      <c r="O71" s="44">
        <f>SUM(Chiba!$C$470:$D$476)</f>
        <v>0</v>
      </c>
      <c r="P71" s="44">
        <f>SUM(Niigata!$C$470:$D$476)</f>
        <v>1</v>
      </c>
      <c r="Q71" s="44">
        <f>SUM(Kanazawa!$C$470:$D$476)</f>
        <v>0</v>
      </c>
      <c r="R71" s="44">
        <f>SUM(Shizuoka!$C$470:$D$476)</f>
        <v>0</v>
      </c>
      <c r="S71" s="44">
        <f>SUM(Kumamoto!$C$470:$D$476)</f>
        <v>5.5</v>
      </c>
      <c r="T71" s="44">
        <f>SUM('Tokyo Metropolitan'!$C$470:$D$476)</f>
        <v>4</v>
      </c>
      <c r="U71" s="44">
        <f>SUM(Saitama!$C$470:$D$476)</f>
        <v>3</v>
      </c>
      <c r="V71" s="44">
        <f>SUM(Ryukyus!$C$470:$D$476)</f>
        <v>6</v>
      </c>
      <c r="W71" s="44">
        <f>SUM(Mie!$C$470:$D$476)</f>
        <v>1</v>
      </c>
      <c r="X71" s="44">
        <f>SUM(Meiji!$C$470:$D$476)</f>
        <v>13</v>
      </c>
      <c r="Y71" s="44">
        <f>SUM(Doshisha!$C$470:$D$476)</f>
        <v>20</v>
      </c>
      <c r="Z71" s="44">
        <f>SUM(Ryukoku!$C$470:$D$476)</f>
        <v>18</v>
      </c>
      <c r="AA71" s="44">
        <f>SUM(Senshu!$C$470:$D$476)</f>
        <v>5</v>
      </c>
      <c r="AB71" s="44">
        <f>SUM(Meijo!$C$470:$D$476)</f>
        <v>7</v>
      </c>
      <c r="AC71" s="44">
        <f>SUM(Chukyo!$C$470:$D$476)</f>
        <v>1</v>
      </c>
      <c r="AD71" s="44">
        <f>SUM('Kyoto Sangyo'!$C$470:$D$476)</f>
        <v>8</v>
      </c>
      <c r="AE71" s="44">
        <f>SUM('Tohoku Gakuin'!$C$470:$D$476)</f>
        <v>0</v>
      </c>
      <c r="AF71" s="44">
        <f>SUM(Chubu!$C$470:$D$476)</f>
        <v>3</v>
      </c>
      <c r="AG71" s="44">
        <f>SUM('Kobe Gakuin'!$C$470:$D$476)</f>
        <v>29</v>
      </c>
      <c r="AH71" s="44">
        <f>SUM(Rissho!$C$470:$D$476)</f>
        <v>2</v>
      </c>
      <c r="AI71" s="44">
        <f>SUM(Aichi!$C$470:$D$476)</f>
        <v>1</v>
      </c>
      <c r="AJ71" s="44">
        <f>SUM('Chiba Tech'!$C$470:$D$476)</f>
        <v>0</v>
      </c>
      <c r="AK71" s="44">
        <f>SUM(Nanzan!$C$470:$D$476)</f>
        <v>4</v>
      </c>
      <c r="AL71" s="44">
        <f>SUM(Konan!$C$470:$D$476)</f>
        <v>7</v>
      </c>
      <c r="AM71" s="44">
        <f>SUM('Aichi Shukutoku'!$C$470:$D$476)</f>
        <v>2</v>
      </c>
      <c r="AN71" s="44">
        <f>SUM(Tokkyo!$C$470:$D$476)</f>
        <v>4</v>
      </c>
      <c r="AO71" s="44">
        <f>SUM('Mukogawa Women'!$C$470:$D$476)</f>
        <v>4</v>
      </c>
      <c r="AP71" s="44">
        <f>SUM('Hokkai-Gakuen'!$C$470:$D$476)</f>
        <v>1</v>
      </c>
      <c r="AQ71" s="44">
        <f>SUM('Shibaura '!$C$470:$D$476)</f>
        <v>2</v>
      </c>
      <c r="AR71" s="44">
        <f>SUM('Osaka Sangyo'!$C$470:$D$476)</f>
        <v>0</v>
      </c>
      <c r="AS71" s="44">
        <f>SUM('Seinan Gakuin'!$C$470:$D$476)</f>
        <v>10</v>
      </c>
      <c r="AT71" s="44">
        <f>SUM(Soka!$C$470:$D$476)</f>
        <v>6</v>
      </c>
    </row>
    <row r="72" spans="3:46" ht="18" customHeight="1">
      <c r="C72" s="57">
        <v>17</v>
      </c>
      <c r="D72" s="57">
        <v>68</v>
      </c>
      <c r="E72" s="57">
        <v>63</v>
      </c>
      <c r="F72" s="56">
        <v>44312</v>
      </c>
      <c r="G72" s="56">
        <v>44318</v>
      </c>
      <c r="I72" s="60">
        <f>SUM(Kyoto!$C$477:$D$483)</f>
        <v>5</v>
      </c>
      <c r="J72" s="60">
        <f>SUM(Kyushu!$C$477:$D$483)</f>
        <v>2</v>
      </c>
      <c r="K72" s="60">
        <f>SUM(Tohoku!$C$477:$D$483)</f>
        <v>1</v>
      </c>
      <c r="L72" s="60">
        <f>SUM(Hokkaio!$C$477:$D$483)</f>
        <v>4.25</v>
      </c>
      <c r="M72" s="60">
        <f>SUM(Nagoya!$C$477:$D$483)</f>
        <v>2</v>
      </c>
      <c r="N72" s="44">
        <f>SUM(Hiroshima!$C$477:$D$483)</f>
        <v>1</v>
      </c>
      <c r="O72" s="44">
        <f>SUM(Chiba!$C$477:$D$483)</f>
        <v>11.599999999999998</v>
      </c>
      <c r="P72" s="44">
        <f>SUM(Niigata!$C$477:$D$483)</f>
        <v>0</v>
      </c>
      <c r="Q72" s="60">
        <f>SUM(Kanazawa!$C$477:$D$483)</f>
        <v>1</v>
      </c>
      <c r="R72" s="60">
        <f>SUM(Shizuoka!$C$477:$D$483)</f>
        <v>0</v>
      </c>
      <c r="S72" s="44">
        <f>SUM(Kumamoto!$C$477:$D$483)</f>
        <v>11.666666666666666</v>
      </c>
      <c r="T72" s="60">
        <f>SUM('Tokyo Metropolitan'!$C$477:$D$483)</f>
        <v>3</v>
      </c>
      <c r="U72" s="44">
        <f>SUM(Saitama!$C$477:$D$483)</f>
        <v>2</v>
      </c>
      <c r="V72" s="44">
        <f>SUM(Ryukyus!$C$477:$D$483)</f>
        <v>1</v>
      </c>
      <c r="W72" s="60">
        <f>SUM(Mie!$C$477:$D$483)</f>
        <v>0</v>
      </c>
      <c r="X72" s="60">
        <f>SUM(Meiji!$C$477:$D$483)</f>
        <v>24</v>
      </c>
      <c r="Y72" s="60">
        <f>SUM(Doshisha!$C$477:$D$483)</f>
        <v>7</v>
      </c>
      <c r="Z72" s="60">
        <f>SUM(Ryukoku!$C$477:$D$483)</f>
        <v>8</v>
      </c>
      <c r="AA72" s="60">
        <f>SUM(Senshu!$C$477:$D$483)</f>
        <v>9</v>
      </c>
      <c r="AB72" s="60">
        <f>SUM(Meijo!$C$477:$D$483)</f>
        <v>8.2727272727272734</v>
      </c>
      <c r="AC72" s="60">
        <f>SUM(Chukyo!$C$477:$D$483)</f>
        <v>3.6</v>
      </c>
      <c r="AD72" s="60">
        <f>SUM('Kyoto Sangyo'!$C$477:$D$483)</f>
        <v>6</v>
      </c>
      <c r="AE72" s="60">
        <f>SUM('Tohoku Gakuin'!$C$477:$D$483)</f>
        <v>0</v>
      </c>
      <c r="AF72" s="60">
        <f>SUM(Chubu!$C$477:$D$483)</f>
        <v>1</v>
      </c>
      <c r="AG72" s="60">
        <f>SUM('Kobe Gakuin'!$C$477:$D$483)</f>
        <v>6</v>
      </c>
      <c r="AH72" s="60">
        <f>SUM(Rissho!$C$477:$D$483)</f>
        <v>2</v>
      </c>
      <c r="AI72" s="60">
        <f>SUM(Aichi!$C$477:$D$483)</f>
        <v>2</v>
      </c>
      <c r="AJ72" s="60">
        <f>SUM('Chiba Tech'!$C$477:$D$483)</f>
        <v>1</v>
      </c>
      <c r="AK72" s="60">
        <f>SUM(Nanzan!$C$477:$D$483)</f>
        <v>4</v>
      </c>
      <c r="AL72" s="60">
        <f>SUM(Konan!$C$477:$D$483)</f>
        <v>14</v>
      </c>
      <c r="AM72" s="60">
        <f>SUM('Aichi Shukutoku'!$C$477:$D$483)</f>
        <v>1</v>
      </c>
      <c r="AN72" s="60">
        <f>SUM(Tokkyo!$C$477:$D$483)</f>
        <v>4</v>
      </c>
      <c r="AO72" s="60">
        <f>SUM('Mukogawa Women'!$C$477:$D$483)</f>
        <v>3</v>
      </c>
      <c r="AP72" s="60">
        <f>SUM('Hokkai-Gakuen'!$C$477:$D$483)</f>
        <v>4</v>
      </c>
      <c r="AQ72" s="60">
        <f>SUM('Shibaura '!$C$477:$D$483)</f>
        <v>1</v>
      </c>
      <c r="AR72" s="60">
        <f>SUM('Osaka Sangyo'!$C$477:$D$483)</f>
        <v>0</v>
      </c>
      <c r="AS72" s="60">
        <f>SUM('Seinan Gakuin'!$C$477:$D$483)</f>
        <v>13</v>
      </c>
      <c r="AT72" s="60">
        <f>SUM(Soka!$C$477:$D$483)</f>
        <v>27</v>
      </c>
    </row>
    <row r="73" spans="3:46" ht="18" customHeight="1">
      <c r="C73" s="57">
        <v>18</v>
      </c>
      <c r="D73" s="57">
        <v>69</v>
      </c>
      <c r="E73" s="57">
        <v>64</v>
      </c>
      <c r="F73" s="56">
        <v>44319</v>
      </c>
      <c r="G73" s="56">
        <v>44325</v>
      </c>
      <c r="I73" s="60">
        <f>SUM(Kyoto!$C$484:$D$490)</f>
        <v>0</v>
      </c>
      <c r="J73" s="60">
        <f>SUM(Kyushu!$C$484:$D$490)</f>
        <v>3</v>
      </c>
      <c r="K73" s="60">
        <f>SUM(Tohoku!$C$484:$D$490)</f>
        <v>4</v>
      </c>
      <c r="L73" s="60">
        <f>SUM(Hokkaio!$C$484:$D$490)</f>
        <v>5.3125</v>
      </c>
      <c r="M73" s="60">
        <f>SUM(Nagoya!$C$484:$D$490)</f>
        <v>2</v>
      </c>
      <c r="N73" s="44">
        <f>SUM(Hiroshima!$C$484:$D$490)</f>
        <v>10.999999999999998</v>
      </c>
      <c r="O73" s="44">
        <f>SUM(Chiba!$C$484:$D$490)</f>
        <v>5.8</v>
      </c>
      <c r="P73" s="44">
        <f>SUM(Niigata!$C$484:$D$490)</f>
        <v>0</v>
      </c>
      <c r="Q73" s="60">
        <f>SUM(Kanazawa!$C$484:$D$490)</f>
        <v>5</v>
      </c>
      <c r="R73" s="60">
        <f>SUM(Shizuoka!$C$484:$D$490)</f>
        <v>4</v>
      </c>
      <c r="S73" s="44">
        <f>SUM(Kumamoto!$C$484:$D$490)</f>
        <v>12.583333333333336</v>
      </c>
      <c r="T73" s="60">
        <f>SUM('Tokyo Metropolitan'!$C$484:$D$490)</f>
        <v>4</v>
      </c>
      <c r="U73" s="44">
        <f>SUM(Saitama!$C$484:$D$490)</f>
        <v>3</v>
      </c>
      <c r="V73" s="44">
        <f>SUM(Ryukyus!$C$484:$D$490)</f>
        <v>0</v>
      </c>
      <c r="W73" s="60">
        <f>SUM(Mie!$C$484:$D$490)</f>
        <v>0</v>
      </c>
      <c r="X73" s="60">
        <f>SUM(Meiji!$C$484:$D$490)</f>
        <v>5</v>
      </c>
      <c r="Y73" s="60">
        <f>SUM(Doshisha!$C$484:$D$490)</f>
        <v>10</v>
      </c>
      <c r="Z73" s="60">
        <f>SUM(Ryukoku!$C$484:$D$490)</f>
        <v>2</v>
      </c>
      <c r="AA73" s="60">
        <f>SUM(Senshu!$C$484:$D$490)</f>
        <v>7</v>
      </c>
      <c r="AB73" s="60">
        <f>SUM(Meijo!$C$484:$D$490)</f>
        <v>13.027272727272727</v>
      </c>
      <c r="AC73" s="60">
        <f>SUM(Chukyo!$C$484:$D$490)</f>
        <v>7.4</v>
      </c>
      <c r="AD73" s="60">
        <f>SUM('Kyoto Sangyo'!$C$484:$D$490)</f>
        <v>0</v>
      </c>
      <c r="AE73" s="60">
        <f>SUM('Tohoku Gakuin'!$C$484:$D$490)</f>
        <v>3</v>
      </c>
      <c r="AF73" s="60">
        <f>SUM(Chubu!$C$484:$D$490)</f>
        <v>7</v>
      </c>
      <c r="AG73" s="60">
        <f>SUM('Kobe Gakuin'!$C$484:$D$490)</f>
        <v>2</v>
      </c>
      <c r="AH73" s="60">
        <f>SUM(Rissho!$C$484:$D$490)</f>
        <v>1</v>
      </c>
      <c r="AI73" s="60">
        <f>SUM(Aichi!$C$484:$D$490)</f>
        <v>2</v>
      </c>
      <c r="AJ73" s="60">
        <f>SUM('Chiba Tech'!$C$484:$D$490)</f>
        <v>1</v>
      </c>
      <c r="AK73" s="60">
        <f>SUM(Nanzan!$C$484:$D$490)</f>
        <v>3</v>
      </c>
      <c r="AL73" s="60">
        <f>SUM(Konan!$C$484:$D$490)</f>
        <v>4</v>
      </c>
      <c r="AM73" s="60">
        <f>SUM('Aichi Shukutoku'!$C$484:$D$490)</f>
        <v>5</v>
      </c>
      <c r="AN73" s="60">
        <f>SUM(Tokkyo!$C$484:$D$490)</f>
        <v>1</v>
      </c>
      <c r="AO73" s="60">
        <f>SUM('Mukogawa Women'!$C$484:$D$490)</f>
        <v>1</v>
      </c>
      <c r="AP73" s="60">
        <f>SUM('Hokkai-Gakuen'!$C$484:$D$490)</f>
        <v>12</v>
      </c>
      <c r="AQ73" s="60">
        <f>SUM('Shibaura '!$C$484:$D$490)</f>
        <v>2</v>
      </c>
      <c r="AR73" s="60">
        <f>SUM('Osaka Sangyo'!$C$484:$D$490)</f>
        <v>0</v>
      </c>
      <c r="AS73" s="60">
        <f>SUM('Seinan Gakuin'!$C$484:$D$490)</f>
        <v>13</v>
      </c>
      <c r="AT73" s="60">
        <f>SUM(Soka!$C$484:$D$490)</f>
        <v>31</v>
      </c>
    </row>
    <row r="74" spans="3:46" ht="18" customHeight="1">
      <c r="C74" s="57">
        <v>19</v>
      </c>
      <c r="D74" s="57">
        <v>70</v>
      </c>
      <c r="E74" s="57">
        <v>65</v>
      </c>
      <c r="F74" s="56">
        <v>44326</v>
      </c>
      <c r="G74" s="56">
        <v>44332</v>
      </c>
      <c r="I74" s="60">
        <f>SUM(Kyoto!$C$491:$D$497)</f>
        <v>4</v>
      </c>
      <c r="J74" s="60">
        <f>SUM(Kyushu!$C$491:$D$497)</f>
        <v>11</v>
      </c>
      <c r="K74" s="60">
        <f>SUM(Tohoku!$C$491:$D$497)</f>
        <v>1</v>
      </c>
      <c r="L74" s="60">
        <f>SUM(Hokkaio!$C$491:$D$497)</f>
        <v>2.1875</v>
      </c>
      <c r="M74" s="60">
        <f>SUM(Nagoya!$C$491:$D$497)</f>
        <v>3</v>
      </c>
      <c r="N74" s="44">
        <f>SUM(Hiroshima!$C$491:$D$497)</f>
        <v>17</v>
      </c>
      <c r="O74" s="44">
        <f>SUM(Chiba!$C$491:$D$497)</f>
        <v>10</v>
      </c>
      <c r="P74" s="44">
        <f>SUM(Niigata!$C$491:$D$497)</f>
        <v>4.25</v>
      </c>
      <c r="Q74" s="60">
        <f>SUM(Kanazawa!$C$491:$D$497)</f>
        <v>6</v>
      </c>
      <c r="R74" s="60">
        <f>SUM(Shizuoka!$C$491:$D$497)</f>
        <v>3</v>
      </c>
      <c r="S74" s="44">
        <f>SUM(Kumamoto!$C$491:$D$497)</f>
        <v>16.125</v>
      </c>
      <c r="T74" s="60">
        <f>SUM('Tokyo Metropolitan'!$C$491:$D$497)</f>
        <v>1</v>
      </c>
      <c r="U74" s="44">
        <f>SUM(Saitama!$C$491:$D$497)</f>
        <v>4</v>
      </c>
      <c r="V74" s="44">
        <f>SUM(Ryukyus!$C$491:$D$497)</f>
        <v>5</v>
      </c>
      <c r="W74" s="60">
        <f>SUM(Mie!$C$491:$D$497)</f>
        <v>1</v>
      </c>
      <c r="X74" s="60">
        <f>SUM(Meiji!$C$491:$D$497)</f>
        <v>6</v>
      </c>
      <c r="Y74" s="60">
        <f>SUM(Doshisha!$C$491:$D$497)</f>
        <v>9</v>
      </c>
      <c r="Z74" s="60">
        <f>SUM(Ryukoku!$C$491:$D$497)</f>
        <v>8</v>
      </c>
      <c r="AA74" s="60">
        <f>SUM(Senshu!$C$491:$D$497)</f>
        <v>13</v>
      </c>
      <c r="AB74" s="60">
        <f>SUM(Meijo!$C$491:$D$497)</f>
        <v>19.700000000000003</v>
      </c>
      <c r="AC74" s="60">
        <f>SUM(Chukyo!$C$491:$D$497)</f>
        <v>3</v>
      </c>
      <c r="AD74" s="60">
        <f>SUM('Kyoto Sangyo'!$C$491:$D$497)</f>
        <v>1</v>
      </c>
      <c r="AE74" s="60">
        <f>SUM('Tohoku Gakuin'!$C$491:$D$497)</f>
        <v>0</v>
      </c>
      <c r="AF74" s="60">
        <f>SUM(Chubu!$C$491:$D$497)</f>
        <v>11</v>
      </c>
      <c r="AG74" s="60">
        <f>SUM('Kobe Gakuin'!$C$491:$D$497)</f>
        <v>2</v>
      </c>
      <c r="AH74" s="60">
        <f>SUM(Rissho!$C$491:$D$497)</f>
        <v>2</v>
      </c>
      <c r="AI74" s="60">
        <f>SUM(Aichi!$C$491:$D$497)</f>
        <v>8</v>
      </c>
      <c r="AJ74" s="60">
        <f>SUM('Chiba Tech'!$C$491:$D$497)</f>
        <v>3</v>
      </c>
      <c r="AK74" s="60">
        <f>SUM(Nanzan!$C$491:$D$497)</f>
        <v>4</v>
      </c>
      <c r="AL74" s="60">
        <f>SUM(Konan!$C$491:$D$497)</f>
        <v>7</v>
      </c>
      <c r="AM74" s="60">
        <f>SUM('Aichi Shukutoku'!$C$491:$D$497)</f>
        <v>13</v>
      </c>
      <c r="AN74" s="60">
        <f>SUM(Tokkyo!$C$491:$D$497)</f>
        <v>0</v>
      </c>
      <c r="AO74" s="60">
        <f>SUM('Mukogawa Women'!$C$491:$D$497)</f>
        <v>4</v>
      </c>
      <c r="AP74" s="60">
        <f>SUM('Hokkai-Gakuen'!$C$491:$D$497)</f>
        <v>24</v>
      </c>
      <c r="AQ74" s="60">
        <f>SUM('Shibaura '!$C$491:$D$497)</f>
        <v>1</v>
      </c>
      <c r="AR74" s="60">
        <f>SUM('Osaka Sangyo'!$C$491:$D$497)</f>
        <v>0</v>
      </c>
      <c r="AS74" s="60">
        <f>SUM('Seinan Gakuin'!$C$491:$D$497)</f>
        <v>7</v>
      </c>
      <c r="AT74" s="60">
        <f>SUM(Soka!$C$491:$D$497)</f>
        <v>0</v>
      </c>
    </row>
    <row r="75" spans="3:46" ht="18" customHeight="1">
      <c r="C75" s="57">
        <v>20</v>
      </c>
      <c r="D75" s="57">
        <v>71</v>
      </c>
      <c r="E75" s="57">
        <v>66</v>
      </c>
      <c r="F75" s="56">
        <v>44333</v>
      </c>
      <c r="G75" s="56">
        <v>44339</v>
      </c>
      <c r="I75" s="60">
        <f>SUM(Kyoto!$C$498:$D$504)</f>
        <v>5</v>
      </c>
      <c r="J75" s="60">
        <f>SUM(Kyushu!$C$498:$D$504)</f>
        <v>8</v>
      </c>
      <c r="K75" s="60">
        <f>SUM(Tohoku!$C$498:$D$504)</f>
        <v>1</v>
      </c>
      <c r="L75" s="60">
        <f>SUM(Hokkaio!$C$498:$D$504)</f>
        <v>5.6166666666666663</v>
      </c>
      <c r="M75" s="60">
        <f>SUM(Nagoya!$C$498:$D$504)</f>
        <v>7</v>
      </c>
      <c r="N75" s="44">
        <f>SUM(Hiroshima!$C$498:$D$504)</f>
        <v>7</v>
      </c>
      <c r="O75" s="44">
        <f>SUM(Chiba!$C$498:$D$504)</f>
        <v>4</v>
      </c>
      <c r="P75" s="44">
        <f>SUM(Niigata!$C$498:$D$504)</f>
        <v>1.75</v>
      </c>
      <c r="Q75" s="60">
        <f>SUM(Kanazawa!$C$498:$D$504)</f>
        <v>1</v>
      </c>
      <c r="R75" s="60">
        <f>SUM(Shizuoka!$C$498:$D$504)</f>
        <v>1</v>
      </c>
      <c r="S75" s="44">
        <f>SUM(Kumamoto!$C$498:$D$504)</f>
        <v>9.25</v>
      </c>
      <c r="T75" s="60">
        <f>SUM('Tokyo Metropolitan'!$C$498:$D$504)</f>
        <v>0</v>
      </c>
      <c r="U75" s="44">
        <f>SUM(Saitama!$C$498:$D$504)</f>
        <v>6</v>
      </c>
      <c r="V75" s="44">
        <f>SUM(Ryukyus!$C$498:$D$504)</f>
        <v>1</v>
      </c>
      <c r="W75" s="60">
        <f>SUM(Mie!$C$498:$D$504)</f>
        <v>3</v>
      </c>
      <c r="X75" s="60">
        <f>SUM(Meiji!$C$498:$D$504)</f>
        <v>19</v>
      </c>
      <c r="Y75" s="60">
        <f>SUM(Doshisha!$C$498:$D$504)</f>
        <v>13</v>
      </c>
      <c r="Z75" s="60">
        <f>SUM(Ryukoku!$C$498:$D$504)</f>
        <v>14</v>
      </c>
      <c r="AA75" s="60">
        <f>SUM(Senshu!$C$498:$D$504)</f>
        <v>3</v>
      </c>
      <c r="AB75" s="60">
        <f>SUM(Meijo!$C$498:$D$504)</f>
        <v>26.000000000000004</v>
      </c>
      <c r="AC75" s="60">
        <f>SUM(Chukyo!$C$498:$D$504)</f>
        <v>7.6666666666666661</v>
      </c>
      <c r="AD75" s="60">
        <f>SUM('Kyoto Sangyo'!$C$498:$D$504)</f>
        <v>0</v>
      </c>
      <c r="AE75" s="60">
        <f>SUM('Tohoku Gakuin'!$C$498:$D$504)</f>
        <v>0</v>
      </c>
      <c r="AF75" s="60">
        <f>SUM(Chubu!$C$498:$D$504)</f>
        <v>11</v>
      </c>
      <c r="AG75" s="60">
        <f>SUM('Kobe Gakuin'!$C$498:$D$504)</f>
        <v>1</v>
      </c>
      <c r="AH75" s="60">
        <f>SUM(Rissho!$C$498:$D$504)</f>
        <v>1</v>
      </c>
      <c r="AI75" s="60">
        <f>SUM(Aichi!$C$498:$D$504)</f>
        <v>4.5</v>
      </c>
      <c r="AJ75" s="60">
        <f>SUM('Chiba Tech'!$C$498:$D$504)</f>
        <v>0</v>
      </c>
      <c r="AK75" s="60">
        <f>SUM(Nanzan!$C$498:$D$504)</f>
        <v>9</v>
      </c>
      <c r="AL75" s="60">
        <f>SUM(Konan!$C$498:$D$504)</f>
        <v>2</v>
      </c>
      <c r="AM75" s="60">
        <f>SUM('Aichi Shukutoku'!$C$498:$D$504)</f>
        <v>8</v>
      </c>
      <c r="AN75" s="60">
        <f>SUM(Tokkyo!$C$498:$D$504)</f>
        <v>1</v>
      </c>
      <c r="AO75" s="60">
        <f>SUM('Mukogawa Women'!$C$498:$D$504)</f>
        <v>1</v>
      </c>
      <c r="AP75" s="60">
        <f>SUM('Hokkai-Gakuen'!$C$498:$D$504)</f>
        <v>6</v>
      </c>
      <c r="AQ75" s="60">
        <f>SUM('Shibaura '!$C$498:$D$504)</f>
        <v>1</v>
      </c>
      <c r="AR75" s="60">
        <f>SUM('Osaka Sangyo'!$C$498:$D$504)</f>
        <v>0</v>
      </c>
      <c r="AS75" s="60">
        <f>SUM('Seinan Gakuin'!$C$498:$D$504)</f>
        <v>8</v>
      </c>
      <c r="AT75" s="60">
        <f>SUM(Soka!$C$498:$D$504)</f>
        <v>0</v>
      </c>
    </row>
    <row r="76" spans="3:46" ht="18" customHeight="1">
      <c r="C76" s="57">
        <v>21</v>
      </c>
      <c r="D76" s="57">
        <v>72</v>
      </c>
      <c r="E76" s="57">
        <v>67</v>
      </c>
      <c r="F76" s="56">
        <v>44340</v>
      </c>
      <c r="G76" s="56">
        <v>44346</v>
      </c>
      <c r="I76" s="60">
        <f>SUM(Kyoto!$C$505:$D$511)</f>
        <v>3</v>
      </c>
      <c r="J76" s="60">
        <f>SUM(Kyushu!$C$505:$D$511)</f>
        <v>10</v>
      </c>
      <c r="K76" s="60">
        <f>SUM(Tohoku!$C$505:$D$511)</f>
        <v>0</v>
      </c>
      <c r="L76" s="60">
        <f>SUM(Hokkaio!$C$505:$D$511)</f>
        <v>2.9666666666666659</v>
      </c>
      <c r="M76" s="60">
        <f>SUM(Nagoya!$C$505:$D$511)</f>
        <v>3</v>
      </c>
      <c r="N76" s="44">
        <f>SUM(Hiroshima!$C$505:$D$511)</f>
        <v>4</v>
      </c>
      <c r="O76" s="44">
        <f>SUM(Chiba!$C$505:$D$511)</f>
        <v>4</v>
      </c>
      <c r="P76" s="44">
        <f>SUM(Niigata!$C$505:$D$511)</f>
        <v>1</v>
      </c>
      <c r="Q76" s="60">
        <f>SUM(Kanazawa!$C$505:$D$511)</f>
        <v>1</v>
      </c>
      <c r="R76" s="60">
        <f>SUM(Shizuoka!$C$505:$D$511)</f>
        <v>0</v>
      </c>
      <c r="S76" s="44">
        <f>SUM(Kumamoto!$C$505:$D$511)</f>
        <v>5</v>
      </c>
      <c r="T76" s="60">
        <f>SUM('Tokyo Metropolitan'!$C$505:$D$511)</f>
        <v>2</v>
      </c>
      <c r="U76" s="44">
        <f>SUM(Saitama!$C$505:$D$511)</f>
        <v>9</v>
      </c>
      <c r="V76" s="44">
        <f>SUM(Ryukyus!$C$505:$D$511)</f>
        <v>0</v>
      </c>
      <c r="W76" s="60">
        <f>SUM(Mie!$C$505:$D$511)</f>
        <v>0</v>
      </c>
      <c r="X76" s="60">
        <f>SUM(Meiji!$C$505:$D$511)</f>
        <v>7</v>
      </c>
      <c r="Y76" s="60">
        <f>SUM(Doshisha!$C$505:$D$511)</f>
        <v>6</v>
      </c>
      <c r="Z76" s="60">
        <f>SUM(Ryukoku!$C$505:$D$511)</f>
        <v>0</v>
      </c>
      <c r="AA76" s="60">
        <f>SUM(Senshu!$C$505:$D$511)</f>
        <v>6</v>
      </c>
      <c r="AB76" s="60">
        <f>SUM(Meijo!$C$505:$D$511)</f>
        <v>15.75</v>
      </c>
      <c r="AC76" s="60">
        <f>SUM(Chukyo!$C$505:$D$511)</f>
        <v>14.333333333333332</v>
      </c>
      <c r="AD76" s="60">
        <f>SUM('Kyoto Sangyo'!$C$505:$D$511)</f>
        <v>1</v>
      </c>
      <c r="AE76" s="60">
        <f>SUM('Tohoku Gakuin'!$C$505:$D$511)</f>
        <v>0</v>
      </c>
      <c r="AF76" s="60">
        <f>SUM(Chubu!$C$505:$D$511)</f>
        <v>10</v>
      </c>
      <c r="AG76" s="60">
        <f>SUM('Kobe Gakuin'!$C$505:$D$511)</f>
        <v>3</v>
      </c>
      <c r="AH76" s="60">
        <f>SUM(Rissho!$C$505:$D$511)</f>
        <v>3</v>
      </c>
      <c r="AI76" s="60">
        <f>SUM(Aichi!$C$505:$D$511)</f>
        <v>5.5</v>
      </c>
      <c r="AJ76" s="60">
        <f>SUM('Chiba Tech'!$C$505:$D$511)</f>
        <v>2</v>
      </c>
      <c r="AK76" s="60">
        <f>SUM(Nanzan!$C$505:$D$511)</f>
        <v>2</v>
      </c>
      <c r="AL76" s="60">
        <f>SUM(Konan!$C$505:$D$511)</f>
        <v>1</v>
      </c>
      <c r="AM76" s="60">
        <f>SUM('Aichi Shukutoku'!$C$505:$D$511)</f>
        <v>3</v>
      </c>
      <c r="AN76" s="60">
        <f>SUM(Tokkyo!$C$505:$D$511)</f>
        <v>3</v>
      </c>
      <c r="AO76" s="60">
        <f>SUM('Mukogawa Women'!$C$505:$D$511)</f>
        <v>1</v>
      </c>
      <c r="AP76" s="60">
        <f>SUM('Hokkai-Gakuen'!$C$505:$D$511)</f>
        <v>5</v>
      </c>
      <c r="AQ76" s="60">
        <f>SUM('Shibaura '!$C$505:$D$511)</f>
        <v>0</v>
      </c>
      <c r="AR76" s="60">
        <f>SUM('Osaka Sangyo'!$C$505:$D$511)</f>
        <v>0</v>
      </c>
      <c r="AS76" s="60">
        <f>SUM('Seinan Gakuin'!$C$505:$D$511)</f>
        <v>5</v>
      </c>
      <c r="AT76" s="60">
        <f>SUM(Soka!$C$505:$D$511)</f>
        <v>1</v>
      </c>
    </row>
    <row r="77" spans="3:46" ht="18" customHeight="1">
      <c r="C77" s="57">
        <v>22</v>
      </c>
      <c r="D77" s="57">
        <v>73</v>
      </c>
      <c r="E77" s="57">
        <v>68</v>
      </c>
      <c r="F77" s="56">
        <v>44347</v>
      </c>
      <c r="G77" s="56">
        <v>44353</v>
      </c>
      <c r="I77" s="58">
        <f>SUM(Kyoto!$C$512:$D$518)</f>
        <v>2</v>
      </c>
      <c r="J77" s="58">
        <f>SUM(Kyushu!$C$512:$D$518)</f>
        <v>1</v>
      </c>
      <c r="K77" s="58">
        <f>SUM(Tohoku!$C$512:$D$518)</f>
        <v>0</v>
      </c>
      <c r="L77" s="58">
        <f>SUM(Hokkaio!$C$512:$D$518)</f>
        <v>1.166666666666667</v>
      </c>
      <c r="M77" s="58">
        <f>SUM(Nagoya!$C$512:$D$518)</f>
        <v>2</v>
      </c>
      <c r="N77" s="44">
        <f>SUM(Hiroshima!$C$512:$D$518)</f>
        <v>5</v>
      </c>
      <c r="O77" s="44">
        <f>SUM(Chiba!$C$512:$D$518)</f>
        <v>3</v>
      </c>
      <c r="P77" s="44">
        <f>SUM(Niigata!$C$512:$D$518)</f>
        <v>0</v>
      </c>
      <c r="Q77" s="44">
        <f>SUM(Kanazawa!$C$512:$D$518)</f>
        <v>1</v>
      </c>
      <c r="R77" s="44">
        <f>SUM(Shizuoka!$C$512:$D$518)</f>
        <v>2</v>
      </c>
      <c r="S77" s="44">
        <f>SUM(Kumamoto!$C$512:$D$518)</f>
        <v>0</v>
      </c>
      <c r="T77" s="58">
        <f>SUM('Tokyo Metropolitan'!$C$512:$D$518)</f>
        <v>0</v>
      </c>
      <c r="U77" s="44">
        <f>SUM(Saitama!$C$512:$D$518)</f>
        <v>2</v>
      </c>
      <c r="V77" s="44">
        <f>SUM(Ryukyus!$C$512:$D$518)</f>
        <v>8</v>
      </c>
      <c r="W77" s="44">
        <f>SUM(Mie!$C$512:$D$518)</f>
        <v>1</v>
      </c>
      <c r="X77" s="44">
        <f>SUM(Meiji!$C$512:$D$518)</f>
        <v>8.7999999999999989</v>
      </c>
      <c r="Y77" s="44">
        <f>SUM(Doshisha!$C$512:$D$518)</f>
        <v>2</v>
      </c>
      <c r="Z77" s="44">
        <f>SUM(Ryukoku!$C$512:$D$518)</f>
        <v>5</v>
      </c>
      <c r="AA77" s="44">
        <f>SUM(Senshu!$C$512:$D$518)</f>
        <v>0</v>
      </c>
      <c r="AB77" s="44">
        <f>SUM(Meijo!$C$512:$D$518)</f>
        <v>5.678571428571427</v>
      </c>
      <c r="AC77" s="44">
        <f>SUM(Chukyo!$C$512:$D$518)</f>
        <v>7</v>
      </c>
      <c r="AD77" s="58">
        <f>SUM('Kyoto Sangyo'!$C$512:$D$518)</f>
        <v>2</v>
      </c>
      <c r="AE77" s="58">
        <f>SUM('Tohoku Gakuin'!$C$512:$D$518)</f>
        <v>1</v>
      </c>
      <c r="AF77" s="58">
        <f>SUM(Chubu!$C$512:$D$518)</f>
        <v>3</v>
      </c>
      <c r="AG77" s="58">
        <f>SUM('Kobe Gakuin'!$C$512:$D$518)</f>
        <v>0</v>
      </c>
      <c r="AH77" s="58">
        <f>SUM(Rissho!$C$512:$D$518)</f>
        <v>1</v>
      </c>
      <c r="AI77" s="58">
        <f>SUM(Aichi!$C$512:$D$518)</f>
        <v>2</v>
      </c>
      <c r="AJ77" s="58">
        <f>SUM('Chiba Tech'!$C$512:$D$518)</f>
        <v>1</v>
      </c>
      <c r="AK77" s="58">
        <f>SUM(Nanzan!$C$512:$D$518)</f>
        <v>1</v>
      </c>
      <c r="AL77" s="58">
        <f>SUM(Konan!$C$512:$D$518)</f>
        <v>1</v>
      </c>
      <c r="AM77" s="58">
        <f>SUM('Aichi Shukutoku'!$C$512:$D$518)</f>
        <v>1</v>
      </c>
      <c r="AN77" s="58">
        <f>SUM(Tokkyo!$C$512:$D$518)</f>
        <v>1</v>
      </c>
      <c r="AO77" s="58">
        <f>SUM('Mukogawa Women'!$C$512:$D$518)</f>
        <v>1</v>
      </c>
      <c r="AP77" s="58">
        <f>SUM('Hokkai-Gakuen'!$C$512:$D$518)</f>
        <v>0</v>
      </c>
      <c r="AQ77" s="58">
        <f>SUM('Shibaura '!$C$512:$D$518)</f>
        <v>0</v>
      </c>
      <c r="AR77" s="58">
        <f>SUM('Osaka Sangyo'!$C$512:$D$518)</f>
        <v>0</v>
      </c>
      <c r="AS77" s="58">
        <f>SUM('Seinan Gakuin'!$C$512:$D$518)</f>
        <v>2</v>
      </c>
      <c r="AT77" s="58">
        <f>SUM(Soka!$C$512:$D$518)</f>
        <v>0</v>
      </c>
    </row>
    <row r="78" spans="3:46" ht="18" customHeight="1">
      <c r="C78" s="57">
        <v>23</v>
      </c>
      <c r="D78" s="57">
        <v>74</v>
      </c>
      <c r="E78" s="57">
        <v>69</v>
      </c>
      <c r="F78" s="56">
        <v>44354</v>
      </c>
      <c r="G78" s="56">
        <v>44360</v>
      </c>
      <c r="I78" s="58">
        <f>SUM(Kyoto!$C$519:$D$525)</f>
        <v>3</v>
      </c>
      <c r="J78" s="58">
        <f>SUM(Kyushu!$C$519:$D$525)</f>
        <v>0</v>
      </c>
      <c r="K78" s="58">
        <f>SUM(Tohoku!$C$519:$D$525)</f>
        <v>1</v>
      </c>
      <c r="L78" s="58">
        <f>SUM(Hokkaio!$C$519:$D$525)</f>
        <v>0.5</v>
      </c>
      <c r="M78" s="58">
        <f>SUM(Nagoya!$C$519:$D$525)</f>
        <v>3</v>
      </c>
      <c r="N78" s="44">
        <f>SUM(Hiroshima!$C$519:$D$525)</f>
        <v>9</v>
      </c>
      <c r="O78" s="44">
        <f>SUM(Chiba!$C$519:$D$525)</f>
        <v>0</v>
      </c>
      <c r="P78" s="44">
        <f>SUM(Niigata!$C$519:$D$525)</f>
        <v>0</v>
      </c>
      <c r="Q78" s="44">
        <f>SUM(Kanazawa!$C$519:$D$525)</f>
        <v>0</v>
      </c>
      <c r="R78" s="44">
        <f>SUM(Shizuoka!$C$519:$D$525)</f>
        <v>0</v>
      </c>
      <c r="S78" s="44">
        <f>SUM(Kumamoto!$C$519:$D$525)</f>
        <v>0</v>
      </c>
      <c r="T78" s="58">
        <f>SUM('Tokyo Metropolitan'!$C$519:$D$525)</f>
        <v>1</v>
      </c>
      <c r="U78" s="44">
        <f>SUM(Saitama!$C$519:$D$525)</f>
        <v>0</v>
      </c>
      <c r="V78" s="44">
        <f>SUM(Ryukyus!$C$519:$D$525)</f>
        <v>15</v>
      </c>
      <c r="W78" s="44">
        <f>SUM(Mie!$C$519:$D$525)</f>
        <v>0</v>
      </c>
      <c r="X78" s="44">
        <f>SUM(Meiji!$C$519:$D$525)</f>
        <v>6.3999999999999986</v>
      </c>
      <c r="Y78" s="44">
        <f>SUM(Doshisha!$C$519:$D$525)</f>
        <v>2</v>
      </c>
      <c r="Z78" s="44">
        <f>SUM(Ryukoku!$C$519:$D$525)</f>
        <v>0</v>
      </c>
      <c r="AA78" s="44">
        <f>SUM(Senshu!$C$519:$D$525)</f>
        <v>4</v>
      </c>
      <c r="AB78" s="44">
        <f>SUM(Meijo!$C$519:$D$525)</f>
        <v>0.5714285714285714</v>
      </c>
      <c r="AC78" s="44">
        <f>SUM(Chukyo!$C$519:$D$525)</f>
        <v>8</v>
      </c>
      <c r="AD78" s="58">
        <f>SUM('Kyoto Sangyo'!$C$519:$D$525)</f>
        <v>1</v>
      </c>
      <c r="AE78" s="58">
        <f>SUM('Tohoku Gakuin'!$C$519:$D$525)</f>
        <v>1</v>
      </c>
      <c r="AF78" s="58">
        <f>SUM(Chubu!$C$519:$D$525)</f>
        <v>3</v>
      </c>
      <c r="AG78" s="58">
        <f>SUM('Kobe Gakuin'!$C$519:$D$525)</f>
        <v>0</v>
      </c>
      <c r="AH78" s="58">
        <f>SUM(Rissho!$C$519:$D$525)</f>
        <v>2</v>
      </c>
      <c r="AI78" s="58">
        <f>SUM(Aichi!$C$519:$D$525)</f>
        <v>1</v>
      </c>
      <c r="AJ78" s="58">
        <f>SUM('Chiba Tech'!$C$519:$D$525)</f>
        <v>0</v>
      </c>
      <c r="AK78" s="58">
        <f>SUM(Nanzan!$C$519:$D$525)</f>
        <v>1</v>
      </c>
      <c r="AL78" s="58">
        <f>SUM(Konan!$C$519:$D$525)</f>
        <v>0</v>
      </c>
      <c r="AM78" s="58">
        <f>SUM('Aichi Shukutoku'!$C$519:$D$525)</f>
        <v>0</v>
      </c>
      <c r="AN78" s="58">
        <f>SUM(Tokkyo!$C$519:$D$525)</f>
        <v>3</v>
      </c>
      <c r="AO78" s="58">
        <f>SUM('Mukogawa Women'!$C$519:$D$525)</f>
        <v>3</v>
      </c>
      <c r="AP78" s="58">
        <f>SUM('Hokkai-Gakuen'!$C$519:$D$525)</f>
        <v>1</v>
      </c>
      <c r="AQ78" s="58">
        <f>SUM('Shibaura '!$C$519:$D$525)</f>
        <v>0</v>
      </c>
      <c r="AR78" s="58">
        <f>SUM('Osaka Sangyo'!$C$519:$D$525)</f>
        <v>0</v>
      </c>
      <c r="AS78" s="58">
        <f>SUM('Seinan Gakuin'!$C$519:$D$525)</f>
        <v>1</v>
      </c>
      <c r="AT78" s="58">
        <f>SUM(Soka!$C$519:$D$525)</f>
        <v>0</v>
      </c>
    </row>
    <row r="79" spans="3:46" ht="18" customHeight="1">
      <c r="C79" s="57">
        <v>24</v>
      </c>
      <c r="D79" s="57">
        <v>75</v>
      </c>
      <c r="E79" s="57">
        <v>70</v>
      </c>
      <c r="F79" s="56">
        <v>44361</v>
      </c>
      <c r="G79" s="56">
        <v>44367</v>
      </c>
      <c r="I79" s="58">
        <f>SUM(Kyoto!$C$526:$D$532)</f>
        <v>1</v>
      </c>
      <c r="J79" s="58">
        <f>SUM(Kyushu!$C$526:$D$532)</f>
        <v>0</v>
      </c>
      <c r="K79" s="58">
        <f>SUM(Tohoku!$C$526:$D$532)</f>
        <v>0</v>
      </c>
      <c r="L79" s="58">
        <f>SUM(Hokkaio!$C$526:$D$532)</f>
        <v>0</v>
      </c>
      <c r="M79" s="58">
        <f>SUM(Nagoya!$C$526:$D$532)</f>
        <v>2</v>
      </c>
      <c r="N79" s="44">
        <f>SUM(Hiroshima!$C$526:$D$532)</f>
        <v>3</v>
      </c>
      <c r="O79" s="44">
        <f>SUM(Chiba!$C$526:$D$532)</f>
        <v>0</v>
      </c>
      <c r="P79" s="44">
        <f>SUM(Niigata!$C$526:$D$532)</f>
        <v>0</v>
      </c>
      <c r="Q79" s="44">
        <f>SUM(Kanazawa!$C$526:$D$532)</f>
        <v>0</v>
      </c>
      <c r="R79" s="44">
        <f>SUM(Shizuoka!$C$526:$D$532)</f>
        <v>2</v>
      </c>
      <c r="S79" s="44">
        <f>SUM(Kumamoto!$C$526:$D$532)</f>
        <v>0</v>
      </c>
      <c r="T79" s="58">
        <f>SUM('Tokyo Metropolitan'!$C$526:$D$532)</f>
        <v>3</v>
      </c>
      <c r="U79" s="44">
        <f>SUM(Saitama!$C$526:$D$532)</f>
        <v>2</v>
      </c>
      <c r="V79" s="44">
        <f>SUM(Ryukyus!$C$526:$D$532)</f>
        <v>0</v>
      </c>
      <c r="W79" s="44">
        <f>SUM(Mie!$C$526:$D$532)</f>
        <v>0</v>
      </c>
      <c r="X79" s="44">
        <f>SUM(Meiji!$C$526:$D$532)</f>
        <v>2.8</v>
      </c>
      <c r="Y79" s="44">
        <f>SUM(Doshisha!$C$526:$D$532)</f>
        <v>3</v>
      </c>
      <c r="Z79" s="44">
        <f>SUM(Ryukoku!$C$526:$D$532)</f>
        <v>6</v>
      </c>
      <c r="AA79" s="44">
        <f>SUM(Senshu!$C$526:$D$532)</f>
        <v>3</v>
      </c>
      <c r="AB79" s="44">
        <f>SUM(Meijo!$C$526:$D$532)</f>
        <v>1.5555555555555558</v>
      </c>
      <c r="AC79" s="44">
        <f>SUM(Chukyo!$C$526:$D$532)</f>
        <v>3</v>
      </c>
      <c r="AD79" s="58">
        <f>SUM('Kyoto Sangyo'!$C$526:$D$532)</f>
        <v>0</v>
      </c>
      <c r="AE79" s="58">
        <f>SUM('Tohoku Gakuin'!$C$526:$D$532)</f>
        <v>0</v>
      </c>
      <c r="AF79" s="58">
        <f>SUM(Chubu!$C$526:$D$532)</f>
        <v>1</v>
      </c>
      <c r="AG79" s="58">
        <f>SUM('Kobe Gakuin'!$C$526:$D$532)</f>
        <v>1</v>
      </c>
      <c r="AH79" s="58">
        <f>SUM(Rissho!$C$526:$D$532)</f>
        <v>0</v>
      </c>
      <c r="AI79" s="58">
        <f>SUM(Aichi!$C$526:$D$532)</f>
        <v>1</v>
      </c>
      <c r="AJ79" s="58">
        <f>SUM('Chiba Tech'!$C$526:$D$532)</f>
        <v>0</v>
      </c>
      <c r="AK79" s="58">
        <f>SUM(Nanzan!$C$526:$D$532)</f>
        <v>0</v>
      </c>
      <c r="AL79" s="58">
        <f>SUM(Konan!$C$526:$D$532)</f>
        <v>0</v>
      </c>
      <c r="AM79" s="58">
        <f>SUM('Aichi Shukutoku'!$C$526:$D$532)</f>
        <v>1</v>
      </c>
      <c r="AN79" s="58">
        <f>SUM(Tokkyo!$C$526:$D$532)</f>
        <v>8</v>
      </c>
      <c r="AO79" s="58">
        <f>SUM('Mukogawa Women'!$C$526:$D$532)</f>
        <v>1</v>
      </c>
      <c r="AP79" s="58">
        <f>SUM('Hokkai-Gakuen'!$C$526:$D$532)</f>
        <v>1</v>
      </c>
      <c r="AQ79" s="58">
        <f>SUM('Shibaura '!$C$526:$D$532)</f>
        <v>1</v>
      </c>
      <c r="AR79" s="58">
        <f>SUM('Osaka Sangyo'!$C$526:$D$532)</f>
        <v>0</v>
      </c>
      <c r="AS79" s="58">
        <f>SUM('Seinan Gakuin'!$C$526:$D$532)</f>
        <v>0</v>
      </c>
      <c r="AT79" s="58">
        <f>SUM(Soka!$C$526:$D$532)</f>
        <v>1</v>
      </c>
    </row>
    <row r="80" spans="3:46" ht="18" customHeight="1">
      <c r="C80" s="57">
        <v>25</v>
      </c>
      <c r="D80" s="57">
        <v>76</v>
      </c>
      <c r="E80" s="57">
        <v>71</v>
      </c>
      <c r="F80" s="56">
        <v>44368</v>
      </c>
      <c r="G80" s="56">
        <v>44374</v>
      </c>
      <c r="I80" s="58">
        <f>SUM(Kyoto!$C$533:$D$539)</f>
        <v>1</v>
      </c>
      <c r="J80" s="58">
        <f>SUM(Kyushu!$C$533:$D$539)</f>
        <v>0</v>
      </c>
      <c r="K80" s="58">
        <f>SUM(Tohoku!$C$533:$D$539)</f>
        <v>1</v>
      </c>
      <c r="L80" s="58">
        <f>SUM(Hokkaio!$C$533:$D$539)</f>
        <v>1</v>
      </c>
      <c r="M80" s="58">
        <f>SUM(Nagoya!$C$533:$D$539)</f>
        <v>0</v>
      </c>
      <c r="N80" s="58">
        <f>SUM(Hiroshima!$C$533:$D$539)</f>
        <v>0</v>
      </c>
      <c r="O80" s="58">
        <f>SUM(Chiba!$C$533:$D$539)</f>
        <v>0</v>
      </c>
      <c r="P80" s="58">
        <f>SUM(Niigata!$C$533:$D$539)</f>
        <v>0</v>
      </c>
      <c r="Q80" s="58">
        <f>SUM(Kanazawa!$C$533:$D$539)</f>
        <v>0</v>
      </c>
      <c r="R80" s="58">
        <f>SUM(Shizuoka!$C$533:$D$539)</f>
        <v>1</v>
      </c>
      <c r="S80" s="58">
        <f>SUM(Kumamoto!$C$533:$D$539)</f>
        <v>1</v>
      </c>
      <c r="T80" s="58">
        <f>SUM('Tokyo Metropolitan'!$C$533:$D$539)</f>
        <v>1</v>
      </c>
      <c r="U80" s="58">
        <f>SUM(Saitama!$C$533:$D$539)</f>
        <v>1</v>
      </c>
      <c r="V80" s="58">
        <f>SUM(Ryukyus!$C$533:$D$539)</f>
        <v>3</v>
      </c>
      <c r="W80" s="58">
        <f>SUM(Mie!$C$533:$D$539)</f>
        <v>0</v>
      </c>
      <c r="X80" s="58">
        <f>SUM(Meiji!$C$533:$D$539)</f>
        <v>10.5</v>
      </c>
      <c r="Y80" s="58">
        <f>SUM(Doshisha!$C$533:$D$539)</f>
        <v>5</v>
      </c>
      <c r="Z80" s="58">
        <f>SUM(Ryukoku!$C$533:$D$539)</f>
        <v>2</v>
      </c>
      <c r="AA80" s="58">
        <f>SUM(Senshu!$C$533:$D$539)</f>
        <v>5</v>
      </c>
      <c r="AB80" s="58">
        <f>SUM(Meijo!$C$533:$D$539)</f>
        <v>1.1587301587301584</v>
      </c>
      <c r="AC80" s="58">
        <f>SUM(Chukyo!$C$533:$D$539)</f>
        <v>0</v>
      </c>
      <c r="AD80" s="58">
        <f>SUM('Kyoto Sangyo'!$C$533:$D$539)</f>
        <v>0</v>
      </c>
      <c r="AE80" s="58">
        <f>SUM('Tohoku Gakuin'!$C$533:$D$539)</f>
        <v>2</v>
      </c>
      <c r="AF80" s="58">
        <f>SUM(Chubu!$C$533:$D$539)</f>
        <v>1</v>
      </c>
      <c r="AG80" s="58">
        <f>SUM('Kobe Gakuin'!$C$533:$D$539)</f>
        <v>2</v>
      </c>
      <c r="AH80" s="58">
        <f>SUM(Rissho!$C$533:$D$539)</f>
        <v>4</v>
      </c>
      <c r="AI80" s="58">
        <f>SUM(Aichi!$C$533:$D$539)</f>
        <v>1</v>
      </c>
      <c r="AJ80" s="58">
        <f>SUM('Chiba Tech'!$C$533:$D$539)</f>
        <v>1</v>
      </c>
      <c r="AK80" s="58">
        <f>SUM(Nanzan!$C$533:$D$539)</f>
        <v>0</v>
      </c>
      <c r="AL80" s="58">
        <f>SUM(Konan!$C$533:$D$539)</f>
        <v>1</v>
      </c>
      <c r="AM80" s="58">
        <f>SUM('Aichi Shukutoku'!$C$533:$D$539)</f>
        <v>1</v>
      </c>
      <c r="AN80" s="58">
        <f>SUM(Tokkyo!$C$533:$D$539)</f>
        <v>2</v>
      </c>
      <c r="AO80" s="58">
        <f>SUM('Mukogawa Women'!$C$533:$D$539)</f>
        <v>0</v>
      </c>
      <c r="AP80" s="58">
        <f>SUM('Hokkai-Gakuen'!$C$533:$D$539)</f>
        <v>1</v>
      </c>
      <c r="AQ80" s="58">
        <f>SUM('Shibaura '!$C$533:$D$539)</f>
        <v>2</v>
      </c>
      <c r="AR80" s="58">
        <f>SUM('Osaka Sangyo'!$C$533:$D$539)</f>
        <v>0</v>
      </c>
      <c r="AS80" s="58">
        <f>SUM('Seinan Gakuin'!$C$533:$D$539)</f>
        <v>0</v>
      </c>
      <c r="AT80" s="58">
        <f>SUM(Soka!$C$533:$D$539)</f>
        <v>0</v>
      </c>
    </row>
    <row r="81" spans="3:46" ht="18" customHeight="1">
      <c r="C81" s="57">
        <v>26</v>
      </c>
      <c r="D81" s="57">
        <v>77</v>
      </c>
      <c r="E81" s="57">
        <v>72</v>
      </c>
      <c r="F81" s="56">
        <v>44375</v>
      </c>
      <c r="G81" s="56">
        <v>44381</v>
      </c>
      <c r="I81" s="58">
        <f>SUM(Kyoto!$C$540:$D$546)</f>
        <v>2</v>
      </c>
      <c r="J81" s="58">
        <f>SUM(Kyushu!$C$540:$D$546)</f>
        <v>0</v>
      </c>
      <c r="K81" s="58">
        <f>SUM(Tohoku!$C$540:$D$546)</f>
        <v>1</v>
      </c>
      <c r="L81" s="58">
        <f>SUM(Hokkaio!$C$540:$D$546)</f>
        <v>0</v>
      </c>
      <c r="M81" s="58">
        <f>SUM(Nagoya!$C$540:$D$546)</f>
        <v>0</v>
      </c>
      <c r="N81" s="58">
        <f>SUM(Hiroshima!$C$540:$D$546)</f>
        <v>0</v>
      </c>
      <c r="O81" s="58">
        <f>SUM(Chiba!$C$540:$D$546)</f>
        <v>3</v>
      </c>
      <c r="P81" s="58">
        <f>SUM(Niigata!$C$540:$D$546)</f>
        <v>0</v>
      </c>
      <c r="Q81" s="58">
        <f>SUM(Kanazawa!$C$540:$D$546)</f>
        <v>0</v>
      </c>
      <c r="R81" s="58">
        <f>SUM(Shizuoka!$C$540:$D$546)</f>
        <v>0</v>
      </c>
      <c r="S81" s="58">
        <f>SUM(Kumamoto!$C$540:$D$546)</f>
        <v>0</v>
      </c>
      <c r="T81" s="58">
        <f>SUM('Tokyo Metropolitan'!$C$540:$D$546)</f>
        <v>1</v>
      </c>
      <c r="U81" s="58">
        <f>SUM(Saitama!$C$540:$D$546)</f>
        <v>3</v>
      </c>
      <c r="V81" s="58">
        <f>SUM(Ryukyus!$C$540:$D$546)</f>
        <v>0</v>
      </c>
      <c r="W81" s="58">
        <f>SUM(Mie!$C$540:$D$546)</f>
        <v>0</v>
      </c>
      <c r="X81" s="58">
        <f>SUM(Meiji!$C$540:$D$546)</f>
        <v>12.136363636363638</v>
      </c>
      <c r="Y81" s="58">
        <f>SUM(Doshisha!$C$540:$D$546)</f>
        <v>0</v>
      </c>
      <c r="Z81" s="58">
        <f>SUM(Ryukoku!$C$540:$D$546)</f>
        <v>4</v>
      </c>
      <c r="AA81" s="58">
        <f>SUM(Senshu!$C$540:$D$546)</f>
        <v>10</v>
      </c>
      <c r="AB81" s="58">
        <f>SUM(Meijo!$C$540:$D$546)</f>
        <v>0.2857142857142857</v>
      </c>
      <c r="AC81" s="58">
        <f>SUM(Chukyo!$C$540:$D$546)</f>
        <v>1</v>
      </c>
      <c r="AD81" s="58">
        <f>SUM('Kyoto Sangyo'!$C$540:$D$546)</f>
        <v>0</v>
      </c>
      <c r="AE81" s="58">
        <f>SUM('Tohoku Gakuin'!$C$540:$D$546)</f>
        <v>0</v>
      </c>
      <c r="AF81" s="58">
        <f>SUM(Chubu!$C$540:$D$546)</f>
        <v>0</v>
      </c>
      <c r="AG81" s="58">
        <f>SUM('Kobe Gakuin'!$C$540:$D$546)</f>
        <v>4</v>
      </c>
      <c r="AH81" s="58">
        <f>SUM(Rissho!$C$540:$D$546)</f>
        <v>1</v>
      </c>
      <c r="AI81" s="58">
        <f>SUM(Aichi!$C$540:$D$546)</f>
        <v>1</v>
      </c>
      <c r="AJ81" s="58">
        <f>SUM('Chiba Tech'!$C$540:$D$546)</f>
        <v>3</v>
      </c>
      <c r="AK81" s="58">
        <f>SUM(Nanzan!$C$540:$D$546)</f>
        <v>0</v>
      </c>
      <c r="AL81" s="58">
        <f>SUM(Konan!$C$540:$D$546)</f>
        <v>0</v>
      </c>
      <c r="AM81" s="58">
        <f>SUM('Aichi Shukutoku'!$C$540:$D$546)</f>
        <v>0</v>
      </c>
      <c r="AN81" s="58">
        <f>SUM(Tokkyo!$C$540:$D$546)</f>
        <v>4</v>
      </c>
      <c r="AO81" s="58">
        <f>SUM('Mukogawa Women'!$C$540:$D$546)</f>
        <v>0</v>
      </c>
      <c r="AP81" s="58">
        <f>SUM('Hokkai-Gakuen'!$C$540:$D$546)</f>
        <v>0</v>
      </c>
      <c r="AQ81" s="58">
        <f>SUM('Shibaura '!$C$540:$D$546)</f>
        <v>3</v>
      </c>
      <c r="AR81" s="58">
        <f>SUM('Osaka Sangyo'!$C$540:$D$546)</f>
        <v>0</v>
      </c>
      <c r="AS81" s="58">
        <f>SUM('Seinan Gakuin'!$C$540:$D$546)</f>
        <v>0</v>
      </c>
      <c r="AT81" s="58">
        <f>SUM(Soka!$C$540:$D$546)</f>
        <v>0</v>
      </c>
    </row>
    <row r="82" spans="3:46" ht="18" customHeight="1">
      <c r="C82" s="57">
        <v>27</v>
      </c>
      <c r="D82" s="57">
        <v>78</v>
      </c>
      <c r="E82" s="57">
        <v>73</v>
      </c>
      <c r="F82" s="56">
        <v>44382</v>
      </c>
      <c r="G82" s="56">
        <v>44388</v>
      </c>
      <c r="I82" s="58">
        <f>SUM(Kyoto!$C$547:$D$553)</f>
        <v>1</v>
      </c>
      <c r="J82" s="58">
        <f>SUM(Kyushu!$C$547:$D$553)</f>
        <v>0</v>
      </c>
      <c r="K82" s="58">
        <f>SUM(Tohoku!$C$547:$D$553)</f>
        <v>0</v>
      </c>
      <c r="L82" s="58">
        <f>SUM(Hokkaio!$C$547:$D$553)</f>
        <v>1.125</v>
      </c>
      <c r="M82" s="58">
        <f>SUM(Nagoya!$C$547:$D$553)</f>
        <v>1</v>
      </c>
      <c r="N82" s="58">
        <f>SUM(Hiroshima!$C$547:$D$553)</f>
        <v>0</v>
      </c>
      <c r="O82" s="58">
        <f>SUM(Chiba!$C$547:$D$553)</f>
        <v>8</v>
      </c>
      <c r="P82" s="58">
        <f>SUM(Niigata!$C$547:$D$553)</f>
        <v>1</v>
      </c>
      <c r="Q82" s="58">
        <f>SUM(Kanazawa!$C$547:$D$553)</f>
        <v>1</v>
      </c>
      <c r="R82" s="58">
        <f>SUM(Shizuoka!$C$547:$D$553)</f>
        <v>0</v>
      </c>
      <c r="S82" s="58">
        <f>SUM(Kumamoto!$C$547:$D$553)</f>
        <v>0</v>
      </c>
      <c r="T82" s="58">
        <f>SUM('Tokyo Metropolitan'!$C$547:$D$553)</f>
        <v>6</v>
      </c>
      <c r="U82" s="58">
        <f>SUM(Saitama!$C$547:$D$553)</f>
        <v>1</v>
      </c>
      <c r="V82" s="58">
        <f>SUM(Ryukyus!$C$547:$D$553)</f>
        <v>1</v>
      </c>
      <c r="W82" s="58">
        <f>SUM(Mie!$C$547:$D$553)</f>
        <v>0</v>
      </c>
      <c r="X82" s="58">
        <f>SUM(Meiji!$C$547:$D$553)</f>
        <v>13.363636363636365</v>
      </c>
      <c r="Y82" s="58">
        <f>SUM(Doshisha!$C$547:$D$553)</f>
        <v>1</v>
      </c>
      <c r="Z82" s="58">
        <f>SUM(Ryukoku!$C$547:$D$553)</f>
        <v>4</v>
      </c>
      <c r="AA82" s="58">
        <f>SUM(Senshu!$C$547:$D$553)</f>
        <v>14</v>
      </c>
      <c r="AB82" s="58">
        <f>SUM(Meijo!$C$547:$D$553)</f>
        <v>2.1428571428571428</v>
      </c>
      <c r="AC82" s="58">
        <f>SUM(Chukyo!$C$547:$D$553)</f>
        <v>0</v>
      </c>
      <c r="AD82" s="58">
        <f>SUM('Kyoto Sangyo'!$C$547:$D$553)</f>
        <v>2</v>
      </c>
      <c r="AE82" s="58">
        <f>SUM('Tohoku Gakuin'!$C$547:$D$553)</f>
        <v>2</v>
      </c>
      <c r="AF82" s="58">
        <f>SUM(Chubu!$C$547:$D$553)</f>
        <v>0</v>
      </c>
      <c r="AG82" s="58">
        <f>SUM('Kobe Gakuin'!$C$547:$D$553)</f>
        <v>4</v>
      </c>
      <c r="AH82" s="58">
        <f>SUM(Rissho!$C$547:$D$553)</f>
        <v>6</v>
      </c>
      <c r="AI82" s="58">
        <f>SUM(Aichi!$C$547:$D$553)</f>
        <v>1</v>
      </c>
      <c r="AJ82" s="58">
        <f>SUM('Chiba Tech'!$C$547:$D$553)</f>
        <v>6</v>
      </c>
      <c r="AK82" s="58">
        <f>SUM(Nanzan!$C$547:$D$553)</f>
        <v>1</v>
      </c>
      <c r="AL82" s="58">
        <f>SUM(Konan!$C$547:$D$553)</f>
        <v>1</v>
      </c>
      <c r="AM82" s="58">
        <f>SUM('Aichi Shukutoku'!$C$547:$D$553)</f>
        <v>0</v>
      </c>
      <c r="AN82" s="58">
        <f>SUM(Tokkyo!$C$547:$D$553)</f>
        <v>2</v>
      </c>
      <c r="AO82" s="58">
        <f>SUM('Mukogawa Women'!$C$547:$D$553)</f>
        <v>3</v>
      </c>
      <c r="AP82" s="58">
        <f>SUM('Hokkai-Gakuen'!$C$547:$D$553)</f>
        <v>0</v>
      </c>
      <c r="AQ82" s="58">
        <f>SUM('Shibaura '!$C$547:$D$553)</f>
        <v>5</v>
      </c>
      <c r="AR82" s="58">
        <f>SUM('Osaka Sangyo'!$C$547:$D$553)</f>
        <v>0</v>
      </c>
      <c r="AS82" s="58">
        <f>SUM('Seinan Gakuin'!$C$547:$D$553)</f>
        <v>0</v>
      </c>
      <c r="AT82" s="58">
        <f>SUM(Soka!$C$547:$D$553)</f>
        <v>1</v>
      </c>
    </row>
    <row r="83" spans="3:46" ht="18" customHeight="1">
      <c r="C83" s="57">
        <v>28</v>
      </c>
      <c r="D83" s="57">
        <v>79</v>
      </c>
      <c r="E83" s="57">
        <v>74</v>
      </c>
      <c r="F83" s="56">
        <v>44389</v>
      </c>
      <c r="G83" s="56">
        <v>44395</v>
      </c>
      <c r="I83" s="58">
        <f>SUM(Kyoto!$C$554:$D$560)</f>
        <v>6</v>
      </c>
      <c r="J83" s="58">
        <f>SUM(Kyushu!$C$554:$D$560)</f>
        <v>2</v>
      </c>
      <c r="K83" s="58">
        <f>SUM(Tohoku!$C$554:$D$560)</f>
        <v>1</v>
      </c>
      <c r="L83" s="58">
        <f>SUM(Hokkaio!$C$554:$D$560)</f>
        <v>2.625</v>
      </c>
      <c r="M83" s="58">
        <f>SUM(Nagoya!$C$554:$D$560)</f>
        <v>0</v>
      </c>
      <c r="N83" s="58">
        <f>SUM(Hiroshima!$C$554:$D$560)</f>
        <v>0</v>
      </c>
      <c r="O83" s="58">
        <f>SUM(Chiba!$C$554:$D$560)</f>
        <v>7</v>
      </c>
      <c r="P83" s="58">
        <f>SUM(Niigata!$C$554:$D$560)</f>
        <v>0</v>
      </c>
      <c r="Q83" s="58">
        <f>SUM(Kanazawa!$C$554:$D$560)</f>
        <v>1</v>
      </c>
      <c r="R83" s="58">
        <f>SUM(Shizuoka!$C$554:$D$560)</f>
        <v>0</v>
      </c>
      <c r="S83" s="58">
        <f>SUM(Kumamoto!$C$554:$D$560)</f>
        <v>0</v>
      </c>
      <c r="T83" s="58">
        <f>SUM('Tokyo Metropolitan'!$C$554:$D$560)</f>
        <v>5</v>
      </c>
      <c r="U83" s="58">
        <f>SUM(Saitama!$C$554:$D$560)</f>
        <v>0</v>
      </c>
      <c r="V83" s="58">
        <f>SUM(Ryukyus!$C$554:$D$560)</f>
        <v>2</v>
      </c>
      <c r="W83" s="58">
        <f>SUM(Mie!$C$554:$D$560)</f>
        <v>0</v>
      </c>
      <c r="X83" s="58">
        <f>SUM(Meiji!$C$554:$D$560)</f>
        <v>22.75</v>
      </c>
      <c r="Y83" s="58">
        <f>SUM(Doshisha!$C$554:$D$560)</f>
        <v>4</v>
      </c>
      <c r="Z83" s="58">
        <f>SUM(Ryukoku!$C$554:$D$560)</f>
        <v>5</v>
      </c>
      <c r="AA83" s="58">
        <f>SUM(Senshu!$C$554:$D$560)</f>
        <v>13</v>
      </c>
      <c r="AB83" s="58">
        <f>SUM(Meijo!$C$554:$D$560)</f>
        <v>2.7321428571428572</v>
      </c>
      <c r="AC83" s="58">
        <f>SUM(Chukyo!$C$554:$D$560)</f>
        <v>0</v>
      </c>
      <c r="AD83" s="58">
        <f>SUM('Kyoto Sangyo'!$C$554:$D$560)</f>
        <v>16</v>
      </c>
      <c r="AE83" s="58">
        <f>SUM('Tohoku Gakuin'!$C$554:$D$560)</f>
        <v>10</v>
      </c>
      <c r="AF83" s="58">
        <f>SUM(Chubu!$C$554:$D$560)</f>
        <v>0</v>
      </c>
      <c r="AG83" s="58">
        <f>SUM('Kobe Gakuin'!$C$554:$D$560)</f>
        <v>5</v>
      </c>
      <c r="AH83" s="58">
        <f>SUM(Rissho!$C$554:$D$560)</f>
        <v>6</v>
      </c>
      <c r="AI83" s="58">
        <f>SUM(Aichi!$C$554:$D$560)</f>
        <v>1</v>
      </c>
      <c r="AJ83" s="58">
        <f>SUM('Chiba Tech'!$C$554:$D$560)</f>
        <v>5</v>
      </c>
      <c r="AK83" s="58">
        <f>SUM(Nanzan!$C$554:$D$560)</f>
        <v>0</v>
      </c>
      <c r="AL83" s="58">
        <f>SUM(Konan!$C$554:$D$560)</f>
        <v>0</v>
      </c>
      <c r="AM83" s="58">
        <f>SUM('Aichi Shukutoku'!$C$554:$D$560)</f>
        <v>3</v>
      </c>
      <c r="AN83" s="58">
        <f>SUM(Tokkyo!$C$554:$D$560)</f>
        <v>3</v>
      </c>
      <c r="AO83" s="58">
        <f>SUM('Mukogawa Women'!$C$554:$D$560)</f>
        <v>2</v>
      </c>
      <c r="AP83" s="58">
        <f>SUM('Hokkai-Gakuen'!$C$554:$D$560)</f>
        <v>5</v>
      </c>
      <c r="AQ83" s="58">
        <f>SUM('Shibaura '!$C$554:$D$560)</f>
        <v>6</v>
      </c>
      <c r="AR83" s="58">
        <f>SUM('Osaka Sangyo'!$C$554:$D$560)</f>
        <v>1</v>
      </c>
      <c r="AS83" s="58">
        <f>SUM('Seinan Gakuin'!$C$554:$D$560)</f>
        <v>6</v>
      </c>
      <c r="AT83" s="58">
        <f>SUM(Soka!$C$554:$D$560)</f>
        <v>1</v>
      </c>
    </row>
    <row r="84" spans="3:46" ht="18" customHeight="1">
      <c r="C84" s="57">
        <v>29</v>
      </c>
      <c r="D84" s="57">
        <v>80</v>
      </c>
      <c r="E84" s="57">
        <v>75</v>
      </c>
      <c r="F84" s="56">
        <v>44396</v>
      </c>
      <c r="G84" s="56">
        <v>44402</v>
      </c>
      <c r="I84" s="58">
        <f>SUM(Kyoto!$C$561:$D$567)</f>
        <v>2</v>
      </c>
      <c r="J84" s="58">
        <f>SUM(Kyushu!$C$561:$D$567)</f>
        <v>4</v>
      </c>
      <c r="K84" s="58">
        <f>SUM(Tohoku!$C$561:$D$567)</f>
        <v>0</v>
      </c>
      <c r="L84" s="58">
        <f>SUM(Hokkaio!$C$561:$D$567)</f>
        <v>2.25</v>
      </c>
      <c r="M84" s="58">
        <f>SUM(Nagoya!$C$561:$D$567)</f>
        <v>0</v>
      </c>
      <c r="N84" s="58">
        <f>SUM(Hiroshima!$C$561:$D$567)</f>
        <v>0</v>
      </c>
      <c r="O84" s="58">
        <f>SUM(Chiba!$C$561:$D$567)</f>
        <v>4</v>
      </c>
      <c r="P84" s="58">
        <f>SUM(Niigata!$C$561:$D$567)</f>
        <v>1</v>
      </c>
      <c r="Q84" s="58">
        <f>SUM(Kanazawa!$C$561:$D$567)</f>
        <v>2</v>
      </c>
      <c r="R84" s="58">
        <f>SUM(Shizuoka!$C$561:$D$567)</f>
        <v>0</v>
      </c>
      <c r="S84" s="58">
        <f>SUM(Kumamoto!$C$561:$D$567)</f>
        <v>1</v>
      </c>
      <c r="T84" s="58">
        <f>SUM('Tokyo Metropolitan'!$C$561:$D$567)</f>
        <v>2</v>
      </c>
      <c r="U84" s="58">
        <f>SUM(Saitama!$C$561:$D$567)</f>
        <v>1</v>
      </c>
      <c r="V84" s="58">
        <f>SUM(Ryukyus!$C$561:$D$567)</f>
        <v>0</v>
      </c>
      <c r="W84" s="58">
        <f>SUM(Mie!$C$561:$D$567)</f>
        <v>0</v>
      </c>
      <c r="X84" s="58">
        <f>SUM(Meiji!$C$561:$D$567)</f>
        <v>32.649999999999991</v>
      </c>
      <c r="Y84" s="58">
        <f>SUM(Doshisha!$C$561:$D$567)</f>
        <v>13</v>
      </c>
      <c r="Z84" s="58">
        <f>SUM(Ryukoku!$C$561:$D$567)</f>
        <v>5</v>
      </c>
      <c r="AA84" s="58">
        <f>SUM(Senshu!$C$561:$D$567)</f>
        <v>18</v>
      </c>
      <c r="AB84" s="58">
        <f>SUM(Meijo!$C$561:$D$567)</f>
        <v>2.6634615384615383</v>
      </c>
      <c r="AC84" s="58">
        <f>SUM(Chukyo!$C$561:$D$567)</f>
        <v>3.75</v>
      </c>
      <c r="AD84" s="58">
        <f>SUM('Kyoto Sangyo'!$C$561:$D$567)</f>
        <v>3</v>
      </c>
      <c r="AE84" s="58">
        <f>SUM('Tohoku Gakuin'!$C$561:$D$567)</f>
        <v>1</v>
      </c>
      <c r="AF84" s="58">
        <f>SUM(Chubu!$C$561:$D$567)</f>
        <v>7</v>
      </c>
      <c r="AG84" s="58">
        <f>SUM('Kobe Gakuin'!$C$561:$D$567)</f>
        <v>4</v>
      </c>
      <c r="AH84" s="58">
        <f>SUM(Rissho!$C$561:$D$567)</f>
        <v>5</v>
      </c>
      <c r="AI84" s="58">
        <f>SUM(Aichi!$C$561:$D$567)</f>
        <v>3</v>
      </c>
      <c r="AJ84" s="58">
        <f>SUM('Chiba Tech'!$C$561:$D$567)</f>
        <v>0</v>
      </c>
      <c r="AK84" s="58">
        <f>SUM(Nanzan!$C$561:$D$567)</f>
        <v>0</v>
      </c>
      <c r="AL84" s="58">
        <f>SUM(Konan!$C$561:$D$567)</f>
        <v>4</v>
      </c>
      <c r="AM84" s="58">
        <f>SUM('Aichi Shukutoku'!$C$561:$D$567)</f>
        <v>5</v>
      </c>
      <c r="AN84" s="58">
        <f>SUM(Tokkyo!$C$561:$D$567)</f>
        <v>7</v>
      </c>
      <c r="AO84" s="58">
        <f>SUM('Mukogawa Women'!$C$561:$D$567)</f>
        <v>5</v>
      </c>
      <c r="AP84" s="58">
        <f>SUM('Hokkai-Gakuen'!$C$561:$D$567)</f>
        <v>9</v>
      </c>
      <c r="AQ84" s="58">
        <f>SUM('Shibaura '!$C$561:$D$567)</f>
        <v>3</v>
      </c>
      <c r="AR84" s="58">
        <f>SUM('Osaka Sangyo'!$C$561:$D$567)</f>
        <v>0</v>
      </c>
      <c r="AS84" s="58">
        <f>SUM('Seinan Gakuin'!$C$561:$D$567)</f>
        <v>10</v>
      </c>
      <c r="AT84" s="58">
        <f>SUM(Soka!$C$561:$D$567)</f>
        <v>2.333333333333333</v>
      </c>
    </row>
    <row r="85" spans="3:46" ht="18" customHeight="1">
      <c r="C85" s="57">
        <v>30</v>
      </c>
      <c r="D85" s="57">
        <v>81</v>
      </c>
      <c r="E85" s="57">
        <v>76</v>
      </c>
      <c r="F85" s="56">
        <v>44403</v>
      </c>
      <c r="G85" s="56">
        <v>44409</v>
      </c>
      <c r="I85" s="58">
        <f>SUM(Kyoto!$C$568:$D$574)</f>
        <v>6.25</v>
      </c>
      <c r="J85" s="58">
        <f>SUM(Kyushu!$C$568:$D$573)</f>
        <v>12</v>
      </c>
      <c r="K85" s="58">
        <f>SUM(Tohoku!$C$568:$D$574)</f>
        <v>1</v>
      </c>
      <c r="L85" s="58">
        <f>SUM(Hokkaio!$C$568:$D$574)</f>
        <v>8.476923076923077</v>
      </c>
      <c r="M85" s="58">
        <f>SUM(Nagoya!$C$568:$D$573)</f>
        <v>1</v>
      </c>
      <c r="N85" s="58">
        <f>SUM(Hiroshima!$C$568:$D$574)</f>
        <v>1</v>
      </c>
      <c r="O85" s="58">
        <f>SUM(Chiba!$C$568:$D$574)</f>
        <v>8</v>
      </c>
      <c r="P85" s="58">
        <f>SUM(Niigata!$C$568:$D$574)</f>
        <v>1</v>
      </c>
      <c r="Q85" s="58">
        <f>SUM(Kanazawa!$C$568:$D$574)</f>
        <v>2</v>
      </c>
      <c r="R85" s="58">
        <f>SUM(Shizuoka!$C$568:$D$574)</f>
        <v>1</v>
      </c>
      <c r="S85" s="58">
        <f>SUM(Kumamoto!$C$568:$D$574)</f>
        <v>6.5</v>
      </c>
      <c r="T85" s="58">
        <f>SUM('Tokyo Metropolitan'!$C$568:$D$574)</f>
        <v>2</v>
      </c>
      <c r="U85" s="58">
        <f>SUM(Saitama!$C$568:$D$574)</f>
        <v>1</v>
      </c>
      <c r="V85" s="58">
        <f>SUM(Ryukyus!$C$568:$D$574)</f>
        <v>0</v>
      </c>
      <c r="W85" s="58">
        <f>SUM(Mie!$C$568:$D$574)</f>
        <v>2</v>
      </c>
      <c r="X85" s="58">
        <f>SUM(Meiji!$C$568:$D$574)</f>
        <v>34.225000000000001</v>
      </c>
      <c r="Y85" s="58">
        <f>SUM(Doshisha!$C$568:$D$574)</f>
        <v>9</v>
      </c>
      <c r="Z85" s="58">
        <f>SUM(Ryukoku!$C$568:$D$574)</f>
        <v>7</v>
      </c>
      <c r="AA85" s="58">
        <f>SUM(Senshu!$C$568:$D$574)</f>
        <v>33</v>
      </c>
      <c r="AB85" s="58">
        <f>SUM(Meijo!$C$568:$D$574)</f>
        <v>2.6923076923076925</v>
      </c>
      <c r="AC85" s="58">
        <f>SUM(Chukyo!$C$568:$D$574)</f>
        <v>2.25</v>
      </c>
      <c r="AD85" s="58">
        <f>SUM('Kyoto Sangyo'!$C$568:$D$574)</f>
        <v>13</v>
      </c>
      <c r="AE85" s="58">
        <f>SUM('Tohoku Gakuin'!$C$568:$D$574)</f>
        <v>3</v>
      </c>
      <c r="AF85" s="58">
        <f>SUM(Chubu!$C$568:$D$574)</f>
        <v>2</v>
      </c>
      <c r="AG85" s="58">
        <f>SUM('Kobe Gakuin'!$C$568:$D$574)</f>
        <v>7</v>
      </c>
      <c r="AH85" s="58">
        <f>SUM(Rissho!$C$568:$D$574)</f>
        <v>10</v>
      </c>
      <c r="AI85" s="58">
        <f>SUM(Aichi!$C$568:$D$574)</f>
        <v>4</v>
      </c>
      <c r="AJ85" s="58">
        <f>SUM('Chiba Tech'!$C$568:$D$574)</f>
        <v>3</v>
      </c>
      <c r="AK85" s="58">
        <f>SUM(Nanzan!$C$568:$D$574)</f>
        <v>2</v>
      </c>
      <c r="AL85" s="58">
        <f>SUM(Konan!$C$568:$D$574)</f>
        <v>3</v>
      </c>
      <c r="AM85" s="58">
        <f>SUM('Aichi Shukutoku'!$C$568:$D$574)</f>
        <v>3</v>
      </c>
      <c r="AN85" s="58">
        <f>SUM(Tokkyo!$C$568:$D$574)</f>
        <v>9</v>
      </c>
      <c r="AO85" s="58">
        <f>SUM('Mukogawa Women'!$C$568:$D$574)</f>
        <v>1</v>
      </c>
      <c r="AP85" s="58">
        <f>SUM('Hokkai-Gakuen'!$C$568:$D$574)</f>
        <v>4.5</v>
      </c>
      <c r="AQ85" s="58">
        <f>SUM('Shibaura '!$C$568:$D$574)</f>
        <v>6</v>
      </c>
      <c r="AR85" s="58">
        <f>SUM('Osaka Sangyo'!$C$568:$D$574)</f>
        <v>0</v>
      </c>
      <c r="AS85" s="58">
        <f>SUM('Seinan Gakuin'!$C$568:$D$574)</f>
        <v>10</v>
      </c>
      <c r="AT85" s="58">
        <f>SUM(Soka!$C$568:$D$574)</f>
        <v>6.6666666666666661</v>
      </c>
    </row>
    <row r="86" spans="3:46" ht="18" customHeight="1">
      <c r="C86" s="57">
        <v>31</v>
      </c>
      <c r="D86" s="57">
        <v>82</v>
      </c>
      <c r="E86" s="57">
        <v>77</v>
      </c>
      <c r="F86" s="56">
        <v>44775</v>
      </c>
      <c r="G86" s="56">
        <v>44781</v>
      </c>
      <c r="I86" s="44">
        <f>SUM(Kyoto!$C$575:$D$581)</f>
        <v>7.9166666666666687</v>
      </c>
      <c r="J86" s="44">
        <f>SUM(Kyushu!$C$575:$D$581)</f>
        <v>7</v>
      </c>
      <c r="K86" s="44">
        <f>SUM(Tohoku!$C$575:$D$581)</f>
        <v>1</v>
      </c>
      <c r="L86" s="44">
        <f>SUM(Hokkaio!$C$575:$D$581)</f>
        <v>10.215384615384615</v>
      </c>
      <c r="M86" s="44">
        <f>SUM(Nagoya!$C$575:$D$581)</f>
        <v>3</v>
      </c>
      <c r="N86" s="44">
        <f>SUM(Hiroshima!$C$575:$D$581)</f>
        <v>1</v>
      </c>
      <c r="O86" s="44">
        <f>SUM(Chiba!$C$575:$D$581)</f>
        <v>19</v>
      </c>
      <c r="P86" s="44">
        <f>SUM(Niigata!$C$575:$D$581)</f>
        <v>3</v>
      </c>
      <c r="Q86" s="44">
        <f>SUM(Kanazawa!$C$575:$D$581)</f>
        <v>5</v>
      </c>
      <c r="R86" s="44">
        <f>SUM(Shizuoka!$C$575:$D$581)</f>
        <v>9</v>
      </c>
      <c r="S86" s="44">
        <f>SUM(Kumamoto!$C$575:$D$581)</f>
        <v>6.25</v>
      </c>
      <c r="T86" s="44">
        <f>SUM('Tokyo Metropolitan'!$C$575:$D$581)</f>
        <v>17</v>
      </c>
      <c r="U86" s="44">
        <f>SUM(Saitama!$C$575:$D$581)</f>
        <v>6</v>
      </c>
      <c r="V86" s="44">
        <f>SUM(Ryukyus!$C$575:$D$581)</f>
        <v>12</v>
      </c>
      <c r="W86" s="44">
        <f>SUM(Mie!$C$575:$D$581)</f>
        <v>0</v>
      </c>
      <c r="X86" s="44">
        <f>SUM(Meiji!$C$575:$D$581)</f>
        <v>34.125</v>
      </c>
      <c r="Y86" s="44">
        <f>SUM(Doshisha!$C$575:$D$581)</f>
        <v>20</v>
      </c>
      <c r="Z86" s="44">
        <f>SUM(Ryukoku!$C$575:$D$581)</f>
        <v>17</v>
      </c>
      <c r="AA86" s="44">
        <f>SUM(Senshu!$C$575:$D$581)</f>
        <v>26</v>
      </c>
      <c r="AB86" s="44">
        <f>SUM(Meijo!$C$575:$D$581)</f>
        <v>4.8317307692307692</v>
      </c>
      <c r="AC86" s="44">
        <f>SUM(Chukyo!$C$575:$D$581)</f>
        <v>18</v>
      </c>
      <c r="AD86" s="44">
        <f>SUM('Kyoto Sangyo'!$C$575:$D$581)</f>
        <v>8</v>
      </c>
      <c r="AE86" s="44">
        <f>SUM('Tohoku Gakuin'!$C$575:$D$581)</f>
        <v>12</v>
      </c>
      <c r="AF86" s="44">
        <f>SUM(Chubu!$C$575:$D$581)</f>
        <v>6</v>
      </c>
      <c r="AG86" s="44">
        <f>SUM('Kobe Gakuin'!$C$575:$D$581)</f>
        <v>4</v>
      </c>
      <c r="AH86" s="44">
        <f>SUM(Rissho!$C$575:$D$581)</f>
        <v>15</v>
      </c>
      <c r="AI86" s="44">
        <f>SUM(Aichi!$C$575:$D$581)</f>
        <v>12.928571428571427</v>
      </c>
      <c r="AJ86" s="44">
        <f>SUM('Chiba Tech'!$C$575:$D$581)</f>
        <v>4</v>
      </c>
      <c r="AK86" s="44">
        <f>SUM(Nanzan!$C$575:$D$581)</f>
        <v>2</v>
      </c>
      <c r="AL86" s="44">
        <f>SUM(Konan!$C$575:$D$581)</f>
        <v>3</v>
      </c>
      <c r="AM86" s="44">
        <f>SUM('Aichi Shukutoku'!$C$575:$D$581)</f>
        <v>8</v>
      </c>
      <c r="AN86" s="44">
        <f>SUM(Tokkyo!$C$575:$D$581)</f>
        <v>17</v>
      </c>
      <c r="AO86" s="44">
        <f>SUM('Mukogawa Women'!$C$575:$D$581)</f>
        <v>4</v>
      </c>
      <c r="AP86" s="44">
        <f>SUM('Hokkai-Gakuen'!$C$575:$D$581)</f>
        <v>10.5</v>
      </c>
      <c r="AQ86" s="44">
        <f>SUM('Shibaura '!$C$575:$D$581)</f>
        <v>2</v>
      </c>
      <c r="AR86" s="44">
        <f>SUM('Osaka Sangyo'!$C$575:$D$581)</f>
        <v>0</v>
      </c>
      <c r="AS86" s="44">
        <f>SUM('Seinan Gakuin'!$C$575:$D$581)</f>
        <v>1</v>
      </c>
      <c r="AT86" s="44">
        <f>SUM(Soka!$C$575:$D$581)</f>
        <v>8.75</v>
      </c>
    </row>
    <row r="87" spans="3:46" ht="18" customHeight="1">
      <c r="C87" s="57">
        <v>32</v>
      </c>
      <c r="D87" s="57">
        <v>83</v>
      </c>
      <c r="E87" s="57">
        <v>78</v>
      </c>
      <c r="F87" s="56">
        <v>44782</v>
      </c>
      <c r="G87" s="56">
        <v>44788</v>
      </c>
      <c r="I87" s="44">
        <f>SUM(Kyoto!$C$582:$D$588)</f>
        <v>10.633333333333335</v>
      </c>
      <c r="J87" s="44">
        <f>SUM(Kyushu!$C$582:$D$588)</f>
        <v>8</v>
      </c>
      <c r="K87" s="44">
        <f>SUM(Tohoku!$C$582:$D$588)</f>
        <v>1</v>
      </c>
      <c r="L87" s="44">
        <f>SUM(Hokkaio!$C$582:$D$588)</f>
        <v>3.7692307692307683</v>
      </c>
      <c r="M87" s="44">
        <f>SUM(Nagoya!$C$582:$D$588)</f>
        <v>2</v>
      </c>
      <c r="N87" s="44">
        <f>SUM(Hiroshima!$C$582:$D$588)</f>
        <v>2.2857142857142856</v>
      </c>
      <c r="O87" s="44">
        <f>SUM(Chiba!$C$582:$D$588)</f>
        <v>13</v>
      </c>
      <c r="P87" s="44">
        <f>SUM(Niigata!$C$582:$D$588)</f>
        <v>5</v>
      </c>
      <c r="Q87" s="44">
        <f>SUM(Kanazawa!$C$582:$D$588)</f>
        <v>1</v>
      </c>
      <c r="R87" s="44">
        <f>SUM(Shizuoka!$C$582:$D$588)</f>
        <v>0</v>
      </c>
      <c r="S87" s="44">
        <f>SUM(Kumamoto!$C$582:$D$588)</f>
        <v>11.25</v>
      </c>
      <c r="T87" s="44">
        <f>SUM('Tokyo Metropolitan'!$C$582:$D$588)</f>
        <v>12</v>
      </c>
      <c r="U87" s="44">
        <f>SUM(Saitama!$C$582:$D$588)</f>
        <v>6</v>
      </c>
      <c r="V87" s="44">
        <f>SUM(Ryukyus!$C$582:$D$588)</f>
        <v>0</v>
      </c>
      <c r="W87" s="44">
        <f>SUM(Mie!$C$582:$D$588)</f>
        <v>0</v>
      </c>
      <c r="X87" s="44">
        <f>SUM(Meiji!$C$582:$D$588)</f>
        <v>34.125</v>
      </c>
      <c r="Y87" s="44">
        <f>SUM(Doshisha!$C$582:$D$588)</f>
        <v>6</v>
      </c>
      <c r="Z87" s="44">
        <f>SUM(Ryukoku!$C$582:$D$588)</f>
        <v>0</v>
      </c>
      <c r="AA87" s="44">
        <f>SUM(Senshu!$C$582:$D$588)</f>
        <v>50</v>
      </c>
      <c r="AB87" s="44">
        <f>SUM(Meijo!$C$582:$D$588)</f>
        <v>5.6875</v>
      </c>
      <c r="AC87" s="44">
        <f>SUM(Chukyo!$C$582:$D$588)</f>
        <v>31.000000000000004</v>
      </c>
      <c r="AD87" s="44">
        <f>SUM('Kyoto Sangyo'!$C$582:$D$588)</f>
        <v>14</v>
      </c>
      <c r="AE87" s="44">
        <f>SUM('Tohoku Gakuin'!$C$582:$D$588)</f>
        <v>11</v>
      </c>
      <c r="AF87" s="44">
        <f>SUM(Chubu!$C$582:$D$588)</f>
        <v>0</v>
      </c>
      <c r="AG87" s="44">
        <f>SUM('Kobe Gakuin'!$C$582:$D$588)</f>
        <v>3</v>
      </c>
      <c r="AH87" s="44">
        <f>SUM(Rissho!$C$582:$D$588)</f>
        <v>7</v>
      </c>
      <c r="AI87" s="44">
        <f>SUM(Aichi!$C$582:$D$588)</f>
        <v>18.5</v>
      </c>
      <c r="AJ87" s="44">
        <f>SUM('Chiba Tech'!$C$582:$D$588)</f>
        <v>0</v>
      </c>
      <c r="AK87" s="44">
        <f>SUM(Nanzan!$C$582:$D$588)</f>
        <v>4</v>
      </c>
      <c r="AL87" s="44">
        <f>SUM(Konan!$C$582:$D$588)</f>
        <v>0</v>
      </c>
      <c r="AM87" s="44">
        <f>SUM('Aichi Shukutoku'!$C$582:$D$588)</f>
        <v>12.555555555555554</v>
      </c>
      <c r="AN87" s="44">
        <f>SUM(Tokkyo!$C$582:$D$588)</f>
        <v>0</v>
      </c>
      <c r="AO87" s="44">
        <f>SUM('Mukogawa Women'!$C$582:$D$588)</f>
        <v>5</v>
      </c>
      <c r="AP87" s="44">
        <f>SUM('Hokkai-Gakuen'!$C$582:$D$588)</f>
        <v>10.466666666666665</v>
      </c>
      <c r="AQ87" s="44">
        <f>SUM('Shibaura '!$C$582:$D$588)</f>
        <v>2</v>
      </c>
      <c r="AR87" s="44">
        <f>SUM('Osaka Sangyo'!$C$582:$D$588)</f>
        <v>0</v>
      </c>
      <c r="AS87" s="44">
        <f>SUM('Seinan Gakuin'!$C$582:$D$588)</f>
        <v>2</v>
      </c>
      <c r="AT87" s="44">
        <f>SUM(Soka!$C$582:$D$588)</f>
        <v>16.083333333333336</v>
      </c>
    </row>
    <row r="88" spans="3:46" ht="18" customHeight="1">
      <c r="C88" s="57">
        <v>33</v>
      </c>
      <c r="D88" s="57">
        <v>84</v>
      </c>
      <c r="E88" s="57">
        <v>79</v>
      </c>
      <c r="F88" s="56">
        <v>44789</v>
      </c>
      <c r="G88" s="56">
        <v>44795</v>
      </c>
      <c r="I88" s="44">
        <f>SUM(Kyoto!$C$589:$D$595)</f>
        <v>11.233333333333331</v>
      </c>
      <c r="J88" s="44">
        <f>SUM(Kyushu!$C$589:$D$595)</f>
        <v>7</v>
      </c>
      <c r="K88" s="44">
        <f>SUM(Tohoku!$C$589:$D$595)</f>
        <v>2</v>
      </c>
      <c r="L88" s="44">
        <f>SUM(Hokkaio!$C$589:$D$595)</f>
        <v>1.5384615384615385</v>
      </c>
      <c r="M88" s="44">
        <f>SUM(Nagoya!$C$589:$D$595)</f>
        <v>8</v>
      </c>
      <c r="N88" s="44">
        <f>SUM(Hiroshima!$C$589:$D$595)</f>
        <v>3.7142857142857135</v>
      </c>
      <c r="O88" s="44">
        <f>SUM(Chiba!$C$589:$D$595)</f>
        <v>15</v>
      </c>
      <c r="P88" s="44">
        <f>SUM(Niigata!$C$589:$D$595)</f>
        <v>2</v>
      </c>
      <c r="Q88" s="44">
        <f>SUM(Kanazawa!$C$589:$D$595)</f>
        <v>3</v>
      </c>
      <c r="R88" s="44">
        <f>SUM(Shizuoka!$C$589:$D$595)</f>
        <v>11</v>
      </c>
      <c r="S88" s="44">
        <f>SUM(Kumamoto!$C$589:$D$595)</f>
        <v>13.199999999999998</v>
      </c>
      <c r="T88" s="44">
        <f>SUM('Tokyo Metropolitan'!$C$589:$D$595)</f>
        <v>13</v>
      </c>
      <c r="U88" s="44">
        <f>SUM(Saitama!$C$589:$D$595)</f>
        <v>11</v>
      </c>
      <c r="V88" s="44">
        <f>SUM(Ryukyus!$C$589:$D$595)</f>
        <v>21</v>
      </c>
      <c r="W88" s="44">
        <f>SUM(Mie!$C$589:$D$595)</f>
        <v>3</v>
      </c>
      <c r="X88" s="44">
        <f>SUM(Meiji!$C$589:$D$595)</f>
        <v>34.125</v>
      </c>
      <c r="Y88" s="44">
        <f>SUM(Doshisha!$C$589:$D$595)</f>
        <v>14</v>
      </c>
      <c r="Z88" s="44">
        <f>SUM(Ryukoku!$C$589:$D$595)</f>
        <v>0</v>
      </c>
      <c r="AA88" s="44">
        <f>SUM(Senshu!$C$589:$D$595)</f>
        <v>50</v>
      </c>
      <c r="AB88" s="44">
        <f>SUM(Meijo!$C$589:$D$595)</f>
        <v>8.875</v>
      </c>
      <c r="AC88" s="44">
        <f>SUM(Chukyo!$C$589:$D$595)</f>
        <v>32.666666666666671</v>
      </c>
      <c r="AD88" s="44">
        <f>SUM('Kyoto Sangyo'!$C$589:$D$595)</f>
        <v>7</v>
      </c>
      <c r="AE88" s="44">
        <f>SUM('Tohoku Gakuin'!$C$589:$D$595)</f>
        <v>11</v>
      </c>
      <c r="AF88" s="44">
        <f>SUM(Chubu!$C$589:$D$595)</f>
        <v>10</v>
      </c>
      <c r="AG88" s="44">
        <f>SUM('Kobe Gakuin'!$C$589:$D$595)</f>
        <v>11</v>
      </c>
      <c r="AH88" s="44">
        <f>SUM(Rissho!$C$589:$D$595)</f>
        <v>15</v>
      </c>
      <c r="AI88" s="44">
        <f>SUM(Aichi!$C$589:$D$595)</f>
        <v>21.071428571428569</v>
      </c>
      <c r="AJ88" s="44">
        <f>SUM('Chiba Tech'!$C$589:$D$595)</f>
        <v>1</v>
      </c>
      <c r="AK88" s="44">
        <f>SUM(Nanzan!$C$589:$D$595)</f>
        <v>6</v>
      </c>
      <c r="AL88" s="44">
        <f>SUM(Konan!$C$589:$D$595)</f>
        <v>3</v>
      </c>
      <c r="AM88" s="44">
        <f>SUM('Aichi Shukutoku'!$C$589:$D$595)</f>
        <v>16.587301587301589</v>
      </c>
      <c r="AN88" s="44">
        <f>SUM(Tokkyo!$C$589:$D$595)</f>
        <v>19</v>
      </c>
      <c r="AO88" s="44">
        <f>SUM('Mukogawa Women'!$C$589:$D$595)</f>
        <v>6</v>
      </c>
      <c r="AP88" s="44">
        <f>SUM('Hokkai-Gakuen'!$C$589:$D$595)</f>
        <v>4.5333333333333332</v>
      </c>
      <c r="AQ88" s="44">
        <f>SUM('Shibaura '!$C$589:$D$595)</f>
        <v>2</v>
      </c>
      <c r="AR88" s="44">
        <f>SUM('Osaka Sangyo'!$C$589:$D$595)</f>
        <v>0</v>
      </c>
      <c r="AS88" s="44">
        <f>SUM('Seinan Gakuin'!$C$589:$D$595)</f>
        <v>5</v>
      </c>
      <c r="AT88" s="44">
        <f>SUM(Soka!$C$589:$D$595)</f>
        <v>9.1666666666666679</v>
      </c>
    </row>
    <row r="89" spans="3:46" ht="18" customHeight="1">
      <c r="C89" s="57">
        <v>34</v>
      </c>
      <c r="D89" s="57">
        <v>85</v>
      </c>
      <c r="E89" s="57">
        <v>80</v>
      </c>
      <c r="F89" s="56">
        <v>44796</v>
      </c>
      <c r="G89" s="56">
        <v>44802</v>
      </c>
      <c r="I89" s="44">
        <f>SUM(Kyoto!$C$596:$D$602)</f>
        <v>3.666666666666667</v>
      </c>
      <c r="J89" s="44">
        <f>SUM(Kyushu!$C$596:$D$602)</f>
        <v>9</v>
      </c>
      <c r="K89" s="44">
        <f>SUM(Tohoku!$C$596:$D$602)</f>
        <v>3</v>
      </c>
      <c r="L89" s="44">
        <f>SUM(Hokkaio!$C$596:$D$602)</f>
        <v>0</v>
      </c>
      <c r="M89" s="44">
        <f>SUM(Nagoya!$C$596:$D$602)</f>
        <v>13</v>
      </c>
      <c r="N89" s="44">
        <f>SUM(Hiroshima!$C$596:$D$602)</f>
        <v>2</v>
      </c>
      <c r="O89" s="44">
        <f>SUM(Chiba!$C$596:$D$602)</f>
        <v>17</v>
      </c>
      <c r="P89" s="44">
        <f>SUM(Niigata!$C$596:$D$602)</f>
        <v>11</v>
      </c>
      <c r="Q89" s="44">
        <f>SUM(Kanazawa!$C$596:$D$602)</f>
        <v>2</v>
      </c>
      <c r="R89" s="44">
        <f>SUM(Shizuoka!$C$596:$D$602)</f>
        <v>10</v>
      </c>
      <c r="S89" s="44">
        <f>SUM(Kumamoto!$C$596:$D$602)</f>
        <v>12.425000000000001</v>
      </c>
      <c r="T89" s="44">
        <f>SUM('Tokyo Metropolitan'!$C$596:$D$602)</f>
        <v>11</v>
      </c>
      <c r="U89" s="44">
        <f>SUM(Saitama!$C$596:$D$602)</f>
        <v>12</v>
      </c>
      <c r="V89" s="44">
        <f>SUM(Ryukyus!$C$596:$D$602)</f>
        <v>0</v>
      </c>
      <c r="W89" s="44">
        <f>SUM(Mie!$C$596:$D$602)</f>
        <v>1</v>
      </c>
      <c r="X89" s="44">
        <f>SUM(Meiji!$C$596:$D$602)</f>
        <v>81.666666666666671</v>
      </c>
      <c r="Y89" s="44">
        <f>SUM(Doshisha!$C$596:$D$602)</f>
        <v>10</v>
      </c>
      <c r="Z89" s="44">
        <f>SUM(Ryukoku!$C$596:$D$602)</f>
        <v>22</v>
      </c>
      <c r="AA89" s="44">
        <f>SUM(Senshu!$C$596:$D$602)</f>
        <v>41</v>
      </c>
      <c r="AB89" s="44">
        <f>SUM(Meijo!$C$596:$D$602)</f>
        <v>12.232142857142858</v>
      </c>
      <c r="AC89" s="44">
        <f>SUM(Chukyo!$C$596:$D$602)</f>
        <v>15</v>
      </c>
      <c r="AD89" s="44">
        <f>SUM('Kyoto Sangyo'!$C$596:$D$602)</f>
        <v>5</v>
      </c>
      <c r="AE89" s="44">
        <f>SUM('Tohoku Gakuin'!$C$596:$D$602)</f>
        <v>8.545454545454545</v>
      </c>
      <c r="AF89" s="44">
        <f>SUM(Chubu!$C$596:$D$602)</f>
        <v>21</v>
      </c>
      <c r="AG89" s="44">
        <f>SUM('Kobe Gakuin'!$C$596:$D$602)</f>
        <v>10</v>
      </c>
      <c r="AH89" s="44">
        <f>SUM(Rissho!$C$596:$D$602)</f>
        <v>5</v>
      </c>
      <c r="AI89" s="44">
        <f>SUM(Aichi!$C$596:$D$602)</f>
        <v>16.287878787878789</v>
      </c>
      <c r="AJ89" s="44">
        <f>SUM('Chiba Tech'!$C$596:$D$602)</f>
        <v>5</v>
      </c>
      <c r="AK89" s="44">
        <f>SUM(Nanzan!$C$596:$D$602)</f>
        <v>6</v>
      </c>
      <c r="AL89" s="44">
        <f>SUM(Konan!$C$596:$D$602)</f>
        <v>3</v>
      </c>
      <c r="AM89" s="44">
        <f>SUM('Aichi Shukutoku'!$C$596:$D$602)</f>
        <v>16.428571428571427</v>
      </c>
      <c r="AN89" s="44">
        <f>SUM(Tokkyo!$C$596:$D$602)</f>
        <v>9</v>
      </c>
      <c r="AO89" s="44">
        <f>SUM('Mukogawa Women'!$C$596:$D$602)</f>
        <v>7</v>
      </c>
      <c r="AP89" s="44">
        <f>SUM('Hokkai-Gakuen'!$C$596:$D$602)</f>
        <v>8</v>
      </c>
      <c r="AQ89" s="44">
        <f>SUM('Shibaura '!$C$596:$D$602)</f>
        <v>2</v>
      </c>
      <c r="AR89" s="44">
        <f>SUM('Osaka Sangyo'!$C$596:$D$602)</f>
        <v>0</v>
      </c>
      <c r="AS89" s="44">
        <f>SUM('Seinan Gakuin'!$C$596:$D$602)</f>
        <v>7</v>
      </c>
      <c r="AT89" s="44">
        <f>SUM(Soka!$C$596:$D$602)</f>
        <v>9.8333333333333339</v>
      </c>
    </row>
    <row r="90" spans="3:46" ht="18" customHeight="1">
      <c r="C90" s="57">
        <v>35</v>
      </c>
      <c r="D90" s="57">
        <v>86</v>
      </c>
      <c r="E90" s="57">
        <v>81</v>
      </c>
      <c r="F90" s="56">
        <v>44803</v>
      </c>
      <c r="G90" s="56">
        <v>44809</v>
      </c>
      <c r="I90" s="44">
        <f>SUM(Kyoto!$C$603:$D$609)</f>
        <v>4.2857142857142847</v>
      </c>
      <c r="J90" s="44">
        <f>SUM(Kyushu!$C$603:$D$609)</f>
        <v>6</v>
      </c>
      <c r="K90" s="44">
        <f>SUM(Tohoku!$C$603:$D$609)</f>
        <v>1</v>
      </c>
      <c r="L90" s="44">
        <f>SUM(Hokkaio!$C$603:$D$609)</f>
        <v>0</v>
      </c>
      <c r="M90" s="44">
        <f>SUM(Nagoya!$C$603:$D$609)</f>
        <v>5</v>
      </c>
      <c r="N90" s="44">
        <f>SUM(Hiroshima!$C$603:$D$609)</f>
        <v>4</v>
      </c>
      <c r="O90" s="44">
        <f>SUM(Chiba!$C$603:$D$609)</f>
        <v>11</v>
      </c>
      <c r="P90" s="44">
        <f>SUM(Niigata!$C$603:$D$609)</f>
        <v>1</v>
      </c>
      <c r="Q90" s="44">
        <f>SUM(Kanazawa!$C$603:$D$609)</f>
        <v>0</v>
      </c>
      <c r="R90" s="44">
        <f>SUM(Shizuoka!$C$603:$D$609)</f>
        <v>22</v>
      </c>
      <c r="S90" s="44">
        <f>SUM(Kumamoto!$C$603:$D$609)</f>
        <v>9.375</v>
      </c>
      <c r="T90" s="44">
        <f>SUM('Tokyo Metropolitan'!$C$603:$D$609)</f>
        <v>9</v>
      </c>
      <c r="U90" s="44">
        <f>SUM(Saitama!$C$603:$D$609)</f>
        <v>7</v>
      </c>
      <c r="V90" s="44">
        <f>SUM(Ryukyus!$C$603:$D$609)</f>
        <v>13.416666666666663</v>
      </c>
      <c r="W90" s="44">
        <f>SUM(Mie!$C$603:$D$609)</f>
        <v>1</v>
      </c>
      <c r="X90" s="44">
        <f>SUM(Meiji!$C$603:$D$609)</f>
        <v>31.249999999999996</v>
      </c>
      <c r="Y90" s="44">
        <f>SUM(Doshisha!$C$603:$D$609)</f>
        <v>5</v>
      </c>
      <c r="Z90" s="44">
        <f>SUM(Ryukoku!$C$603:$D$609)</f>
        <v>26</v>
      </c>
      <c r="AA90" s="44">
        <f>SUM(Senshu!$C$603:$D$609)</f>
        <v>8</v>
      </c>
      <c r="AB90" s="44">
        <f>SUM(Meijo!$C$603:$D$609)</f>
        <v>8.8571428571428577</v>
      </c>
      <c r="AC90" s="44">
        <f>SUM(Chukyo!$C$603:$D$609)</f>
        <v>8.75</v>
      </c>
      <c r="AD90" s="44">
        <f>SUM('Kyoto Sangyo'!$C$603:$D$609)</f>
        <v>2</v>
      </c>
      <c r="AE90" s="44">
        <f>SUM('Tohoku Gakuin'!$C$603:$D$609)</f>
        <v>6.0259740259740253</v>
      </c>
      <c r="AF90" s="44">
        <f>SUM(Chubu!$C$603:$D$609)</f>
        <v>6</v>
      </c>
      <c r="AG90" s="44">
        <f>SUM('Kobe Gakuin'!$C$603:$D$609)</f>
        <v>6</v>
      </c>
      <c r="AH90" s="44">
        <f>SUM(Rissho!$C$603:$D$609)</f>
        <v>3</v>
      </c>
      <c r="AI90" s="44">
        <f>SUM(Aichi!$C$603:$D$609)</f>
        <v>10.393939393939393</v>
      </c>
      <c r="AJ90" s="44">
        <f>SUM('Chiba Tech'!$C$603:$D$609)</f>
        <v>2</v>
      </c>
      <c r="AK90" s="44">
        <f>SUM(Nanzan!$C$603:$D$609)</f>
        <v>1</v>
      </c>
      <c r="AL90" s="44">
        <f>SUM(Konan!$C$603:$D$609)</f>
        <v>3</v>
      </c>
      <c r="AM90" s="44">
        <f>SUM('Aichi Shukutoku'!$C$603:$D$609)</f>
        <v>9.3035714285714288</v>
      </c>
      <c r="AN90" s="44">
        <f>SUM(Tokkyo!$C$603:$D$609)</f>
        <v>5</v>
      </c>
      <c r="AO90" s="44">
        <f>SUM('Mukogawa Women'!$C$603:$D$609)</f>
        <v>6</v>
      </c>
      <c r="AP90" s="44">
        <f>SUM('Hokkai-Gakuen'!$C$603:$D$609)</f>
        <v>0</v>
      </c>
      <c r="AQ90" s="44">
        <f>SUM('Shibaura '!$C$603:$D$609)</f>
        <v>1</v>
      </c>
      <c r="AR90" s="44">
        <f>SUM('Osaka Sangyo'!$C$603:$D$609)</f>
        <v>0</v>
      </c>
      <c r="AS90" s="44">
        <f>SUM('Seinan Gakuin'!$C$603:$D$609)</f>
        <v>2</v>
      </c>
      <c r="AT90" s="44">
        <f>SUM(Soka!$C$603:$D$609)</f>
        <v>15.833333333333334</v>
      </c>
    </row>
    <row r="91" spans="3:46" ht="18" customHeight="1">
      <c r="C91" s="57">
        <v>36</v>
      </c>
      <c r="D91" s="57">
        <v>87</v>
      </c>
      <c r="E91" s="57">
        <v>82</v>
      </c>
      <c r="F91" s="56">
        <v>44810</v>
      </c>
      <c r="G91" s="56">
        <v>44816</v>
      </c>
      <c r="I91" s="44">
        <f>SUM(Kyoto!$C$610:$D$616)</f>
        <v>1.7142857142857142</v>
      </c>
      <c r="J91" s="44">
        <f>SUM(Kyushu!$C$610:$D$616)</f>
        <v>1</v>
      </c>
      <c r="K91" s="44">
        <f>SUM(Tohoku!$C$610:$D$616)</f>
        <v>1</v>
      </c>
      <c r="L91" s="44">
        <f>SUM(Hokkaio!$C$610:$D$616)</f>
        <v>0</v>
      </c>
      <c r="M91" s="44">
        <f>SUM(Nagoya!$C$610:$D$616)</f>
        <v>2</v>
      </c>
      <c r="N91" s="44">
        <f>SUM(Hiroshima!$C$610:$D$616)</f>
        <v>0</v>
      </c>
      <c r="O91" s="44">
        <f>SUM(Chiba!$C$610:$D$616)</f>
        <v>6</v>
      </c>
      <c r="P91" s="44">
        <f>SUM(Niigata!$C$610:$D$616)</f>
        <v>1</v>
      </c>
      <c r="Q91" s="44">
        <f>SUM(Kanazawa!$C$610:$D$616)</f>
        <v>0</v>
      </c>
      <c r="R91" s="44">
        <f>SUM(Shizuoka!$C$610:$D$616)</f>
        <v>3</v>
      </c>
      <c r="S91" s="44">
        <f>SUM(Kumamoto!$C$610:$D$616)</f>
        <v>6.2222222222222205</v>
      </c>
      <c r="T91" s="44">
        <f>SUM('Tokyo Metropolitan'!$C$610:$D$616)</f>
        <v>2</v>
      </c>
      <c r="U91" s="44">
        <f>SUM(Saitama!$C$610:$D$616)</f>
        <v>1</v>
      </c>
      <c r="V91" s="44">
        <f>SUM(Ryukyus!$C$610:$D$616)</f>
        <v>7.5833333333333348</v>
      </c>
      <c r="W91" s="44">
        <f>SUM(Mie!$C$610:$D$616)</f>
        <v>0</v>
      </c>
      <c r="X91" s="44">
        <f>SUM(Meiji!$C$610:$D$616)</f>
        <v>11.083333333333334</v>
      </c>
      <c r="Y91" s="44">
        <f>SUM(Doshisha!$C$610:$D$616)</f>
        <v>2</v>
      </c>
      <c r="Z91" s="44">
        <f>SUM(Ryukoku!$C$610:$D$616)</f>
        <v>0</v>
      </c>
      <c r="AA91" s="44">
        <f>SUM(Senshu!$C$610:$D$616)</f>
        <v>5</v>
      </c>
      <c r="AB91" s="44">
        <f>SUM(Meijo!$C$610:$D$616)</f>
        <v>8.5714285714285712</v>
      </c>
      <c r="AC91" s="44">
        <f>SUM(Chukyo!$C$610:$D$616)</f>
        <v>3.25</v>
      </c>
      <c r="AD91" s="44">
        <f>SUM('Kyoto Sangyo'!$C$610:$D$616)</f>
        <v>0</v>
      </c>
      <c r="AE91" s="44">
        <f>SUM('Tohoku Gakuin'!$C$610:$D$616)</f>
        <v>1.714285714285714</v>
      </c>
      <c r="AF91" s="44">
        <f>SUM(Chubu!$C$610:$D$616)</f>
        <v>19</v>
      </c>
      <c r="AG91" s="44">
        <f>SUM('Kobe Gakuin'!$C$610:$D$616)</f>
        <v>6</v>
      </c>
      <c r="AH91" s="44">
        <f>SUM(Rissho!$C$610:$D$616)</f>
        <v>5</v>
      </c>
      <c r="AI91" s="44">
        <f>SUM(Aichi!$C$610:$D$616)</f>
        <v>5.4848484848484853</v>
      </c>
      <c r="AJ91" s="44">
        <f>SUM('Chiba Tech'!$C$610:$D$616)</f>
        <v>0</v>
      </c>
      <c r="AK91" s="44">
        <f>SUM(Nanzan!$C$610:$D$616)</f>
        <v>3</v>
      </c>
      <c r="AL91" s="44">
        <f>SUM(Konan!$C$610:$D$616)</f>
        <v>19</v>
      </c>
      <c r="AM91" s="44">
        <f>SUM('Aichi Shukutoku'!$C$610:$D$616)</f>
        <v>3.9821428571428568</v>
      </c>
      <c r="AN91" s="44">
        <f>SUM(Tokkyo!$C$610:$D$616)</f>
        <v>12</v>
      </c>
      <c r="AO91" s="44">
        <f>SUM('Mukogawa Women'!$C$610:$D$616)</f>
        <v>3</v>
      </c>
      <c r="AP91" s="44">
        <f>SUM('Hokkai-Gakuen'!$C$610:$D$616)</f>
        <v>1</v>
      </c>
      <c r="AQ91" s="44">
        <f>SUM('Shibaura '!$C$610:$D$616)</f>
        <v>0</v>
      </c>
      <c r="AR91" s="44">
        <f>SUM('Osaka Sangyo'!$C$610:$D$616)</f>
        <v>0</v>
      </c>
      <c r="AS91" s="44">
        <f>SUM('Seinan Gakuin'!$C$610:$D$616)</f>
        <v>3</v>
      </c>
      <c r="AT91" s="44">
        <f>SUM(Soka!$C$610:$D$616)</f>
        <v>2.333333333333333</v>
      </c>
    </row>
    <row r="92" spans="3:46" ht="18" customHeight="1">
      <c r="C92" s="57">
        <v>37</v>
      </c>
      <c r="D92" s="57">
        <v>88</v>
      </c>
      <c r="E92" s="57">
        <v>83</v>
      </c>
      <c r="F92" s="56">
        <v>44817</v>
      </c>
      <c r="G92" s="56">
        <v>44823</v>
      </c>
      <c r="I92" s="44">
        <f>SUM(Kyoto!$C$617:$D$623)</f>
        <v>0</v>
      </c>
      <c r="J92" s="44">
        <f>SUM(Kyushu!$C$617:$D$623)</f>
        <v>1</v>
      </c>
      <c r="K92" s="44">
        <f>SUM(Tohoku!$C$617:$D$623)</f>
        <v>0</v>
      </c>
      <c r="L92" s="44">
        <f>SUM(Hokkaio!$C$617:$D$623)</f>
        <v>0</v>
      </c>
      <c r="M92" s="44">
        <f>SUM(Nagoya!$C$617:$D$623)</f>
        <v>1</v>
      </c>
      <c r="N92" s="44">
        <f>SUM(Hiroshima!$C$617:$D$623)</f>
        <v>0</v>
      </c>
      <c r="O92" s="44">
        <f>SUM(Chiba!$C$617:$D$623)</f>
        <v>3</v>
      </c>
      <c r="P92" s="44">
        <f>SUM(Niigata!$C$617:$D$623)</f>
        <v>0</v>
      </c>
      <c r="Q92" s="44">
        <f>SUM(Kanazawa!$C$617:$D$623)</f>
        <v>0</v>
      </c>
      <c r="R92" s="44">
        <f>SUM(Shizuoka!$C$617:$D$623)</f>
        <v>5</v>
      </c>
      <c r="S92" s="44">
        <f>SUM(Kumamoto!$C$617:$D$623)</f>
        <v>3.7777777777777772</v>
      </c>
      <c r="T92" s="44">
        <f>SUM('Tokyo Metropolitan'!$C$617:$D$623)</f>
        <v>2</v>
      </c>
      <c r="U92" s="44">
        <f>SUM(Saitama!$C$617:$D$623)</f>
        <v>2</v>
      </c>
      <c r="V92" s="44">
        <f>SUM(Ryukyus!$C$617:$D$623)</f>
        <v>7.5833333333333348</v>
      </c>
      <c r="W92" s="44">
        <f>SUM(Mie!$C$617:$D$623)</f>
        <v>0</v>
      </c>
      <c r="X92" s="44">
        <f>SUM(Meiji!$C$617:$D$623)</f>
        <v>7</v>
      </c>
      <c r="Y92" s="44">
        <f>SUM(Doshisha!$C$617:$D$623)</f>
        <v>0</v>
      </c>
      <c r="Z92" s="44">
        <f>SUM(Ryukoku!$C$617:$D$623)</f>
        <v>34</v>
      </c>
      <c r="AA92" s="44">
        <f>SUM(Senshu!$C$617:$D$623)</f>
        <v>1</v>
      </c>
      <c r="AB92" s="44">
        <f>SUM(Meijo!$C$617:$D$623)</f>
        <v>10.999999999999998</v>
      </c>
      <c r="AC92" s="44">
        <f>SUM(Chukyo!$C$617:$D$623)</f>
        <v>2.8000000000000003</v>
      </c>
      <c r="AD92" s="44">
        <f>SUM('Kyoto Sangyo'!$C$617:$D$623)</f>
        <v>0</v>
      </c>
      <c r="AE92" s="44">
        <f>SUM('Tohoku Gakuin'!$C$617:$D$623)</f>
        <v>0.99999999999999978</v>
      </c>
      <c r="AF92" s="44">
        <f>SUM(Chubu!$C$617:$D$623)</f>
        <v>12</v>
      </c>
      <c r="AG92" s="44">
        <f>SUM('Kobe Gakuin'!$C$617:$D$623)</f>
        <v>1</v>
      </c>
      <c r="AH92" s="44">
        <f>SUM(Rissho!$C$617:$D$623)</f>
        <v>3</v>
      </c>
      <c r="AI92" s="44">
        <f>SUM(Aichi!$C$617:$D$623)</f>
        <v>1.3333333333333333</v>
      </c>
      <c r="AJ92" s="44">
        <f>SUM('Chiba Tech'!$C$617:$D$623)</f>
        <v>2</v>
      </c>
      <c r="AK92" s="44">
        <f>SUM(Nanzan!$C$617:$D$623)</f>
        <v>3</v>
      </c>
      <c r="AL92" s="44">
        <f>SUM(Konan!$C$617:$D$623)</f>
        <v>6</v>
      </c>
      <c r="AM92" s="44">
        <f>SUM('Aichi Shukutoku'!$C$617:$D$623)</f>
        <v>2.714285714285714</v>
      </c>
      <c r="AN92" s="44">
        <f>SUM(Tokkyo!$C$617:$D$623)</f>
        <v>3</v>
      </c>
      <c r="AO92" s="44">
        <f>SUM('Mukogawa Women'!$C$617:$D$623)</f>
        <v>2</v>
      </c>
      <c r="AP92" s="44">
        <f>SUM('Hokkai-Gakuen'!$C$617:$D$623)</f>
        <v>1</v>
      </c>
      <c r="AQ92" s="44">
        <f>SUM('Shibaura '!$C$617:$D$623)</f>
        <v>0</v>
      </c>
      <c r="AR92" s="44">
        <f>SUM('Osaka Sangyo'!$C$617:$D$623)</f>
        <v>0</v>
      </c>
      <c r="AS92" s="44">
        <f>SUM('Seinan Gakuin'!$C$617:$D$623)</f>
        <v>0</v>
      </c>
      <c r="AT92" s="44">
        <f>SUM(Soka!$C$617:$D$623)</f>
        <v>2</v>
      </c>
    </row>
    <row r="93" spans="3:46" ht="18" customHeight="1">
      <c r="C93" s="57">
        <v>38</v>
      </c>
      <c r="D93" s="57">
        <v>89</v>
      </c>
      <c r="E93" s="57">
        <v>84</v>
      </c>
      <c r="F93" s="56">
        <v>44824</v>
      </c>
      <c r="G93" s="56">
        <v>44830</v>
      </c>
      <c r="I93" s="44">
        <f>SUM(Kyoto!$C$624:$D$630)</f>
        <v>3</v>
      </c>
      <c r="J93" s="44">
        <f>SUM(Kyushu!$C$624:$D$630)</f>
        <v>1</v>
      </c>
      <c r="K93" s="44">
        <f>SUM(Tohoku!$C$624:$D$630)</f>
        <v>0</v>
      </c>
      <c r="L93" s="44">
        <f>SUM(Hokkaio!$C$624:$D$630)</f>
        <v>0</v>
      </c>
      <c r="M93" s="44">
        <f>SUM(Nagoya!$C$624:$D$630)</f>
        <v>0</v>
      </c>
      <c r="N93" s="44">
        <f>SUM(Hiroshima!$C$624:$D$630)</f>
        <v>2</v>
      </c>
      <c r="O93" s="44">
        <f>SUM(Chiba!$C$624:$D$630)</f>
        <v>0</v>
      </c>
      <c r="P93" s="44">
        <f>SUM(Niigata!$C$624:$D$630)</f>
        <v>1</v>
      </c>
      <c r="Q93" s="44">
        <f>SUM(Kanazawa!$C$624:$D$630)</f>
        <v>0</v>
      </c>
      <c r="R93" s="44">
        <f>SUM(Shizuoka!$C$624:$D$630)</f>
        <v>0</v>
      </c>
      <c r="S93" s="44">
        <f>SUM(Kumamoto!$C$624:$D$630)</f>
        <v>2</v>
      </c>
      <c r="T93" s="44">
        <f>SUM('Tokyo Metropolitan'!$C$624:$D$630)</f>
        <v>1</v>
      </c>
      <c r="U93" s="44">
        <f>SUM(Saitama!$C$624:$D$630)</f>
        <v>0</v>
      </c>
      <c r="V93" s="44">
        <f>SUM(Ryukyus!$C$624:$D$630)</f>
        <v>5.416666666666667</v>
      </c>
      <c r="W93" s="44">
        <f>SUM(Mie!$C$624:$D$630)</f>
        <v>0</v>
      </c>
      <c r="X93" s="44">
        <f>SUM(Meiji!$C$624:$D$630)</f>
        <v>11.8</v>
      </c>
      <c r="Y93" s="44">
        <f>SUM(Doshisha!$C$624:$D$630)</f>
        <v>2</v>
      </c>
      <c r="Z93" s="44">
        <f>SUM(Ryukoku!$C$624:$D$630)</f>
        <v>4</v>
      </c>
      <c r="AA93" s="44">
        <f>SUM(Senshu!$C$624:$D$630)</f>
        <v>0</v>
      </c>
      <c r="AB93" s="44">
        <f>SUM(Meijo!$C$624:$D$630)</f>
        <v>1.2857142857142856</v>
      </c>
      <c r="AC93" s="44">
        <f>SUM(Chukyo!$C$624:$D$630)</f>
        <v>1.95</v>
      </c>
      <c r="AD93" s="44">
        <f>SUM('Kyoto Sangyo'!$C$624:$D$630)</f>
        <v>0</v>
      </c>
      <c r="AE93" s="44">
        <f>SUM('Tohoku Gakuin'!$C$624:$D$630)</f>
        <v>0.71428571428571419</v>
      </c>
      <c r="AF93" s="44">
        <f>SUM(Chubu!$C$624:$D$630)</f>
        <v>2</v>
      </c>
      <c r="AG93" s="44">
        <f>SUM('Kobe Gakuin'!$C$624:$D$630)</f>
        <v>1</v>
      </c>
      <c r="AH93" s="44">
        <f>SUM(Rissho!$C$624:$D$630)</f>
        <v>0</v>
      </c>
      <c r="AI93" s="44">
        <f>SUM(Aichi!$C$624:$D$630)</f>
        <v>1</v>
      </c>
      <c r="AJ93" s="44">
        <f>SUM('Chiba Tech'!$C$624:$D$630)</f>
        <v>0</v>
      </c>
      <c r="AK93" s="44">
        <f>SUM(Nanzan!$C$624:$D$630)</f>
        <v>0</v>
      </c>
      <c r="AL93" s="44">
        <f>SUM(Konan!$C$624:$D$630)</f>
        <v>1</v>
      </c>
      <c r="AM93" s="44">
        <f>SUM('Aichi Shukutoku'!$C$624:$D$630)</f>
        <v>2.2857142857142851</v>
      </c>
      <c r="AN93" s="44">
        <f>SUM(Tokkyo!$C$624:$D$630)</f>
        <v>1</v>
      </c>
      <c r="AO93" s="44">
        <f>SUM('Mukogawa Women'!$C$624:$D$630)</f>
        <v>2</v>
      </c>
      <c r="AP93" s="44">
        <f>SUM('Hokkai-Gakuen'!$C$624:$D$630)</f>
        <v>0</v>
      </c>
      <c r="AQ93" s="44">
        <f>SUM('Shibaura '!$C$624:$D$630)</f>
        <v>0</v>
      </c>
      <c r="AR93" s="44">
        <f>SUM('Osaka Sangyo'!$C$624:$D$630)</f>
        <v>0</v>
      </c>
      <c r="AS93" s="44">
        <f>SUM('Seinan Gakuin'!$C$624:$D$630)</f>
        <v>1</v>
      </c>
      <c r="AT93" s="44">
        <f>SUM(Soka!$C$624:$D$630)</f>
        <v>0</v>
      </c>
    </row>
    <row r="94" spans="3:46" ht="18" customHeight="1">
      <c r="C94" s="57">
        <v>39</v>
      </c>
      <c r="D94" s="57">
        <v>90</v>
      </c>
      <c r="E94" s="57">
        <v>85</v>
      </c>
      <c r="F94" s="56">
        <v>44831</v>
      </c>
      <c r="G94" s="56">
        <v>44837</v>
      </c>
      <c r="I94" s="44">
        <f>SUM(Kyoto!$C$631:$D$637)</f>
        <v>2</v>
      </c>
      <c r="J94" s="44">
        <f>SUM(Kyushu!$C$631:$D$637)</f>
        <v>0</v>
      </c>
      <c r="K94" s="44">
        <f>SUM(Tohoku!$C$631:$D$637)</f>
        <v>0</v>
      </c>
      <c r="L94" s="44">
        <f>SUM(Hokkaio!$C$631:$D$637)</f>
        <v>0</v>
      </c>
      <c r="M94" s="44">
        <f>SUM(Nagoya!$C$631:$D$637)</f>
        <v>0</v>
      </c>
      <c r="N94" s="44">
        <f>SUM(Hiroshima!$C$631:$D$637)</f>
        <v>2</v>
      </c>
      <c r="O94" s="44">
        <f>SUM(Chiba!$C$631:$D$637)</f>
        <v>3</v>
      </c>
      <c r="P94" s="44">
        <f>SUM(Niigata!$C$631:$D$637)</f>
        <v>0</v>
      </c>
      <c r="Q94" s="44">
        <f>SUM(Kanazawa!$C$631:$D$637)</f>
        <v>0</v>
      </c>
      <c r="R94" s="44">
        <f>SUM(Shizuoka!$C$631:$D$637)</f>
        <v>0</v>
      </c>
      <c r="S94" s="44">
        <f>SUM(Kumamoto!$C$631:$D$637)</f>
        <v>0</v>
      </c>
      <c r="T94" s="44">
        <f>SUM('Tokyo Metropolitan'!$C$631:$D$637)</f>
        <v>0</v>
      </c>
      <c r="U94" s="44">
        <f>SUM(Saitama!$C$631:$D$637)</f>
        <v>0</v>
      </c>
      <c r="V94" s="44">
        <f>SUM(Ryukyus!$C$631:$D$637)</f>
        <v>0</v>
      </c>
      <c r="W94" s="44">
        <f>SUM(Mie!$C$631:$D$637)</f>
        <v>0</v>
      </c>
      <c r="X94" s="44">
        <f>SUM(Meiji!$C$631:$D$637)</f>
        <v>8.0181818181818176</v>
      </c>
      <c r="Y94" s="44">
        <f>SUM(Doshisha!$C$631:$D$637)</f>
        <v>6</v>
      </c>
      <c r="Z94" s="44">
        <f>SUM(Ryukoku!$C$631:$D$637)</f>
        <v>0</v>
      </c>
      <c r="AA94" s="44">
        <f>SUM(Senshu!$C$631:$D$637)</f>
        <v>0</v>
      </c>
      <c r="AB94" s="44">
        <f>SUM(Meijo!$C$631:$D$637)</f>
        <v>1.4285714285714284</v>
      </c>
      <c r="AC94" s="44">
        <f>SUM(Chukyo!$C$631:$D$637)</f>
        <v>0.91666666666666652</v>
      </c>
      <c r="AD94" s="44">
        <f>SUM('Kyoto Sangyo'!$C$631:$D$637)</f>
        <v>0</v>
      </c>
      <c r="AE94" s="44">
        <f>SUM('Tohoku Gakuin'!$C$631:$D$637)</f>
        <v>0</v>
      </c>
      <c r="AF94" s="44">
        <f>SUM(Chubu!$C$631:$D$637)</f>
        <v>1</v>
      </c>
      <c r="AG94" s="44">
        <f>SUM('Kobe Gakuin'!$C$631:$D$637)</f>
        <v>1</v>
      </c>
      <c r="AH94" s="44">
        <f>SUM(Rissho!$C$631:$D$637)</f>
        <v>0</v>
      </c>
      <c r="AI94" s="44">
        <f>SUM(Aichi!$C$631:$D$637)</f>
        <v>0</v>
      </c>
      <c r="AJ94" s="44">
        <f>SUM('Chiba Tech'!$C$631:$D$637)</f>
        <v>0</v>
      </c>
      <c r="AK94" s="44">
        <f>SUM(Nanzan!$C$631:$D$637)</f>
        <v>0</v>
      </c>
      <c r="AL94" s="44">
        <f>SUM(Konan!$C$631:$D$637)</f>
        <v>0</v>
      </c>
      <c r="AM94" s="44">
        <f>SUM('Aichi Shukutoku'!$C$631:$D$637)</f>
        <v>2.1428571428571423</v>
      </c>
      <c r="AN94" s="44">
        <f>SUM(Tokkyo!$C$631:$D$637)</f>
        <v>1</v>
      </c>
      <c r="AO94" s="44">
        <f>SUM('Mukogawa Women'!$C$631:$D$637)</f>
        <v>0</v>
      </c>
      <c r="AP94" s="44">
        <f>SUM('Hokkai-Gakuen'!$C$631:$D$637)</f>
        <v>0</v>
      </c>
      <c r="AQ94" s="44">
        <f>SUM('Shibaura '!$C$631:$D$637)</f>
        <v>0</v>
      </c>
      <c r="AR94" s="44">
        <f>SUM('Osaka Sangyo'!$C$631:$D$637)</f>
        <v>0</v>
      </c>
      <c r="AS94" s="44">
        <f>SUM('Seinan Gakuin'!$C$631:$D$637)</f>
        <v>1</v>
      </c>
      <c r="AT94" s="44">
        <f>SUM(Soka!$C$631:$D$637)</f>
        <v>0</v>
      </c>
    </row>
    <row r="95" spans="3:46" ht="18" customHeight="1">
      <c r="C95" s="57">
        <v>40</v>
      </c>
      <c r="D95" s="57">
        <v>91</v>
      </c>
      <c r="E95" s="57">
        <v>86</v>
      </c>
      <c r="F95" s="56">
        <v>44838</v>
      </c>
      <c r="G95" s="56">
        <v>44844</v>
      </c>
      <c r="I95" s="44">
        <f>SUM(Kyoto!$C$638:$D$644)</f>
        <v>0</v>
      </c>
      <c r="J95" s="44">
        <f>SUM(Kyushu!$C$638:$D$644)</f>
        <v>1</v>
      </c>
      <c r="K95" s="44">
        <f>SUM(Tohoku!$C$638:$D$644)</f>
        <v>0</v>
      </c>
      <c r="L95" s="44">
        <f>SUM(Hokkaio!$C$638:$D$644)</f>
        <v>0</v>
      </c>
      <c r="M95" s="44">
        <f>SUM(Nagoya!$C$638:$D$644)</f>
        <v>2</v>
      </c>
      <c r="N95" s="44">
        <f>SUM(Hiroshima!$C$638:$D$644)</f>
        <v>0</v>
      </c>
      <c r="O95" s="44">
        <f>SUM(Chiba!$C$638:$D$644)</f>
        <v>1</v>
      </c>
      <c r="P95" s="44">
        <f>SUM(Niigata!$C$638:$D$644)</f>
        <v>0</v>
      </c>
      <c r="Q95" s="44">
        <f>SUM(Kanazawa!$C$638:$D$644)</f>
        <v>0</v>
      </c>
      <c r="R95" s="44">
        <f>SUM(Shizuoka!$C$638:$D$644)</f>
        <v>0</v>
      </c>
      <c r="S95" s="44">
        <f>SUM(Kumamoto!$C$638:$D$644)</f>
        <v>0</v>
      </c>
      <c r="T95" s="44">
        <f>SUM('Tokyo Metropolitan'!$C$638:$D$644)</f>
        <v>0</v>
      </c>
      <c r="U95" s="44">
        <f>SUM(Saitama!$C$638:$D$644)</f>
        <v>0</v>
      </c>
      <c r="V95" s="44">
        <f>SUM(Ryukyus!$C$638:$D$644)</f>
        <v>1</v>
      </c>
      <c r="W95" s="44">
        <f>SUM(Mie!$C$638:$D$644)</f>
        <v>0</v>
      </c>
      <c r="X95" s="44">
        <f>SUM(Meiji!$C$638:$D$644)</f>
        <v>1.9090909090909089</v>
      </c>
      <c r="Y95" s="44">
        <f>SUM(Doshisha!$C$638:$D$644)</f>
        <v>0</v>
      </c>
      <c r="Z95" s="44">
        <f>SUM(Ryukoku!$C$638:$D$644)</f>
        <v>3</v>
      </c>
      <c r="AA95" s="44">
        <f>SUM(Senshu!$C$638:$D$644)</f>
        <v>0</v>
      </c>
      <c r="AB95" s="44">
        <f>SUM(Meijo!$C$638:$D$644)</f>
        <v>0.2857142857142857</v>
      </c>
      <c r="AC95" s="44">
        <f>SUM(Chukyo!$C$638:$D$644)</f>
        <v>0.33333333333333331</v>
      </c>
      <c r="AD95" s="44">
        <f>SUM('Kyoto Sangyo'!$C$638:$D$644)</f>
        <v>0</v>
      </c>
      <c r="AE95" s="44">
        <f>SUM('Tohoku Gakuin'!$C$638:$D$644)</f>
        <v>0</v>
      </c>
      <c r="AF95" s="44">
        <f>SUM(Chubu!$C$638:$D$644)</f>
        <v>0</v>
      </c>
      <c r="AG95" s="44">
        <f>SUM('Kobe Gakuin'!$C$638:$D$644)</f>
        <v>0</v>
      </c>
      <c r="AH95" s="44">
        <f>SUM(Rissho!$C$638:$D$644)</f>
        <v>1</v>
      </c>
      <c r="AI95" s="44">
        <f>SUM(Aichi!$C$638:$D$644)</f>
        <v>0</v>
      </c>
      <c r="AJ95" s="44">
        <f>SUM('Chiba Tech'!$C$638:$D$644)</f>
        <v>0</v>
      </c>
      <c r="AK95" s="44">
        <f>SUM(Nanzan!$C$638:$D$644)</f>
        <v>0</v>
      </c>
      <c r="AL95" s="44">
        <f>SUM(Konan!$C$638:$D$644)</f>
        <v>4</v>
      </c>
      <c r="AM95" s="44">
        <f>SUM('Aichi Shukutoku'!$C$638:$D$644)</f>
        <v>0</v>
      </c>
      <c r="AN95" s="44">
        <f>SUM(Tokkyo!$C$638:$D$644)</f>
        <v>1</v>
      </c>
      <c r="AO95" s="44">
        <f>SUM('Mukogawa Women'!$C$638:$D$644)</f>
        <v>1</v>
      </c>
      <c r="AP95" s="44">
        <f>SUM('Hokkai-Gakuen'!$C$638:$D$644)</f>
        <v>1</v>
      </c>
      <c r="AQ95" s="44">
        <f>SUM('Shibaura '!$C$638:$D$644)</f>
        <v>0</v>
      </c>
      <c r="AR95" s="44">
        <f>SUM('Osaka Sangyo'!$C$638:$D$644)</f>
        <v>0</v>
      </c>
      <c r="AS95" s="44">
        <f>SUM('Seinan Gakuin'!$C$638:$D$644)</f>
        <v>0</v>
      </c>
      <c r="AT95" s="44">
        <f>SUM(Soka!$C$638:$D$644)</f>
        <v>0</v>
      </c>
    </row>
    <row r="96" spans="3:46" ht="18" customHeight="1">
      <c r="C96" s="57">
        <v>41</v>
      </c>
      <c r="D96" s="57">
        <v>92</v>
      </c>
      <c r="E96" s="57">
        <v>87</v>
      </c>
      <c r="F96" s="56">
        <v>44845</v>
      </c>
      <c r="G96" s="56">
        <v>44851</v>
      </c>
      <c r="I96" s="44">
        <f>SUM(Kyoto!$C$645:$D$651)</f>
        <v>0</v>
      </c>
      <c r="J96" s="44">
        <f>SUM(Kyushu!$C$645:$D$651)</f>
        <v>0</v>
      </c>
      <c r="K96" s="44">
        <f>SUM(Tohoku!$C$645:$D$651)</f>
        <v>0</v>
      </c>
      <c r="L96" s="44">
        <f>SUM(Hokkaio!$C$645:$D$651)</f>
        <v>0</v>
      </c>
      <c r="M96" s="44">
        <f>SUM(Nagoya!$C$645:$D$651)</f>
        <v>0</v>
      </c>
      <c r="N96" s="44">
        <f>SUM(Hiroshima!$C$645:$D$651)</f>
        <v>0</v>
      </c>
      <c r="O96" s="44">
        <f>SUM(Chiba!$C$645:$D$651)</f>
        <v>0</v>
      </c>
      <c r="P96" s="44">
        <f>SUM(Niigata!$C$645:$D$651)</f>
        <v>0</v>
      </c>
      <c r="Q96" s="44">
        <f>SUM(Kanazawa!$C$645:$D$651)</f>
        <v>0</v>
      </c>
      <c r="R96" s="44">
        <f>SUM(Shizuoka!$C$645:$D$651)</f>
        <v>0</v>
      </c>
      <c r="S96" s="44">
        <f>SUM(Kumamoto!$C$645:$D$651)</f>
        <v>0</v>
      </c>
      <c r="T96" s="44">
        <f>SUM('Tokyo Metropolitan'!$C$645:$D$651)</f>
        <v>0</v>
      </c>
      <c r="U96" s="44">
        <f>SUM(Saitama!$C$645:$D$651)</f>
        <v>0</v>
      </c>
      <c r="V96" s="44">
        <f>SUM(Ryukyus!$C$645:$D$651)</f>
        <v>0</v>
      </c>
      <c r="W96" s="44">
        <f>SUM(Mie!$C$645:$D$651)</f>
        <v>0</v>
      </c>
      <c r="X96" s="44">
        <f>SUM(Meiji!$C$645:$D$651)</f>
        <v>0.93939393939393945</v>
      </c>
      <c r="Y96" s="44">
        <f>SUM(Doshisha!$C$645:$D$651)</f>
        <v>0</v>
      </c>
      <c r="Z96" s="44">
        <f>SUM(Ryukoku!$C$645:$D$651)</f>
        <v>0</v>
      </c>
      <c r="AA96" s="44">
        <f>SUM(Senshu!$C$645:$D$651)</f>
        <v>0</v>
      </c>
      <c r="AB96" s="44">
        <f>SUM(Meijo!$C$645:$D$651)</f>
        <v>0.71428571428571419</v>
      </c>
      <c r="AC96" s="44">
        <f>SUM(Chukyo!$C$645:$D$651)</f>
        <v>0</v>
      </c>
      <c r="AD96" s="44">
        <f>SUM('Kyoto Sangyo'!$C$645:$D$651)</f>
        <v>0</v>
      </c>
      <c r="AE96" s="44">
        <f>SUM('Tohoku Gakuin'!$C$645:$D$651)</f>
        <v>0</v>
      </c>
      <c r="AF96" s="44">
        <f>SUM(Chubu!$C$645:$D$651)</f>
        <v>0</v>
      </c>
      <c r="AG96" s="44">
        <f>SUM('Kobe Gakuin'!$C$645:$D$651)</f>
        <v>0</v>
      </c>
      <c r="AH96" s="44">
        <f>SUM(Rissho!$C$645:$D$651)</f>
        <v>0</v>
      </c>
      <c r="AI96" s="44">
        <f>SUM(Aichi!$C$645:$D$651)</f>
        <v>0</v>
      </c>
      <c r="AJ96" s="44">
        <f>SUM('Chiba Tech'!$C$645:$D$651)</f>
        <v>0</v>
      </c>
      <c r="AK96" s="44">
        <f>SUM(Nanzan!$C$645:$D$651)</f>
        <v>1</v>
      </c>
      <c r="AL96" s="44">
        <f>SUM(Konan!$C$645:$D$651)</f>
        <v>0</v>
      </c>
      <c r="AM96" s="44">
        <f>SUM('Aichi Shukutoku'!$C$645:$D$651)</f>
        <v>0</v>
      </c>
      <c r="AN96" s="44">
        <f>SUM(Tokkyo!$C$645:$D$651)</f>
        <v>0</v>
      </c>
      <c r="AO96" s="44">
        <f>SUM('Mukogawa Women'!$C$645:$D$651)</f>
        <v>1</v>
      </c>
      <c r="AP96" s="44">
        <f>SUM('Hokkai-Gakuen'!$C$645:$D$651)</f>
        <v>0</v>
      </c>
      <c r="AQ96" s="44">
        <f>SUM('Shibaura '!$C$645:$D$651)</f>
        <v>0</v>
      </c>
      <c r="AR96" s="44">
        <f>SUM('Osaka Sangyo'!$C$645:$D$651)</f>
        <v>0</v>
      </c>
      <c r="AS96" s="44">
        <f>SUM('Seinan Gakuin'!$C$645:$D$651)</f>
        <v>0</v>
      </c>
      <c r="AT96" s="44">
        <f>SUM(Soka!$C$645:$D$651)</f>
        <v>0</v>
      </c>
    </row>
    <row r="97" spans="2:46" ht="18" customHeight="1">
      <c r="C97" s="57">
        <v>42</v>
      </c>
      <c r="D97" s="57">
        <v>93</v>
      </c>
      <c r="E97" s="57">
        <v>88</v>
      </c>
      <c r="F97" s="56">
        <v>44852</v>
      </c>
      <c r="G97" s="56">
        <v>44858</v>
      </c>
      <c r="I97" s="44">
        <f>SUM(Kyoto!$C$652:$D$658)</f>
        <v>0</v>
      </c>
      <c r="J97" s="44">
        <f>SUM(Kyushu!$C$652:$D$658)</f>
        <v>0</v>
      </c>
      <c r="K97" s="44">
        <f>SUM(Tohoku!$C$652:$D$658)</f>
        <v>0</v>
      </c>
      <c r="L97" s="44">
        <f>SUM(Hokkaio!$C$652:$D$658)</f>
        <v>0</v>
      </c>
      <c r="M97" s="44">
        <f>SUM(Nagoya!$C$652:$D$658)</f>
        <v>0</v>
      </c>
      <c r="N97" s="44">
        <f>SUM(Hiroshima!$C$652:$D$658)</f>
        <v>0</v>
      </c>
      <c r="O97" s="44">
        <f>SUM(Chiba!$C$652:$D$658)</f>
        <v>0</v>
      </c>
      <c r="P97" s="44">
        <f>SUM(Niigata!$C$652:$D$658)</f>
        <v>0</v>
      </c>
      <c r="Q97" s="44">
        <f>SUM(Kanazawa!$C$652:$D$658)</f>
        <v>1</v>
      </c>
      <c r="R97" s="44">
        <f>SUM(Shizuoka!$C$652:$D$658)</f>
        <v>0</v>
      </c>
      <c r="S97" s="44">
        <f>SUM(Kumamoto!$C$652:$D$658)</f>
        <v>0</v>
      </c>
      <c r="T97" s="44">
        <f>SUM('Tokyo Metropolitan'!$C$652:$D$658)</f>
        <v>0</v>
      </c>
      <c r="U97" s="44">
        <f>SUM(Saitama!$C$652:$D$658)</f>
        <v>0</v>
      </c>
      <c r="V97" s="44">
        <f>SUM(Ryukyus!$C$652:$D$658)</f>
        <v>1</v>
      </c>
      <c r="W97" s="44">
        <f>SUM(Mie!$C$652:$D$658)</f>
        <v>0</v>
      </c>
      <c r="X97" s="44">
        <f>SUM(Meiji!$C$652:$D$658)</f>
        <v>0.71428571428571419</v>
      </c>
      <c r="Y97" s="44">
        <f>SUM(Doshisha!$C$652:$D$658)</f>
        <v>3</v>
      </c>
      <c r="Z97" s="44">
        <f>SUM(Ryukoku!$C$652:$D$658)</f>
        <v>0</v>
      </c>
      <c r="AA97" s="44">
        <f>SUM(Senshu!$C$652:$D$658)</f>
        <v>0</v>
      </c>
      <c r="AB97" s="44">
        <f>SUM(Meijo!$C$652:$D$658)</f>
        <v>0</v>
      </c>
      <c r="AC97" s="44">
        <f>SUM(Chukyo!$C$652:$D$658)</f>
        <v>0</v>
      </c>
      <c r="AD97" s="44">
        <f>SUM('Kyoto Sangyo'!$C$652:$D$658)</f>
        <v>0</v>
      </c>
      <c r="AE97" s="44">
        <f>SUM('Tohoku Gakuin'!$C$652:$D$658)</f>
        <v>0</v>
      </c>
      <c r="AF97" s="44">
        <f>SUM(Chubu!$C$652:$D$658)</f>
        <v>0</v>
      </c>
      <c r="AG97" s="44">
        <f>SUM('Kobe Gakuin'!$C$652:$D$658)</f>
        <v>0</v>
      </c>
      <c r="AH97" s="44">
        <f>SUM(Rissho!$C$652:$D$658)</f>
        <v>0</v>
      </c>
      <c r="AI97" s="44">
        <f>SUM(Aichi!$C$652:$D$658)</f>
        <v>0</v>
      </c>
      <c r="AJ97" s="44">
        <f>SUM('Chiba Tech'!$C$652:$D$658)</f>
        <v>0</v>
      </c>
      <c r="AK97" s="44">
        <f>SUM(Nanzan!$C$652:$D$658)</f>
        <v>1</v>
      </c>
      <c r="AL97" s="44">
        <f>SUM(Konan!$C$652:$D$658)</f>
        <v>0</v>
      </c>
      <c r="AM97" s="44">
        <f>SUM('Aichi Shukutoku'!$C$652:$D$658)</f>
        <v>0</v>
      </c>
      <c r="AN97" s="44">
        <f>SUM(Tokkyo!$C$652:$D$658)</f>
        <v>0</v>
      </c>
      <c r="AO97" s="44">
        <f>SUM('Mukogawa Women'!$C$652:$D$658)</f>
        <v>0</v>
      </c>
      <c r="AP97" s="44">
        <f>SUM('Hokkai-Gakuen'!$C$652:$D$658)</f>
        <v>0</v>
      </c>
      <c r="AQ97" s="44">
        <f>SUM('Shibaura '!$C$652:$D$658)</f>
        <v>0</v>
      </c>
      <c r="AR97" s="44">
        <f>SUM('Osaka Sangyo'!$C$652:$D$658)</f>
        <v>0</v>
      </c>
      <c r="AS97" s="44">
        <f>SUM('Seinan Gakuin'!$C$652:$D$658)</f>
        <v>0</v>
      </c>
      <c r="AT97" s="44">
        <f>SUM(Soka!$C$652:$D$658)</f>
        <v>0</v>
      </c>
    </row>
    <row r="98" spans="2:46" ht="18" customHeight="1">
      <c r="C98" s="57">
        <v>43</v>
      </c>
      <c r="D98" s="57">
        <v>94</v>
      </c>
      <c r="E98" s="57">
        <v>89</v>
      </c>
      <c r="F98" s="56">
        <v>44859</v>
      </c>
      <c r="G98" s="56">
        <v>44865</v>
      </c>
      <c r="I98" s="44">
        <f>SUM(Kyoto!$C$659:$D$665)</f>
        <v>1</v>
      </c>
      <c r="J98" s="44">
        <f>SUM(Kyushu!$C$659:$D$665)</f>
        <v>0</v>
      </c>
      <c r="K98" s="44">
        <f>SUM(Tohoku!$C$659:$D$665)</f>
        <v>0</v>
      </c>
      <c r="L98" s="44">
        <f>SUM(Hokkaio!$C$659:$D$665)</f>
        <v>0</v>
      </c>
      <c r="M98" s="44">
        <f>SUM(Nagoya!$C$659:$D$665)</f>
        <v>0</v>
      </c>
      <c r="N98" s="44">
        <f>SUM(Hiroshima!$C$659:$D$665)</f>
        <v>0</v>
      </c>
      <c r="O98" s="44">
        <f>SUM(Chiba!$C$659:$D$665)</f>
        <v>0</v>
      </c>
      <c r="P98" s="44">
        <f>SUM(Niigata!$C$659:$D$665)</f>
        <v>0</v>
      </c>
      <c r="Q98" s="44">
        <f>SUM(Kanazawa!$C$659:$D$665)</f>
        <v>1</v>
      </c>
      <c r="R98" s="44">
        <f>SUM(Shizuoka!$C$659:$D$665)</f>
        <v>0</v>
      </c>
      <c r="S98" s="44">
        <f>SUM(Kumamoto!$C$659:$D$665)</f>
        <v>0</v>
      </c>
      <c r="T98" s="44">
        <f>SUM('Tokyo Metropolitan'!$C$659:$D$665)</f>
        <v>0</v>
      </c>
      <c r="U98" s="44">
        <f>SUM(Saitama!$C$659:$D$665)</f>
        <v>0</v>
      </c>
      <c r="V98" s="44">
        <f>SUM(Ryukyus!$C$659:$D$665)</f>
        <v>0</v>
      </c>
      <c r="W98" s="44">
        <f>SUM(Mie!$C$659:$D$665)</f>
        <v>0</v>
      </c>
      <c r="X98" s="44">
        <f>SUM(Meiji!$C$659:$D$665)</f>
        <v>0.66666666666666663</v>
      </c>
      <c r="Y98" s="44">
        <f>SUM(Doshisha!$C$659:$D$665)</f>
        <v>0</v>
      </c>
      <c r="Z98" s="44">
        <f>SUM(Ryukoku!$C$659:$D$665)</f>
        <v>0</v>
      </c>
      <c r="AA98" s="44">
        <f>SUM(Senshu!$C$659:$D$665)</f>
        <v>0</v>
      </c>
      <c r="AB98" s="44">
        <f>SUM(Meijo!$C$659:$D$665)</f>
        <v>0</v>
      </c>
      <c r="AC98" s="44">
        <f>SUM(Chukyo!$C$659:$D$665)</f>
        <v>0</v>
      </c>
      <c r="AD98" s="44">
        <f>SUM('Kyoto Sangyo'!$C$659:$D$665)</f>
        <v>1</v>
      </c>
      <c r="AE98" s="44">
        <f>SUM('Tohoku Gakuin'!$C$659:$D$665)</f>
        <v>0</v>
      </c>
      <c r="AF98" s="44">
        <f>SUM(Chubu!$C$659:$D$665)</f>
        <v>0</v>
      </c>
      <c r="AG98" s="44">
        <f>SUM('Kobe Gakuin'!$C$659:$D$665)</f>
        <v>2</v>
      </c>
      <c r="AH98" s="44">
        <f>SUM(Rissho!$C$659:$D$665)</f>
        <v>0</v>
      </c>
      <c r="AI98" s="44">
        <f>SUM(Aichi!$C$659:$D$665)</f>
        <v>0</v>
      </c>
      <c r="AJ98" s="44">
        <f>SUM('Chiba Tech'!$C$659:$D$665)</f>
        <v>0</v>
      </c>
      <c r="AK98" s="44">
        <f>SUM(Nanzan!$C$659:$D$665)</f>
        <v>0</v>
      </c>
      <c r="AL98" s="44">
        <f>SUM(Konan!$C$659:$D$665)</f>
        <v>0</v>
      </c>
      <c r="AM98" s="44">
        <f>SUM('Aichi Shukutoku'!$C$659:$D$665)</f>
        <v>0</v>
      </c>
      <c r="AN98" s="44">
        <f>SUM(Tokkyo!$C$659:$D$665)</f>
        <v>0</v>
      </c>
      <c r="AO98" s="44">
        <f>SUM('Mukogawa Women'!$C$659:$D$665)</f>
        <v>1</v>
      </c>
      <c r="AP98" s="44">
        <f>SUM('Hokkai-Gakuen'!$C$659:$D$665)</f>
        <v>0</v>
      </c>
      <c r="AQ98" s="44">
        <f>SUM('Shibaura '!$C$659:$D$665)</f>
        <v>0</v>
      </c>
      <c r="AR98" s="44">
        <f>SUM('Osaka Sangyo'!$C$659:$D$665)</f>
        <v>0</v>
      </c>
      <c r="AS98" s="44">
        <f>SUM('Seinan Gakuin'!$C$659:$D$665)</f>
        <v>0</v>
      </c>
      <c r="AT98" s="44">
        <f>SUM(Soka!$C$659:$D$665)</f>
        <v>0</v>
      </c>
    </row>
    <row r="99" spans="2:46" ht="18" customHeight="1">
      <c r="C99" s="57">
        <v>44</v>
      </c>
      <c r="D99" s="57">
        <v>95</v>
      </c>
      <c r="E99" s="57">
        <v>90</v>
      </c>
      <c r="F99" s="56">
        <v>44866</v>
      </c>
      <c r="G99" s="56">
        <v>44872</v>
      </c>
      <c r="I99" s="44">
        <f>SUM(Kyoto!$C$666:$D$672)</f>
        <v>0</v>
      </c>
      <c r="J99" s="44">
        <f>SUM(Kyushu!$C$666:$D$672)</f>
        <v>0</v>
      </c>
      <c r="K99" s="44">
        <f>SUM(Tohoku!$C$666:$D$672)</f>
        <v>0</v>
      </c>
      <c r="L99" s="44">
        <f>SUM(Hokkaio!$C$666:$D$672)</f>
        <v>0</v>
      </c>
      <c r="M99" s="44">
        <f>SUM(Nagoya!$C$666:$D$672)</f>
        <v>0</v>
      </c>
      <c r="N99" s="44">
        <f>SUM(Hiroshima!$C$666:$D$672)</f>
        <v>0</v>
      </c>
      <c r="O99" s="44">
        <f>SUM(Chiba!$C$666:$D$672)</f>
        <v>1</v>
      </c>
      <c r="P99" s="44">
        <f>SUM(Niigata!$C$666:$D$672)</f>
        <v>0</v>
      </c>
      <c r="Q99" s="44">
        <f>SUM(Kanazawa!$C$666:$D$672)</f>
        <v>0</v>
      </c>
      <c r="R99" s="44">
        <f>SUM(Shizuoka!$C$666:$D$672)</f>
        <v>0</v>
      </c>
      <c r="S99" s="44">
        <f>SUM(Kumamoto!$C$666:$D$672)</f>
        <v>0</v>
      </c>
      <c r="T99" s="44">
        <f>SUM('Tokyo Metropolitan'!$C$666:$D$672)</f>
        <v>0</v>
      </c>
      <c r="U99" s="44">
        <f>SUM(Saitama!$C$666:$D$672)</f>
        <v>0</v>
      </c>
      <c r="V99" s="44">
        <f>SUM(Ryukyus!$C$666:$D$672)</f>
        <v>0</v>
      </c>
      <c r="W99" s="44">
        <f>SUM(Mie!$C$666:$D$672)</f>
        <v>0</v>
      </c>
      <c r="X99" s="44">
        <f>SUM(Meiji!$C$666:$D$672)</f>
        <v>0.66666666666666663</v>
      </c>
      <c r="Y99" s="44">
        <f>SUM(Doshisha!$C$666:$D$672)</f>
        <v>0</v>
      </c>
      <c r="Z99" s="44">
        <f>SUM(Ryukoku!$C$666:$D$672)</f>
        <v>0</v>
      </c>
      <c r="AA99" s="44">
        <f>SUM(Senshu!$C$666:$D$672)</f>
        <v>0</v>
      </c>
      <c r="AB99" s="44">
        <f>SUM(Meijo!$C$666:$D$672)</f>
        <v>0</v>
      </c>
      <c r="AC99" s="44">
        <f>SUM(Chukyo!$C$666:$D$672)</f>
        <v>0</v>
      </c>
      <c r="AD99" s="44">
        <f>SUM('Kyoto Sangyo'!$C$666:$D$672)</f>
        <v>1</v>
      </c>
      <c r="AE99" s="44">
        <f>SUM('Tohoku Gakuin'!$C$666:$D$672)</f>
        <v>0</v>
      </c>
      <c r="AF99" s="44">
        <f>SUM(Chubu!$C$666:$D$672)</f>
        <v>0</v>
      </c>
      <c r="AG99" s="44">
        <f>SUM('Kobe Gakuin'!$C$666:$D$672)</f>
        <v>0</v>
      </c>
      <c r="AH99" s="44">
        <f>SUM(Rissho!$C$666:$D$672)</f>
        <v>1</v>
      </c>
      <c r="AI99" s="44">
        <f>SUM(Aichi!$C$666:$D$672)</f>
        <v>0</v>
      </c>
      <c r="AJ99" s="44">
        <f>SUM('Chiba Tech'!$C$666:$D$672)</f>
        <v>0</v>
      </c>
      <c r="AK99" s="44">
        <f>SUM(Nanzan!$C$666:$D$672)</f>
        <v>0</v>
      </c>
      <c r="AL99" s="44">
        <f>SUM(Konan!$C$666:$D$672)</f>
        <v>0</v>
      </c>
      <c r="AM99" s="44">
        <f>SUM('Aichi Shukutoku'!$C$666:$D$672)</f>
        <v>0</v>
      </c>
      <c r="AN99" s="44">
        <f>SUM(Tokkyo!$C$666:$D$672)</f>
        <v>0</v>
      </c>
      <c r="AO99" s="44">
        <f>SUM('Mukogawa Women'!$C$666:$D$672)</f>
        <v>0</v>
      </c>
      <c r="AP99" s="44">
        <f>SUM('Hokkai-Gakuen'!$C$666:$D$672)</f>
        <v>0</v>
      </c>
      <c r="AQ99" s="44">
        <f>SUM('Shibaura '!$C$666:$D$672)</f>
        <v>0</v>
      </c>
      <c r="AR99" s="44">
        <f>SUM('Osaka Sangyo'!$C$666:$D$672)</f>
        <v>0</v>
      </c>
      <c r="AS99" s="44">
        <f>SUM('Seinan Gakuin'!$C$666:$D$672)</f>
        <v>0</v>
      </c>
      <c r="AT99" s="44">
        <f>SUM(Soka!$C$666:$D$672)</f>
        <v>2</v>
      </c>
    </row>
    <row r="100" spans="2:46" ht="18" customHeight="1">
      <c r="C100" s="57">
        <v>45</v>
      </c>
      <c r="D100" s="57">
        <v>96</v>
      </c>
      <c r="E100" s="57">
        <v>91</v>
      </c>
      <c r="F100" s="56">
        <v>44873</v>
      </c>
      <c r="G100" s="56">
        <v>44879</v>
      </c>
      <c r="I100" s="44">
        <f>SUM(Kyoto!$C$673:$D$679)</f>
        <v>0</v>
      </c>
      <c r="J100" s="44">
        <f>SUM(Kyushu!$C$673:$D$679)</f>
        <v>0</v>
      </c>
      <c r="K100" s="44">
        <f>SUM(Tohoku!$C$673:$D$679)</f>
        <v>0</v>
      </c>
      <c r="L100" s="44">
        <f>SUM(Hokkaio!$C$673:$D$679)</f>
        <v>0</v>
      </c>
      <c r="M100" s="44">
        <f>SUM(Nagoya!$C$673:$D$679)</f>
        <v>0</v>
      </c>
      <c r="N100" s="44">
        <f>SUM(Hiroshima!$C$673:$D$679)</f>
        <v>1</v>
      </c>
      <c r="O100" s="44">
        <f>SUM(Chiba!$C$673:$D$679)</f>
        <v>0</v>
      </c>
      <c r="P100" s="44">
        <f>SUM(Niigata!$C$673:$D$679)</f>
        <v>0</v>
      </c>
      <c r="Q100" s="44">
        <f>SUM(Kanazawa!$C$673:$D$679)</f>
        <v>0</v>
      </c>
      <c r="R100" s="44">
        <f>SUM(Shizuoka!$C$673:$D$679)</f>
        <v>0</v>
      </c>
      <c r="S100" s="44">
        <f>SUM(Kumamoto!$C$673:$D$679)</f>
        <v>0</v>
      </c>
      <c r="T100" s="44">
        <f>SUM('Tokyo Metropolitan'!$C$673:$D$679)</f>
        <v>1</v>
      </c>
      <c r="U100" s="44">
        <f>SUM(Saitama!$C$673:$D$679)</f>
        <v>0</v>
      </c>
      <c r="V100" s="44">
        <f>SUM(Ryukyus!$C$673:$D$679)</f>
        <v>1</v>
      </c>
      <c r="W100" s="44">
        <f>SUM(Mie!$C$673:$D$679)</f>
        <v>0</v>
      </c>
      <c r="X100" s="44">
        <f>SUM(Meiji!$C$673:$D$679)</f>
        <v>0.38571428571428579</v>
      </c>
      <c r="Y100" s="44">
        <f>SUM(Doshisha!$C$673:$D$679)</f>
        <v>0</v>
      </c>
      <c r="Z100" s="44">
        <f>SUM(Ryukoku!$C$673:$D$679)</f>
        <v>0</v>
      </c>
      <c r="AA100" s="44">
        <f>SUM(Senshu!$C$673:$D$679)</f>
        <v>0</v>
      </c>
      <c r="AB100" s="44">
        <f>SUM(Meijo!$C$673:$D$679)</f>
        <v>0</v>
      </c>
      <c r="AC100" s="44">
        <f>SUM(Chukyo!$C$673:$D$679)</f>
        <v>0</v>
      </c>
      <c r="AD100" s="44">
        <f>SUM('Kyoto Sangyo'!$C$673:$D$679)</f>
        <v>0</v>
      </c>
      <c r="AE100" s="44">
        <f>SUM('Tohoku Gakuin'!$C$673:$D$679)</f>
        <v>0</v>
      </c>
      <c r="AF100" s="44">
        <f>SUM(Chubu!$C$673:$D$679)</f>
        <v>0</v>
      </c>
      <c r="AG100" s="44">
        <f>SUM('Kobe Gakuin'!$C$673:$D$679)</f>
        <v>0</v>
      </c>
      <c r="AH100" s="44">
        <f>SUM(Rissho!$C$673:$D$679)</f>
        <v>0</v>
      </c>
      <c r="AI100" s="44">
        <f>SUM(Aichi!$C$673:$D$679)</f>
        <v>1</v>
      </c>
      <c r="AJ100" s="44">
        <f>SUM('Chiba Tech'!$C$673:$D$679)</f>
        <v>0</v>
      </c>
      <c r="AK100" s="44">
        <f>SUM(Nanzan!$C$673:$D$679)</f>
        <v>0</v>
      </c>
      <c r="AL100" s="44">
        <f>SUM(Konan!$C$673:$D$679)</f>
        <v>0</v>
      </c>
      <c r="AM100" s="44">
        <f>SUM('Aichi Shukutoku'!$C$673:$D$679)</f>
        <v>0</v>
      </c>
      <c r="AN100" s="44">
        <f>SUM(Tokkyo!$C$673:$D$679)</f>
        <v>0</v>
      </c>
      <c r="AO100" s="44">
        <f>SUM('Mukogawa Women'!$C$673:$D$679)</f>
        <v>0</v>
      </c>
      <c r="AP100" s="44">
        <f>SUM('Hokkai-Gakuen'!$C$673:$D$679)</f>
        <v>0</v>
      </c>
      <c r="AQ100" s="44">
        <f>SUM('Shibaura '!$C$673:$D$679)</f>
        <v>0</v>
      </c>
      <c r="AR100" s="44">
        <f>SUM('Osaka Sangyo'!$C$673:$D$679)</f>
        <v>0</v>
      </c>
      <c r="AS100" s="44">
        <f>SUM('Seinan Gakuin'!$C$673:$D$679)</f>
        <v>0</v>
      </c>
      <c r="AT100" s="44">
        <f>SUM(Soka!$C$673:$D$679)</f>
        <v>0</v>
      </c>
    </row>
    <row r="101" spans="2:46" ht="18" customHeight="1">
      <c r="C101" s="57">
        <v>46</v>
      </c>
      <c r="D101" s="57">
        <v>97</v>
      </c>
      <c r="E101" s="57">
        <v>92</v>
      </c>
      <c r="F101" s="56">
        <v>44880</v>
      </c>
      <c r="G101" s="56">
        <v>44886</v>
      </c>
      <c r="I101" s="44">
        <f>SUM(Kyoto!$C$680:$D$686)</f>
        <v>0</v>
      </c>
      <c r="J101" s="44">
        <f>SUM(Kyushu!$C$680:$D$686)</f>
        <v>0</v>
      </c>
      <c r="K101" s="44">
        <f>SUM(Tohoku!$C$680:$D$686)</f>
        <v>0</v>
      </c>
      <c r="L101" s="44">
        <f>SUM(Hokkaio!$C$680:$D$686)</f>
        <v>0</v>
      </c>
      <c r="M101" s="44">
        <f>SUM(Nagoya!$C$680:$D$686)</f>
        <v>0</v>
      </c>
      <c r="N101" s="44">
        <f>SUM(Hiroshima!$C$680:$D$686)</f>
        <v>0</v>
      </c>
      <c r="O101" s="44">
        <f>SUM(Chiba!$C$680:$D$686)</f>
        <v>0</v>
      </c>
      <c r="P101" s="44">
        <f>SUM(Niigata!$C$680:$D$686)</f>
        <v>0</v>
      </c>
      <c r="Q101" s="44">
        <f>SUM(Kanazawa!$C$680:$D$686)</f>
        <v>0</v>
      </c>
      <c r="R101" s="44">
        <f>SUM(Shizuoka!$C$680:$D$686)</f>
        <v>0</v>
      </c>
      <c r="S101" s="44">
        <f>SUM(Kumamoto!$C$680:$D$686)</f>
        <v>0</v>
      </c>
      <c r="T101" s="44">
        <f>SUM('Tokyo Metropolitan'!$C$680:$D$686)</f>
        <v>0</v>
      </c>
      <c r="U101" s="44">
        <f>SUM(Saitama!$C$680:$D$686)</f>
        <v>0</v>
      </c>
      <c r="V101" s="44">
        <f>SUM(Ryukyus!$C$680:$D$686)</f>
        <v>0</v>
      </c>
      <c r="W101" s="44">
        <f>SUM(Mie!$C$680:$D$686)</f>
        <v>0</v>
      </c>
      <c r="X101" s="44">
        <f>SUM(Meiji!$C$680:$D$686)</f>
        <v>0.17499999999999999</v>
      </c>
      <c r="Y101" s="44">
        <f>SUM(Doshisha!$C$680:$D$686)</f>
        <v>0</v>
      </c>
      <c r="Z101" s="44">
        <f>SUM(Ryukoku!$C$680:$D$686)</f>
        <v>0</v>
      </c>
      <c r="AA101" s="44">
        <f>SUM(Senshu!$C$680:$D$686)</f>
        <v>0</v>
      </c>
      <c r="AB101" s="44">
        <f>SUM(Meijo!$C$680:$D$686)</f>
        <v>0</v>
      </c>
      <c r="AC101" s="44">
        <f>SUM(Chukyo!$C$680:$D$686)</f>
        <v>0</v>
      </c>
      <c r="AD101" s="44">
        <f>SUM('Kyoto Sangyo'!$C$680:$D$686)</f>
        <v>0</v>
      </c>
      <c r="AE101" s="44">
        <f>SUM('Tohoku Gakuin'!$C$680:$D$686)</f>
        <v>0</v>
      </c>
      <c r="AF101" s="44">
        <f>SUM(Chubu!$C$680:$D$686)</f>
        <v>0</v>
      </c>
      <c r="AG101" s="44">
        <f>SUM('Kobe Gakuin'!$C$680:$D$686)</f>
        <v>2</v>
      </c>
      <c r="AH101" s="44">
        <f>SUM(Rissho!$C$680:$D$686)</f>
        <v>0</v>
      </c>
      <c r="AI101" s="44">
        <f>SUM(Aichi!$C$680:$D$686)</f>
        <v>0</v>
      </c>
      <c r="AJ101" s="44">
        <f>SUM('Chiba Tech'!$C$680:$D$686)</f>
        <v>0</v>
      </c>
      <c r="AK101" s="44">
        <f>SUM(Nanzan!$C$680:$D$686)</f>
        <v>0</v>
      </c>
      <c r="AL101" s="44">
        <f>SUM(Konan!$C$680:$D$686)</f>
        <v>1</v>
      </c>
      <c r="AM101" s="44">
        <f>SUM('Aichi Shukutoku'!$C$680:$D$686)</f>
        <v>1</v>
      </c>
      <c r="AN101" s="44">
        <f>SUM(Tokkyo!$C$680:$D$686)</f>
        <v>0</v>
      </c>
      <c r="AO101" s="44">
        <f>SUM('Mukogawa Women'!$C$680:$D$686)</f>
        <v>0</v>
      </c>
      <c r="AP101" s="44">
        <f>SUM('Hokkai-Gakuen'!$C$680:$D$686)</f>
        <v>0</v>
      </c>
      <c r="AQ101" s="44">
        <f>SUM('Shibaura '!$C$680:$D$686)</f>
        <v>0</v>
      </c>
      <c r="AR101" s="44">
        <f>SUM('Osaka Sangyo'!$C$680:$D$686)</f>
        <v>0</v>
      </c>
      <c r="AS101" s="44">
        <f>SUM('Seinan Gakuin'!$C$680:$D$686)</f>
        <v>0</v>
      </c>
      <c r="AT101" s="44">
        <f>SUM(Soka!$C$680:$D$686)</f>
        <v>0</v>
      </c>
    </row>
    <row r="102" spans="2:46" ht="18" customHeight="1">
      <c r="C102" s="57">
        <v>47</v>
      </c>
      <c r="D102" s="57">
        <v>98</v>
      </c>
      <c r="E102" s="57">
        <v>93</v>
      </c>
      <c r="F102" s="56">
        <v>44887</v>
      </c>
      <c r="G102" s="56">
        <v>44893</v>
      </c>
      <c r="I102" s="44">
        <f>SUM(Kyoto!$C$687:$D$693)</f>
        <v>0</v>
      </c>
      <c r="J102" s="44">
        <f>SUM(Kyushu!$C$687:$D$693)</f>
        <v>0</v>
      </c>
      <c r="K102" s="44">
        <f>SUM(Tohoku!$C$687:$D$693)</f>
        <v>0</v>
      </c>
      <c r="L102" s="44">
        <f>SUM(Hokkaio!$C$687:$D$693)</f>
        <v>0</v>
      </c>
      <c r="M102" s="44">
        <f>SUM(Nagoya!$C$687:$D$693)</f>
        <v>0</v>
      </c>
      <c r="N102" s="44">
        <f>SUM(Hiroshima!$C$687:$D$693)</f>
        <v>0</v>
      </c>
      <c r="O102" s="44">
        <f>SUM(Chiba!$C$687:$D$693)</f>
        <v>0</v>
      </c>
      <c r="P102" s="44">
        <f>SUM(Niigata!$C$687:$D$693)</f>
        <v>0</v>
      </c>
      <c r="Q102" s="44">
        <f>SUM(Kanazawa!$C$687:$D$693)</f>
        <v>0</v>
      </c>
      <c r="R102" s="44">
        <f>SUM(Shizuoka!$C$687:$D$693)</f>
        <v>0</v>
      </c>
      <c r="S102" s="44">
        <f>SUM(Kumamoto!$C$687:$D$693)</f>
        <v>0</v>
      </c>
      <c r="T102" s="44">
        <f>SUM('Tokyo Metropolitan'!$C$687:$D$693)</f>
        <v>0</v>
      </c>
      <c r="U102" s="44">
        <f>SUM(Saitama!$C$687:$D$693)</f>
        <v>0</v>
      </c>
      <c r="V102" s="44">
        <f>SUM(Ryukyus!$C$687:$D$693)</f>
        <v>0</v>
      </c>
      <c r="W102" s="44">
        <f>SUM(Mie!$C$687:$D$693)</f>
        <v>0</v>
      </c>
      <c r="X102" s="44">
        <f>SUM(Meiji!$C$687:$D$693)</f>
        <v>0.17499999999999999</v>
      </c>
      <c r="Y102" s="44">
        <f>SUM(Doshisha!$C$687:$D$693)</f>
        <v>0</v>
      </c>
      <c r="Z102" s="44">
        <f>SUM(Ryukoku!$C$687:$D$693)</f>
        <v>0</v>
      </c>
      <c r="AA102" s="44">
        <f>SUM(Senshu!$C$687:$D$693)</f>
        <v>0</v>
      </c>
      <c r="AB102" s="44">
        <f>SUM(Meijo!$C$687:$D$693)</f>
        <v>0</v>
      </c>
      <c r="AC102" s="44">
        <f>SUM(Chukyo!$C$687:$D$693)</f>
        <v>0</v>
      </c>
      <c r="AD102" s="44">
        <f>SUM('Kyoto Sangyo'!$C$687:$D$693)</f>
        <v>0</v>
      </c>
      <c r="AE102" s="44">
        <f>SUM('Tohoku Gakuin'!$C$687:$D$693)</f>
        <v>0</v>
      </c>
      <c r="AF102" s="44">
        <f>SUM(Chubu!$C$687:$D$693)</f>
        <v>0</v>
      </c>
      <c r="AG102" s="44">
        <f>SUM('Kobe Gakuin'!$C$687:$D$693)</f>
        <v>1</v>
      </c>
      <c r="AH102" s="44">
        <f>SUM(Rissho!$C$687:$D$693)</f>
        <v>0</v>
      </c>
      <c r="AI102" s="44">
        <f>SUM(Aichi!$C$687:$D$693)</f>
        <v>0</v>
      </c>
      <c r="AJ102" s="44">
        <f>SUM('Chiba Tech'!$C$687:$D$693)</f>
        <v>0</v>
      </c>
      <c r="AK102" s="44">
        <f>SUM(Nanzan!$C$687:$D$693)</f>
        <v>0</v>
      </c>
      <c r="AL102" s="44">
        <f>SUM(Konan!$C$687:$D$693)</f>
        <v>0</v>
      </c>
      <c r="AM102" s="44">
        <f>SUM('Aichi Shukutoku'!$C$687:$D$693)</f>
        <v>0</v>
      </c>
      <c r="AN102" s="44">
        <f>SUM(Tokkyo!$C$687:$D$693)</f>
        <v>0</v>
      </c>
      <c r="AO102" s="44">
        <f>SUM('Mukogawa Women'!$C$687:$D$693)</f>
        <v>0</v>
      </c>
      <c r="AP102" s="44">
        <f>SUM('Hokkai-Gakuen'!$C$687:$D$693)</f>
        <v>0</v>
      </c>
      <c r="AQ102" s="44">
        <f>SUM('Shibaura '!$C$687:$D$693)</f>
        <v>0</v>
      </c>
      <c r="AR102" s="44">
        <f>SUM('Osaka Sangyo'!$C$687:$D$693)</f>
        <v>0</v>
      </c>
      <c r="AS102" s="44">
        <f>SUM('Seinan Gakuin'!$C$687:$D$693)</f>
        <v>0</v>
      </c>
      <c r="AT102" s="44">
        <f>SUM(Soka!$C$687:$D$693)</f>
        <v>0</v>
      </c>
    </row>
    <row r="103" spans="2:46" ht="18" customHeight="1">
      <c r="C103" s="57">
        <v>48</v>
      </c>
      <c r="D103" s="57">
        <v>99</v>
      </c>
      <c r="E103" s="57">
        <v>94</v>
      </c>
      <c r="F103" s="56">
        <v>44894</v>
      </c>
      <c r="G103" s="56">
        <v>44900</v>
      </c>
      <c r="I103" s="44">
        <f>SUM(Kyoto!$C$694:$D$700)</f>
        <v>0</v>
      </c>
      <c r="J103" s="44">
        <f>SUM(Kyushu!$C$694:$D$700)</f>
        <v>0</v>
      </c>
      <c r="K103" s="44">
        <f>SUM(Tohoku!$C$694:$D$700)</f>
        <v>0</v>
      </c>
      <c r="L103" s="44">
        <f>SUM(Hokkaio!$C$694:$D$700)</f>
        <v>0</v>
      </c>
      <c r="M103" s="44">
        <f>SUM(Nagoya!$C$694:$D$700)</f>
        <v>1</v>
      </c>
      <c r="N103" s="44">
        <f>SUM(Hiroshima!$C$694:$D$700)</f>
        <v>0</v>
      </c>
      <c r="O103" s="44">
        <f>SUM(Chiba!$C$694:$D$700)</f>
        <v>0</v>
      </c>
      <c r="P103" s="44">
        <f>SUM(Niigata!$C$694:$D$700)</f>
        <v>0</v>
      </c>
      <c r="Q103" s="44">
        <f>SUM(Kanazawa!$C$694:$D$700)</f>
        <v>0</v>
      </c>
      <c r="R103" s="44">
        <f>SUM(Shizuoka!$C$694:$D$700)</f>
        <v>0</v>
      </c>
      <c r="S103" s="44">
        <f>SUM(Kumamoto!$C$694:$D$700)</f>
        <v>0</v>
      </c>
      <c r="T103" s="44">
        <f>SUM('Tokyo Metropolitan'!$C$694:$D$700)</f>
        <v>0</v>
      </c>
      <c r="U103" s="44">
        <f>SUM(Saitama!$C$694:$D$700)</f>
        <v>0</v>
      </c>
      <c r="V103" s="44">
        <f>SUM(Ryukyus!$C$694:$D$700)</f>
        <v>0</v>
      </c>
      <c r="W103" s="44">
        <f>SUM(Mie!$C$694:$D$700)</f>
        <v>0</v>
      </c>
      <c r="X103" s="44">
        <f>SUM(Meiji!$C$694:$D$700)</f>
        <v>0.17499999999999999</v>
      </c>
      <c r="Y103" s="44">
        <f>SUM(Doshisha!$C$694:$D$700)</f>
        <v>0</v>
      </c>
      <c r="Z103" s="44">
        <f>SUM(Ryukoku!$C$694:$D$700)</f>
        <v>0</v>
      </c>
      <c r="AA103" s="44">
        <f>SUM(Senshu!$C$694:$D$700)</f>
        <v>0</v>
      </c>
      <c r="AB103" s="44">
        <f>SUM(Meijo!$C$694:$D$700)</f>
        <v>0</v>
      </c>
      <c r="AC103" s="44">
        <f>SUM(Chukyo!$C$694:$D$700)</f>
        <v>0</v>
      </c>
      <c r="AD103" s="44">
        <f>SUM('Kyoto Sangyo'!$C$694:$D$700)</f>
        <v>0</v>
      </c>
      <c r="AE103" s="44">
        <f>SUM('Tohoku Gakuin'!$C$694:$D$700)</f>
        <v>0</v>
      </c>
      <c r="AF103" s="44">
        <f>SUM(Chubu!$C$694:$D$700)</f>
        <v>0</v>
      </c>
      <c r="AG103" s="44">
        <f>SUM('Kobe Gakuin'!$C$694:$D$700)</f>
        <v>0</v>
      </c>
      <c r="AH103" s="44">
        <f>SUM(Rissho!$C$694:$D$700)</f>
        <v>0</v>
      </c>
      <c r="AI103" s="44">
        <f>SUM(Aichi!$C$694:$D$700)</f>
        <v>0</v>
      </c>
      <c r="AJ103" s="44">
        <f>SUM('Chiba Tech'!$C$694:$D$700)</f>
        <v>0</v>
      </c>
      <c r="AK103" s="44">
        <f>SUM(Nanzan!$C$694:$D$700)</f>
        <v>0</v>
      </c>
      <c r="AL103" s="44">
        <f>SUM(Konan!$C$694:$D$700)</f>
        <v>0</v>
      </c>
      <c r="AM103" s="44">
        <f>SUM('Aichi Shukutoku'!$C$694:$D$700)</f>
        <v>0</v>
      </c>
      <c r="AN103" s="44">
        <f>SUM(Tokkyo!$C$694:$D$700)</f>
        <v>0</v>
      </c>
      <c r="AO103" s="44">
        <f>SUM('Mukogawa Women'!$C$694:$D$700)</f>
        <v>0</v>
      </c>
      <c r="AP103" s="44">
        <f>SUM('Hokkai-Gakuen'!$C$694:$D$700)</f>
        <v>0</v>
      </c>
      <c r="AQ103" s="44">
        <f>SUM('Shibaura '!$C$694:$D$700)</f>
        <v>0</v>
      </c>
      <c r="AR103" s="44">
        <f>SUM('Osaka Sangyo'!$C$694:$D$700)</f>
        <v>0</v>
      </c>
      <c r="AS103" s="44">
        <f>SUM('Seinan Gakuin'!$C$694:$D$700)</f>
        <v>0</v>
      </c>
      <c r="AT103" s="44">
        <f>SUM(Soka!$C$694:$D$700)</f>
        <v>0</v>
      </c>
    </row>
    <row r="104" spans="2:46" ht="18" customHeight="1">
      <c r="C104" s="57">
        <v>49</v>
      </c>
      <c r="D104" s="57">
        <v>100</v>
      </c>
      <c r="E104" s="57">
        <v>95</v>
      </c>
      <c r="F104" s="56">
        <v>44901</v>
      </c>
      <c r="G104" s="56">
        <v>44907</v>
      </c>
      <c r="I104" s="44">
        <f>SUM(Kyoto!$C$701:$D$707)</f>
        <v>0</v>
      </c>
      <c r="J104" s="44">
        <f>SUM(Kyushu!$C$701:$D$707)</f>
        <v>0</v>
      </c>
      <c r="K104" s="44">
        <f>SUM(Tohoku!$C$701:$D$707)</f>
        <v>0</v>
      </c>
      <c r="L104" s="44">
        <f>SUM(Hokkaio!$C$701:$D$707)</f>
        <v>0</v>
      </c>
      <c r="M104" s="44">
        <f>SUM(Nagoya!$C$701:$D$707)</f>
        <v>0</v>
      </c>
      <c r="N104" s="44">
        <f>SUM(Hiroshima!$C$701:$D$707)</f>
        <v>0</v>
      </c>
      <c r="O104" s="44">
        <f>SUM(Chiba!$C$701:$D$707)</f>
        <v>0</v>
      </c>
      <c r="P104" s="44">
        <f>SUM(Niigata!$C$701:$D$707)</f>
        <v>0</v>
      </c>
      <c r="Q104" s="44">
        <f>SUM(Kanazawa!$C$701:$D$707)</f>
        <v>0</v>
      </c>
      <c r="R104" s="44">
        <f>SUM(Shizuoka!$C$701:$D$707)</f>
        <v>0</v>
      </c>
      <c r="S104" s="44">
        <f>SUM(Kumamoto!$C$701:$D$707)</f>
        <v>0</v>
      </c>
      <c r="T104" s="44">
        <f>SUM('Tokyo Metropolitan'!$C$701:$D$707)</f>
        <v>0</v>
      </c>
      <c r="U104" s="44">
        <f>SUM(Saitama!$C$701:$D$707)</f>
        <v>0</v>
      </c>
      <c r="V104" s="44">
        <f>SUM(Ryukyus!$C$701:$D$707)</f>
        <v>0</v>
      </c>
      <c r="W104" s="44">
        <f>SUM(Mie!$C$701:$D$707)</f>
        <v>0</v>
      </c>
      <c r="X104" s="44">
        <f>SUM(Meiji!$C$701:$D$707)</f>
        <v>0.17499999999999999</v>
      </c>
      <c r="Y104" s="44">
        <f>SUM(Doshisha!$C$701:$D$707)</f>
        <v>0</v>
      </c>
      <c r="Z104" s="44">
        <f>SUM(Ryukoku!$C$701:$D$707)</f>
        <v>0</v>
      </c>
      <c r="AA104" s="44">
        <f>SUM(Senshu!$C$701:$D$707)</f>
        <v>0</v>
      </c>
      <c r="AB104" s="44">
        <f>SUM(Meijo!$C$701:$D$707)</f>
        <v>0</v>
      </c>
      <c r="AC104" s="44">
        <f>SUM(Chukyo!$C$701:$D$707)</f>
        <v>0</v>
      </c>
      <c r="AD104" s="44">
        <f>SUM('Kyoto Sangyo'!$C$701:$D$707)</f>
        <v>0</v>
      </c>
      <c r="AE104" s="44">
        <f>SUM('Tohoku Gakuin'!$C$701:$D$707)</f>
        <v>0</v>
      </c>
      <c r="AF104" s="44">
        <f>SUM(Chubu!$C$701:$D$707)</f>
        <v>0</v>
      </c>
      <c r="AG104" s="44">
        <f>SUM('Kobe Gakuin'!$C$701:$D$707)</f>
        <v>0</v>
      </c>
      <c r="AH104" s="44">
        <f>SUM(Rissho!$C$701:$D$707)</f>
        <v>0</v>
      </c>
      <c r="AI104" s="44">
        <f>SUM(Aichi!$C$701:$D$707)</f>
        <v>0</v>
      </c>
      <c r="AJ104" s="44">
        <f>SUM('Chiba Tech'!$C$701:$D$707)</f>
        <v>0</v>
      </c>
      <c r="AK104" s="44">
        <f>SUM(Nanzan!$C$701:$D$707)</f>
        <v>1</v>
      </c>
      <c r="AL104" s="44">
        <f>SUM(Konan!$C$701:$D$707)</f>
        <v>0</v>
      </c>
      <c r="AM104" s="44">
        <f>SUM('Aichi Shukutoku'!$C$701:$D$707)</f>
        <v>0</v>
      </c>
      <c r="AN104" s="44">
        <f>SUM(Tokkyo!$C$701:$D$707)</f>
        <v>0</v>
      </c>
      <c r="AO104" s="44">
        <f>SUM('Mukogawa Women'!$C$701:$D$707)</f>
        <v>0</v>
      </c>
      <c r="AP104" s="44">
        <f>SUM('Hokkai-Gakuen'!$C$701:$D$707)</f>
        <v>0</v>
      </c>
      <c r="AQ104" s="44">
        <f>SUM('Shibaura '!$C$701:$D$707)</f>
        <v>0</v>
      </c>
      <c r="AR104" s="44">
        <f>SUM('Osaka Sangyo'!$C$701:$D$707)</f>
        <v>0</v>
      </c>
      <c r="AS104" s="44">
        <f>SUM('Seinan Gakuin'!$C$701:$D$707)</f>
        <v>0</v>
      </c>
      <c r="AT104" s="44">
        <f>SUM(Soka!$C$701:$D$707)</f>
        <v>0</v>
      </c>
    </row>
    <row r="105" spans="2:46" ht="18" customHeight="1">
      <c r="C105" s="57">
        <v>50</v>
      </c>
      <c r="D105" s="57">
        <v>101</v>
      </c>
      <c r="E105" s="57">
        <v>96</v>
      </c>
      <c r="F105" s="56">
        <v>44908</v>
      </c>
      <c r="G105" s="56">
        <v>44914</v>
      </c>
      <c r="I105" s="44">
        <f>SUM(Kyoto!$C$708:$D$714)</f>
        <v>0</v>
      </c>
      <c r="J105" s="44">
        <f>SUM(Kyushu!$C$708:$D$714)</f>
        <v>0</v>
      </c>
      <c r="K105" s="44">
        <f>SUM(Tohoku!$C$708:$D$714)</f>
        <v>0</v>
      </c>
      <c r="L105" s="44">
        <f>SUM(Hokkaio!$C$708:$D$714)</f>
        <v>0</v>
      </c>
      <c r="M105" s="44">
        <f>SUM(Nagoya!$C$708:$D$714)</f>
        <v>0</v>
      </c>
      <c r="N105" s="44">
        <f>SUM(Hiroshima!$C$708:$D$714)</f>
        <v>0</v>
      </c>
      <c r="O105" s="44">
        <f>SUM(Chiba!$C$708:$D$714)</f>
        <v>0</v>
      </c>
      <c r="P105" s="44">
        <f>SUM(Niigata!$C$708:$D$714)</f>
        <v>0</v>
      </c>
      <c r="Q105" s="44">
        <f>SUM(Kanazawa!$C$708:$D$714)</f>
        <v>0</v>
      </c>
      <c r="R105" s="44">
        <f>SUM(Shizuoka!$C$708:$D$714)</f>
        <v>1</v>
      </c>
      <c r="S105" s="44">
        <f>SUM(Kumamoto!$C$708:$D$714)</f>
        <v>0</v>
      </c>
      <c r="T105" s="44">
        <f>SUM('Tokyo Metropolitan'!$C$708:$D$714)</f>
        <v>0</v>
      </c>
      <c r="U105" s="44">
        <f>SUM(Saitama!$C$708:$D$714)</f>
        <v>0</v>
      </c>
      <c r="V105" s="44">
        <f>SUM(Ryukyus!$C$708:$D$714)</f>
        <v>0</v>
      </c>
      <c r="W105" s="44">
        <f>SUM(Mie!$C$708:$D$714)</f>
        <v>0</v>
      </c>
      <c r="X105" s="44">
        <f>SUM(Meiji!$C$708:$D$714)</f>
        <v>0.17499999999999999</v>
      </c>
      <c r="Y105" s="44">
        <f>SUM(Doshisha!$C$708:$D$714)</f>
        <v>0</v>
      </c>
      <c r="Z105" s="44">
        <f>SUM(Ryukoku!$C$708:$D$714)</f>
        <v>0</v>
      </c>
      <c r="AA105" s="44">
        <f>SUM(Senshu!$C$708:$D$714)</f>
        <v>0</v>
      </c>
      <c r="AB105" s="44">
        <f>SUM(Meijo!$C$708:$D$714)</f>
        <v>0</v>
      </c>
      <c r="AC105" s="44">
        <f>SUM(Chukyo!$C$708:$D$714)</f>
        <v>0</v>
      </c>
      <c r="AD105" s="44">
        <f>SUM('Kyoto Sangyo'!$C$708:$D$714)</f>
        <v>1</v>
      </c>
      <c r="AE105" s="44">
        <f>SUM('Tohoku Gakuin'!$C$708:$D$714)</f>
        <v>0</v>
      </c>
      <c r="AF105" s="44">
        <f>SUM(Chubu!$C$708:$D$714)</f>
        <v>0</v>
      </c>
      <c r="AG105" s="44">
        <f>SUM('Kobe Gakuin'!$C$708:$D$714)</f>
        <v>0</v>
      </c>
      <c r="AH105" s="44">
        <f>SUM(Rissho!$C$708:$D$714)</f>
        <v>0</v>
      </c>
      <c r="AI105" s="44">
        <f>SUM(Aichi!$C$708:$D$714)</f>
        <v>0</v>
      </c>
      <c r="AJ105" s="44">
        <f>SUM('Chiba Tech'!$C$708:$D$714)</f>
        <v>0</v>
      </c>
      <c r="AK105" s="44">
        <f>SUM(Nanzan!$C$708:$D$714)</f>
        <v>0</v>
      </c>
      <c r="AL105" s="44">
        <f>SUM(Konan!$C$708:$D$714)</f>
        <v>0</v>
      </c>
      <c r="AM105" s="44">
        <f>SUM('Aichi Shukutoku'!$C$708:$D$714)</f>
        <v>0</v>
      </c>
      <c r="AN105" s="44">
        <f>SUM(Tokkyo!$C$708:$D$714)</f>
        <v>0</v>
      </c>
      <c r="AO105" s="44">
        <f>SUM('Mukogawa Women'!$C$708:$D$714)</f>
        <v>0</v>
      </c>
      <c r="AP105" s="44">
        <f>SUM('Hokkai-Gakuen'!$C$708:$D$714)</f>
        <v>1</v>
      </c>
      <c r="AQ105" s="44">
        <f>SUM('Shibaura '!$C$708:$D$714)</f>
        <v>0</v>
      </c>
      <c r="AR105" s="44">
        <f>SUM('Osaka Sangyo'!$C$708:$D$714)</f>
        <v>0</v>
      </c>
      <c r="AS105" s="44">
        <f>SUM('Seinan Gakuin'!$C$708:$D$714)</f>
        <v>0</v>
      </c>
      <c r="AT105" s="44">
        <f>SUM(Soka!$C$708:$D$714)</f>
        <v>0</v>
      </c>
    </row>
    <row r="106" spans="2:46" ht="18" customHeight="1">
      <c r="C106" s="57">
        <v>51</v>
      </c>
      <c r="D106" s="57">
        <v>102</v>
      </c>
      <c r="E106" s="57">
        <v>97</v>
      </c>
      <c r="F106" s="56">
        <v>44915</v>
      </c>
      <c r="G106" s="56">
        <v>44921</v>
      </c>
      <c r="I106" s="44">
        <f>SUM(Kyoto!$C$715:$D$721)</f>
        <v>0</v>
      </c>
      <c r="J106" s="44">
        <f>SUM(Kyushu!$C$715:$D$721)</f>
        <v>0</v>
      </c>
      <c r="K106" s="44">
        <f>SUM(Tohoku!$C$715:$D$721)</f>
        <v>0</v>
      </c>
      <c r="L106" s="44">
        <f>SUM(Hokkaio!$C$715:$D$721)</f>
        <v>0</v>
      </c>
      <c r="M106" s="44">
        <f>SUM(Nagoya!$C$715:$D$721)</f>
        <v>0</v>
      </c>
      <c r="N106" s="44">
        <f>SUM(Hiroshima!$C$715:$D$721)</f>
        <v>0</v>
      </c>
      <c r="O106" s="44">
        <f>SUM(Chiba!$C$715:$D$721)</f>
        <v>1</v>
      </c>
      <c r="P106" s="44">
        <f>SUM(Niigata!$C$715:$D$721)</f>
        <v>0</v>
      </c>
      <c r="Q106" s="44">
        <f>SUM(Kanazawa!$C$715:$D$721)</f>
        <v>0</v>
      </c>
      <c r="R106" s="44">
        <f>SUM(Shizuoka!$C$715:$D$721)</f>
        <v>0</v>
      </c>
      <c r="S106" s="44">
        <f>SUM(Kumamoto!$C$715:$D$721)</f>
        <v>0</v>
      </c>
      <c r="T106" s="44">
        <f>SUM('Tokyo Metropolitan'!$C$715:$D$721)</f>
        <v>0</v>
      </c>
      <c r="U106" s="44">
        <f>SUM(Saitama!$C$715:$D$721)</f>
        <v>0</v>
      </c>
      <c r="V106" s="44">
        <f>SUM(Ryukyus!$C$715:$D$721)</f>
        <v>1</v>
      </c>
      <c r="W106" s="44">
        <f>SUM(Mie!$C$715:$D$721)</f>
        <v>0</v>
      </c>
      <c r="X106" s="44">
        <f>SUM(Meiji!$C$715:$D$721)</f>
        <v>2.3107142857142855</v>
      </c>
      <c r="Y106" s="44">
        <f>SUM(Doshisha!$C$715:$D$721)</f>
        <v>0</v>
      </c>
      <c r="Z106" s="44">
        <f>SUM(Ryukoku!$C$715:$D$721)</f>
        <v>0</v>
      </c>
      <c r="AA106" s="44">
        <f>SUM(Senshu!$C$715:$D$721)</f>
        <v>0</v>
      </c>
      <c r="AB106" s="44">
        <f>SUM(Meijo!$C$715:$D$721)</f>
        <v>0</v>
      </c>
      <c r="AC106" s="44">
        <f>SUM(Chukyo!$C$715:$D$721)</f>
        <v>0</v>
      </c>
      <c r="AD106" s="44">
        <f>SUM('Kyoto Sangyo'!$C$715:$D$721)</f>
        <v>0</v>
      </c>
      <c r="AE106" s="44">
        <f>SUM('Tohoku Gakuin'!$C$715:$D$721)</f>
        <v>0</v>
      </c>
      <c r="AF106" s="44">
        <f>SUM(Chubu!$C$715:$D$721)</f>
        <v>0</v>
      </c>
      <c r="AG106" s="44">
        <f>SUM('Kobe Gakuin'!$C$715:$D$721)</f>
        <v>0</v>
      </c>
      <c r="AH106" s="44">
        <f>SUM(Rissho!$C$715:$D$721)</f>
        <v>0</v>
      </c>
      <c r="AI106" s="44">
        <f>SUM(Aichi!$C$715:$D$721)</f>
        <v>0</v>
      </c>
      <c r="AJ106" s="44">
        <f>SUM('Chiba Tech'!$C$715:$D$721)</f>
        <v>0</v>
      </c>
      <c r="AK106" s="44">
        <f>SUM(Nanzan!$C$715:$D$721)</f>
        <v>0</v>
      </c>
      <c r="AL106" s="44">
        <f>SUM(Konan!$C$715:$D$721)</f>
        <v>0</v>
      </c>
      <c r="AM106" s="44">
        <f>SUM('Aichi Shukutoku'!$C$715:$D$721)</f>
        <v>0</v>
      </c>
      <c r="AN106" s="44">
        <f>SUM(Tokkyo!$C$715:$D$721)</f>
        <v>0</v>
      </c>
      <c r="AO106" s="44">
        <f>SUM('Mukogawa Women'!$C$715:$D$721)</f>
        <v>0</v>
      </c>
      <c r="AP106" s="44">
        <f>SUM('Hokkai-Gakuen'!$C$715:$D$721)</f>
        <v>0</v>
      </c>
      <c r="AQ106" s="44">
        <f>SUM('Shibaura '!$C$715:$D$721)</f>
        <v>0</v>
      </c>
      <c r="AR106" s="44">
        <f>SUM('Osaka Sangyo'!$C$715:$D$721)</f>
        <v>0</v>
      </c>
      <c r="AS106" s="44">
        <f>SUM('Seinan Gakuin'!$C$715:$D$721)</f>
        <v>0</v>
      </c>
      <c r="AT106" s="44">
        <f>SUM(Soka!$C$715:$D$721)</f>
        <v>0</v>
      </c>
    </row>
    <row r="107" spans="2:46" ht="18" customHeight="1">
      <c r="C107" s="57">
        <v>52</v>
      </c>
      <c r="D107" s="57">
        <v>103</v>
      </c>
      <c r="E107" s="57">
        <v>98</v>
      </c>
      <c r="F107" s="56">
        <v>44922</v>
      </c>
      <c r="G107" s="56">
        <v>44563</v>
      </c>
      <c r="I107" s="44">
        <f>SUM(Kyoto!$C$722:$D$728)</f>
        <v>0</v>
      </c>
      <c r="J107" s="44">
        <f>SUM(Kyushu!$C$722:$D$728)</f>
        <v>0</v>
      </c>
      <c r="K107" s="44">
        <f>SUM(Tohoku!$C$722:$D$728)</f>
        <v>0</v>
      </c>
      <c r="L107" s="44">
        <f>SUM(Hokkaio!$C$722:$D$728)</f>
        <v>0</v>
      </c>
      <c r="M107" s="44">
        <f>SUM(Nagoya!$C$722:$D$728)</f>
        <v>0</v>
      </c>
      <c r="N107" s="44">
        <f>SUM(Hiroshima!$C$722:$D$728)</f>
        <v>1</v>
      </c>
      <c r="O107" s="44">
        <f>SUM(Chiba!$C$722:$D$728)</f>
        <v>0</v>
      </c>
      <c r="P107" s="44">
        <f>SUM(Niigata!$C$722:$D$728)</f>
        <v>0</v>
      </c>
      <c r="Q107" s="44">
        <f>SUM(Kanazawa!$C$722:$D$728)</f>
        <v>0</v>
      </c>
      <c r="R107" s="44">
        <f>SUM(Shizuoka!$C$722:$D$728)</f>
        <v>0</v>
      </c>
      <c r="S107" s="44">
        <f>SUM(Kumamoto!$C$722:$D$728)</f>
        <v>0</v>
      </c>
      <c r="T107" s="44">
        <f>SUM('Tokyo Metropolitan'!$C$722:$D$728)</f>
        <v>0</v>
      </c>
      <c r="U107" s="44">
        <f>SUM(Saitama!$C$722:$D$728)</f>
        <v>0</v>
      </c>
      <c r="V107" s="44">
        <f>SUM(Ryukyus!$C$722:$D$728)</f>
        <v>0</v>
      </c>
      <c r="W107" s="44">
        <f>SUM(Mie!$C$722:$D$728)</f>
        <v>0</v>
      </c>
      <c r="X107" s="44">
        <f>SUM(Meiji!$C$722:$D$728)</f>
        <v>2.6666666666666665</v>
      </c>
      <c r="Y107" s="44">
        <f>SUM(Doshisha!$C$722:$D$728)</f>
        <v>0</v>
      </c>
      <c r="Z107" s="44">
        <f>SUM(Ryukoku!$C$722:$D$728)</f>
        <v>2</v>
      </c>
      <c r="AA107" s="44">
        <f>SUM(Senshu!$C$722:$D$728)</f>
        <v>0</v>
      </c>
      <c r="AB107" s="44">
        <f>SUM(Meijo!$C$722:$D$728)</f>
        <v>0</v>
      </c>
      <c r="AC107" s="44">
        <f>SUM(Chukyo!$C$722:$D$728)</f>
        <v>0</v>
      </c>
      <c r="AD107" s="44">
        <f>SUM('Kyoto Sangyo'!$C$722:$D$728)</f>
        <v>0</v>
      </c>
      <c r="AE107" s="44">
        <f>SUM('Tohoku Gakuin'!$C$722:$D$728)</f>
        <v>0</v>
      </c>
      <c r="AF107" s="44">
        <f>SUM(Chubu!$C$722:$D$728)</f>
        <v>0</v>
      </c>
      <c r="AG107" s="44">
        <f>SUM('Kobe Gakuin'!$C$722:$D$728)</f>
        <v>0</v>
      </c>
      <c r="AH107" s="44">
        <f>SUM(Rissho!$C$722:$D$728)</f>
        <v>0</v>
      </c>
      <c r="AI107" s="44">
        <f>SUM(Aichi!$C$722:$D$728)</f>
        <v>0</v>
      </c>
      <c r="AJ107" s="44">
        <f>SUM('Chiba Tech'!$C$722:$D$728)</f>
        <v>0</v>
      </c>
      <c r="AK107" s="44">
        <f>SUM(Nanzan!$C$722:$D$728)</f>
        <v>1</v>
      </c>
      <c r="AL107" s="44">
        <f>SUM(Konan!$C$722:$D$728)</f>
        <v>0</v>
      </c>
      <c r="AM107" s="44">
        <f>SUM('Aichi Shukutoku'!$C$722:$D$728)</f>
        <v>1.1428571428571428</v>
      </c>
      <c r="AN107" s="44">
        <f>SUM(Tokkyo!$C$722:$D$728)</f>
        <v>0</v>
      </c>
      <c r="AO107" s="44">
        <f>SUM('Mukogawa Women'!$C$722:$D$728)</f>
        <v>0</v>
      </c>
      <c r="AP107" s="44">
        <f>SUM('Hokkai-Gakuen'!$C$722:$D$728)</f>
        <v>0</v>
      </c>
      <c r="AQ107" s="44">
        <f>SUM('Shibaura '!$C$722:$D$728)</f>
        <v>0</v>
      </c>
      <c r="AR107" s="44">
        <f>SUM('Osaka Sangyo'!$C$722:$D$728)</f>
        <v>0</v>
      </c>
      <c r="AS107" s="44">
        <f>SUM('Seinan Gakuin'!$C$722:$D$728)</f>
        <v>0</v>
      </c>
      <c r="AT107" s="44">
        <f>SUM(Soka!$C$722:$D$728)</f>
        <v>0</v>
      </c>
    </row>
    <row r="108" spans="2:46" ht="18" customHeight="1">
      <c r="B108" s="53">
        <v>2022</v>
      </c>
      <c r="C108" s="44">
        <v>1</v>
      </c>
      <c r="D108" s="57">
        <v>104</v>
      </c>
      <c r="E108" s="57">
        <v>99</v>
      </c>
      <c r="F108" s="56">
        <v>44564</v>
      </c>
      <c r="G108" s="56">
        <v>44570</v>
      </c>
      <c r="I108" s="44">
        <f>SUM(Kyoto!$C$729:$D$735)</f>
        <v>8.3333333333333339</v>
      </c>
      <c r="J108" s="44">
        <f>SUM(Kyushu!$C$729:$D$735)</f>
        <v>9</v>
      </c>
      <c r="K108" s="44">
        <f>SUM(Tohoku!$C$729:$D$735)</f>
        <v>1</v>
      </c>
      <c r="L108" s="44">
        <f>SUM(Hokkaio!$C$729:$D$735)</f>
        <v>0.88888888888888884</v>
      </c>
      <c r="M108" s="44">
        <f>SUM(Nagoya!$C$729:$D$735)</f>
        <v>6.5</v>
      </c>
      <c r="N108" s="44">
        <f>SUM(Hiroshima!$C$729:$D$735)</f>
        <v>11</v>
      </c>
      <c r="O108" s="44">
        <f>SUM(Chiba!$C$729:$D$735)</f>
        <v>2</v>
      </c>
      <c r="P108" s="44">
        <f>SUM(Niigata!$C$729:$D$735)</f>
        <v>2</v>
      </c>
      <c r="Q108" s="44">
        <f>SUM(Kanazawa!$C$729:$D$735)</f>
        <v>3</v>
      </c>
      <c r="R108" s="44">
        <f>SUM(Shizuoka!$C$729:$D$735)</f>
        <v>0</v>
      </c>
      <c r="S108" s="44">
        <f>SUM(Kumamoto!$C$729:$D$735)</f>
        <v>7.8333333333333339</v>
      </c>
      <c r="T108" s="44">
        <f>SUM('Tokyo Metropolitan'!$C$729:$D$735)</f>
        <v>0</v>
      </c>
      <c r="U108" s="44">
        <f>SUM(Saitama!$C$729:$D$735)</f>
        <v>2</v>
      </c>
      <c r="V108" s="44">
        <f>SUM(Ryukyus!$C$729:$D$735)</f>
        <v>14</v>
      </c>
      <c r="W108" s="44">
        <f>SUM(Mie!$C$729:$D$735)</f>
        <v>1</v>
      </c>
      <c r="X108" s="44">
        <f>SUM(Meiji!$C$729:$D$735)</f>
        <v>2.6666666666666665</v>
      </c>
      <c r="Y108" s="44">
        <f>SUM(Doshisha!$C$729:$D$735)</f>
        <v>64.461538461538453</v>
      </c>
      <c r="Z108" s="44">
        <f>SUM(Ryukoku!$C$729:$D$735)</f>
        <v>5</v>
      </c>
      <c r="AA108" s="44">
        <f>SUM(Senshu!$C$729:$D$735)</f>
        <v>6</v>
      </c>
      <c r="AB108" s="44">
        <f>SUM(Meijo!$C$729:$D$735)</f>
        <v>9.2857142857142865</v>
      </c>
      <c r="AC108" s="44">
        <f>SUM(Chukyo!$C$729:$D$735)</f>
        <v>1.7999999999999998</v>
      </c>
      <c r="AD108" s="44">
        <f>SUM('Kyoto Sangyo'!$C$729:$D$735)</f>
        <v>2</v>
      </c>
      <c r="AE108" s="44">
        <f>SUM('Tohoku Gakuin'!$C$729:$D$735)</f>
        <v>0</v>
      </c>
      <c r="AF108" s="44">
        <f>SUM(Chubu!$C$729:$D$735)</f>
        <v>0</v>
      </c>
      <c r="AG108" s="44">
        <f>SUM('Kobe Gakuin'!$C$729:$D$735)</f>
        <v>4</v>
      </c>
      <c r="AH108" s="44">
        <f>SUM(Rissho!$C$729:$D$735)</f>
        <v>8</v>
      </c>
      <c r="AI108" s="44">
        <f>SUM(Aichi!$C$729:$D$735)</f>
        <v>0</v>
      </c>
      <c r="AJ108" s="44">
        <f>SUM('Chiba Tech'!$C$729:$D$735)</f>
        <v>0</v>
      </c>
      <c r="AK108" s="44">
        <f>SUM(Nanzan!$C$729:$D$735)</f>
        <v>4</v>
      </c>
      <c r="AL108" s="44">
        <f>SUM(Konan!$C$729:$D$735)</f>
        <v>7</v>
      </c>
      <c r="AM108" s="44">
        <f>SUM('Aichi Shukutoku'!$C$729:$D$735)</f>
        <v>11.142857142857142</v>
      </c>
      <c r="AN108" s="44">
        <f>SUM(Tokkyo!$C$729:$D$735)</f>
        <v>1</v>
      </c>
      <c r="AO108" s="44">
        <f>SUM('Mukogawa Women'!$C$729:$D$735)</f>
        <v>9</v>
      </c>
      <c r="AP108" s="44">
        <f>SUM('Hokkai-Gakuen'!$C$729:$D$735)</f>
        <v>5</v>
      </c>
      <c r="AQ108" s="44">
        <f>SUM('Shibaura '!$C$729:$D$735)</f>
        <v>5</v>
      </c>
      <c r="AR108" s="44">
        <f>SUM('Osaka Sangyo'!$C$729:$D$735)</f>
        <v>12.600000000000001</v>
      </c>
      <c r="AS108" s="44">
        <f>SUM('Seinan Gakuin'!$C$729:$D$735)</f>
        <v>0</v>
      </c>
      <c r="AT108" s="44">
        <f>SUM(Soka!$C$729:$D$735)</f>
        <v>12</v>
      </c>
    </row>
    <row r="109" spans="2:46" ht="18" customHeight="1">
      <c r="C109" s="44">
        <v>2</v>
      </c>
      <c r="D109" s="57">
        <v>105</v>
      </c>
      <c r="E109" s="57">
        <v>100</v>
      </c>
      <c r="F109" s="56">
        <v>44571</v>
      </c>
      <c r="G109" s="56">
        <v>44577</v>
      </c>
      <c r="I109" s="44">
        <f>SUM(Kyoto!$C$736:$D$742)</f>
        <v>45.333333333333321</v>
      </c>
      <c r="J109" s="44">
        <f>SUM(Kyushu!$C$736:$D$742)</f>
        <v>82</v>
      </c>
      <c r="K109" s="44">
        <f>SUM(Tohoku!$C$736:$D$742)</f>
        <v>24</v>
      </c>
      <c r="L109" s="44">
        <f>SUM(Hokkaio!$C$736:$D$742)</f>
        <v>15.666666666666663</v>
      </c>
      <c r="M109" s="44">
        <f>SUM(Nagoya!$C$736:$D$742)</f>
        <v>39.166666666666664</v>
      </c>
      <c r="N109" s="44">
        <f>SUM(Hiroshima!$C$736:$D$742)</f>
        <v>40</v>
      </c>
      <c r="O109" s="44">
        <f>SUM(Chiba!$C$736:$D$742)</f>
        <v>22</v>
      </c>
      <c r="P109" s="44">
        <f>SUM(Niigata!$C$736:$D$742)</f>
        <v>33</v>
      </c>
      <c r="Q109" s="44">
        <f>SUM(Kanazawa!$C$736:$D$742)</f>
        <v>13</v>
      </c>
      <c r="R109" s="44">
        <f>SUM(Shizuoka!$C$736:$D$742)</f>
        <v>2</v>
      </c>
      <c r="S109" s="44">
        <f>SUM(Kumamoto!$C$736:$D$742)</f>
        <v>36</v>
      </c>
      <c r="T109" s="44">
        <f>SUM('Tokyo Metropolitan'!$C$736:$D$742)</f>
        <v>9</v>
      </c>
      <c r="U109" s="44">
        <f>SUM(Saitama!$C$736:$D$742)</f>
        <v>25</v>
      </c>
      <c r="V109" s="44">
        <f>SUM(Ryukyus!$C$736:$D$742)</f>
        <v>0</v>
      </c>
      <c r="W109" s="44">
        <f>SUM(Mie!$C$736:$D$742)</f>
        <v>5</v>
      </c>
      <c r="X109" s="44">
        <f>SUM(Meiji!$C$736:$D$742)</f>
        <v>117.98095238095237</v>
      </c>
      <c r="Y109" s="44">
        <f>SUM(Doshisha!$C$736:$D$742)</f>
        <v>116.80769230769229</v>
      </c>
      <c r="Z109" s="44">
        <f>SUM(Ryukoku!$C$736:$D$742)</f>
        <v>26</v>
      </c>
      <c r="AA109" s="44">
        <f>SUM(Senshu!$C$736:$D$742)</f>
        <v>42</v>
      </c>
      <c r="AB109" s="44">
        <f>SUM(Meijo!$C$736:$D$742)</f>
        <v>68.714285714285722</v>
      </c>
      <c r="AC109" s="44">
        <f>SUM(Chukyo!$C$736:$D$742)</f>
        <v>46.2</v>
      </c>
      <c r="AD109" s="44">
        <f>SUM('Kyoto Sangyo'!$C$736:$D$742)</f>
        <v>55</v>
      </c>
      <c r="AE109" s="44">
        <f>SUM('Tohoku Gakuin'!$C$736:$D$742)</f>
        <v>6</v>
      </c>
      <c r="AF109" s="44">
        <f>SUM(Chubu!$C$736:$D$742)</f>
        <v>4</v>
      </c>
      <c r="AG109" s="44">
        <f>SUM('Kobe Gakuin'!$C$736:$D$742)</f>
        <v>67</v>
      </c>
      <c r="AH109" s="44">
        <f>SUM(Rissho!$C$736:$D$742)</f>
        <v>43</v>
      </c>
      <c r="AI109" s="44">
        <f>SUM(Aichi!$C$736:$D$742)</f>
        <v>0</v>
      </c>
      <c r="AJ109" s="44">
        <f>SUM('Chiba Tech'!$C$736:$D$742)</f>
        <v>2</v>
      </c>
      <c r="AK109" s="44">
        <f>SUM(Nanzan!$C$736:$D$742)</f>
        <v>32</v>
      </c>
      <c r="AL109" s="44">
        <f>SUM(Konan!$C$736:$D$742)</f>
        <v>33.64705882352942</v>
      </c>
      <c r="AM109" s="44">
        <f>SUM('Aichi Shukutoku'!$C$736:$D$742)</f>
        <v>31.857142857142858</v>
      </c>
      <c r="AN109" s="44">
        <f>SUM(Tokkyo!$C$736:$D$742)</f>
        <v>20</v>
      </c>
      <c r="AO109" s="44">
        <f>SUM('Mukogawa Women'!$C$736:$D$742)</f>
        <v>35</v>
      </c>
      <c r="AP109" s="44">
        <f>SUM('Hokkai-Gakuen'!$C$736:$D$742)</f>
        <v>62</v>
      </c>
      <c r="AQ109" s="44">
        <f>SUM('Shibaura '!$C$736:$D$742)</f>
        <v>36</v>
      </c>
      <c r="AR109" s="44">
        <f>SUM('Osaka Sangyo'!$C$736:$D$742)</f>
        <v>29.4</v>
      </c>
      <c r="AS109" s="44">
        <f>SUM('Seinan Gakuin'!$C$736:$D$742)</f>
        <v>13</v>
      </c>
      <c r="AT109" s="44">
        <f>SUM(Soka!$C$736:$D$742)</f>
        <v>25.285714285714288</v>
      </c>
    </row>
    <row r="110" spans="2:46" ht="18" customHeight="1">
      <c r="C110" s="44">
        <v>3</v>
      </c>
      <c r="D110" s="57">
        <v>106</v>
      </c>
      <c r="E110" s="57">
        <v>101</v>
      </c>
      <c r="F110" s="56">
        <v>44578</v>
      </c>
      <c r="G110" s="56">
        <v>44584</v>
      </c>
      <c r="I110" s="44">
        <f>SUM(Kyoto!$C$743:$D$749)</f>
        <v>58.641025641025657</v>
      </c>
      <c r="J110" s="44">
        <f>SUM(Kyushu!$C$743:$D$749)</f>
        <v>76</v>
      </c>
      <c r="K110" s="44">
        <f>SUM(Tohoku!$C$743:$D$749)</f>
        <v>12</v>
      </c>
      <c r="L110" s="44">
        <f>SUM(Hokkaio!$C$743:$D$749)</f>
        <v>12.158730158730155</v>
      </c>
      <c r="M110" s="44">
        <f>SUM(Nagoya!$C$743:$D$749)</f>
        <v>66.666666666666671</v>
      </c>
      <c r="N110" s="44">
        <f>SUM(Hiroshima!$C$743:$D$749)</f>
        <v>62</v>
      </c>
      <c r="O110" s="44">
        <f>SUM(Chiba!$C$743:$D$749)</f>
        <v>71</v>
      </c>
      <c r="P110" s="44">
        <f>SUM(Niigata!$C$743:$D$749)</f>
        <v>38.075000000000003</v>
      </c>
      <c r="Q110" s="44">
        <f>SUM(Kanazawa!$C$743:$D$749)</f>
        <v>49</v>
      </c>
      <c r="R110" s="44">
        <f>SUM(Shizuoka!$C$743:$D$749)</f>
        <v>12</v>
      </c>
      <c r="S110" s="44">
        <f>SUM(Kumamoto!$C$743:$D$749)</f>
        <v>56.904761904761912</v>
      </c>
      <c r="T110" s="44">
        <f>SUM('Tokyo Metropolitan'!$C$743:$D$749)</f>
        <v>37</v>
      </c>
      <c r="U110" s="44">
        <f>SUM(Saitama!$C$743:$D$749)</f>
        <v>41</v>
      </c>
      <c r="V110" s="44">
        <f>SUM(Ryukyus!$C$743:$D$749)</f>
        <v>84</v>
      </c>
      <c r="W110" s="44">
        <f>SUM(Mie!$C$743:$D$749)</f>
        <v>37</v>
      </c>
      <c r="X110" s="44">
        <f>SUM(Meiji!$C$743:$D$749)</f>
        <v>134.30909090909091</v>
      </c>
      <c r="Y110" s="44">
        <f>SUM(Doshisha!$C$743:$D$749)</f>
        <v>91.807692307692292</v>
      </c>
      <c r="Z110" s="44">
        <f>SUM(Ryukoku!$C$743:$D$749)</f>
        <v>91</v>
      </c>
      <c r="AA110" s="44">
        <f>SUM(Senshu!$C$743:$D$749)</f>
        <v>39</v>
      </c>
      <c r="AB110" s="44">
        <f>SUM(Meijo!$C$743:$D$749)</f>
        <v>61.71428571428573</v>
      </c>
      <c r="AC110" s="44">
        <f>SUM(Chukyo!$C$743:$D$749)</f>
        <v>105.33333333333334</v>
      </c>
      <c r="AD110" s="44">
        <f>SUM('Kyoto Sangyo'!$C$743:$D$749)</f>
        <v>63</v>
      </c>
      <c r="AE110" s="44">
        <f>SUM('Tohoku Gakuin'!$C$743:$D$749)</f>
        <v>18</v>
      </c>
      <c r="AF110" s="44">
        <f>SUM(Chubu!$C$743:$D$749)</f>
        <v>67</v>
      </c>
      <c r="AG110" s="44">
        <f>SUM('Kobe Gakuin'!$C$743:$D$749)</f>
        <v>83</v>
      </c>
      <c r="AH110" s="44">
        <f>SUM(Rissho!$C$743:$D$749)</f>
        <v>64</v>
      </c>
      <c r="AI110" s="44">
        <f>SUM(Aichi!$C$743:$D$749)</f>
        <v>13.5</v>
      </c>
      <c r="AJ110" s="44">
        <f>SUM('Chiba Tech'!$C$743:$D$749)</f>
        <v>14</v>
      </c>
      <c r="AK110" s="44">
        <f>SUM(Nanzan!$C$743:$D$749)</f>
        <v>46</v>
      </c>
      <c r="AL110" s="44">
        <f>SUM(Konan!$C$743:$D$749)</f>
        <v>50.764705882352928</v>
      </c>
      <c r="AM110" s="44">
        <f>SUM('Aichi Shukutoku'!$C$743:$D$749)</f>
        <v>45.571428571428569</v>
      </c>
      <c r="AN110" s="44">
        <f>SUM(Tokkyo!$C$743:$D$749)</f>
        <v>48</v>
      </c>
      <c r="AO110" s="44">
        <f>SUM('Mukogawa Women'!$C$743:$D$749)</f>
        <v>48</v>
      </c>
      <c r="AP110" s="44">
        <f>SUM('Hokkai-Gakuen'!$C$743:$D$749)</f>
        <v>40</v>
      </c>
      <c r="AQ110" s="44">
        <f>SUM('Shibaura '!$C$743:$D$749)</f>
        <v>41</v>
      </c>
      <c r="AR110" s="44">
        <f>SUM('Osaka Sangyo'!$C$743:$D$749)</f>
        <v>29.4</v>
      </c>
      <c r="AS110" s="44">
        <f>SUM('Seinan Gakuin'!$C$743:$D$749)</f>
        <v>12</v>
      </c>
      <c r="AT110" s="44">
        <f>SUM(Soka!$C$743:$D$749)</f>
        <v>16.38095238095238</v>
      </c>
    </row>
    <row r="111" spans="2:46" ht="18" customHeight="1">
      <c r="C111" s="44">
        <v>4</v>
      </c>
      <c r="D111" s="57">
        <v>107</v>
      </c>
      <c r="E111" s="57">
        <v>102</v>
      </c>
      <c r="F111" s="56">
        <v>44585</v>
      </c>
      <c r="G111" s="56">
        <v>44591</v>
      </c>
      <c r="I111" s="44">
        <f>SUM(Kyoto!$C$750:$D$756)</f>
        <v>68.873626373626379</v>
      </c>
      <c r="J111" s="44">
        <f>SUM(Kyushu!$C$750:$D$756)</f>
        <v>83</v>
      </c>
      <c r="K111" s="44">
        <f>SUM(Tohoku!$C$750:$D$756)</f>
        <v>32</v>
      </c>
      <c r="L111" s="44">
        <f>SUM(Hokkaio!$C$750:$D$756)</f>
        <v>16.785714285714285</v>
      </c>
      <c r="M111" s="44">
        <f>SUM(Nagoya!$C$750:$D$756)</f>
        <v>54.666666666666664</v>
      </c>
      <c r="N111" s="44">
        <f>SUM(Hiroshima!$C$750:$D$756)</f>
        <v>38</v>
      </c>
      <c r="O111" s="44">
        <f>SUM(Chiba!$C$750:$D$756)</f>
        <v>102</v>
      </c>
      <c r="P111" s="44">
        <f>SUM(Niigata!$C$750:$D$756)</f>
        <v>23.782142857142855</v>
      </c>
      <c r="Q111" s="44">
        <f>SUM(Kanazawa!$C$750:$D$756)</f>
        <v>60</v>
      </c>
      <c r="R111" s="44">
        <f>SUM(Shizuoka!$C$750:$D$756)</f>
        <v>38</v>
      </c>
      <c r="S111" s="44">
        <f>SUM(Kumamoto!$C$750:$D$756)</f>
        <v>39.928571428571431</v>
      </c>
      <c r="T111" s="44">
        <f>SUM('Tokyo Metropolitan'!$C$750:$D$756)</f>
        <v>35</v>
      </c>
      <c r="U111" s="44">
        <f>SUM(Saitama!$C$750:$D$756)</f>
        <v>61</v>
      </c>
      <c r="V111" s="44">
        <f>SUM(Ryukyus!$C$750:$D$756)</f>
        <v>40</v>
      </c>
      <c r="W111" s="44">
        <f>SUM(Mie!$C$750:$D$756)</f>
        <v>59</v>
      </c>
      <c r="X111" s="44">
        <f>SUM(Meiji!$C$750:$D$756)</f>
        <v>130.45454545454547</v>
      </c>
      <c r="Y111" s="44">
        <f>SUM(Doshisha!$C$750:$D$756)</f>
        <v>91.807692307692292</v>
      </c>
      <c r="Z111" s="44">
        <f>SUM(Ryukoku!$C$750:$D$756)</f>
        <v>134</v>
      </c>
      <c r="AA111" s="44">
        <f>SUM(Senshu!$C$750:$D$756)</f>
        <v>47</v>
      </c>
      <c r="AB111" s="44">
        <f>SUM(Meijo!$C$750:$D$756)</f>
        <v>35</v>
      </c>
      <c r="AC111" s="44">
        <f>SUM(Chukyo!$C$750:$D$756)</f>
        <v>42.666666666666671</v>
      </c>
      <c r="AD111" s="44">
        <f>SUM('Kyoto Sangyo'!$C$750:$D$756)</f>
        <v>27</v>
      </c>
      <c r="AE111" s="44">
        <f>SUM('Tohoku Gakuin'!$C$750:$D$756)</f>
        <v>16.285714285714285</v>
      </c>
      <c r="AF111" s="44">
        <f>SUM(Chubu!$C$750:$D$756)</f>
        <v>36</v>
      </c>
      <c r="AG111" s="44">
        <f>SUM('Kobe Gakuin'!$C$750:$D$756)</f>
        <v>52</v>
      </c>
      <c r="AH111" s="44">
        <f>SUM(Rissho!$C$750:$D$756)</f>
        <v>32</v>
      </c>
      <c r="AI111" s="44">
        <f>SUM(Aichi!$C$750:$D$756)</f>
        <v>15</v>
      </c>
      <c r="AJ111" s="44">
        <f>SUM('Chiba Tech'!$C$750:$D$756)</f>
        <v>16</v>
      </c>
      <c r="AK111" s="44">
        <f>SUM(Nanzan!$C$750:$D$756)</f>
        <v>55</v>
      </c>
      <c r="AL111" s="44">
        <f>SUM(Konan!$C$750:$D$756)</f>
        <v>47.764705882352935</v>
      </c>
      <c r="AM111" s="44">
        <f>SUM('Aichi Shukutoku'!$C$750:$D$756)</f>
        <v>48.857142857142868</v>
      </c>
      <c r="AN111" s="44">
        <f>SUM(Tokkyo!$C$750:$D$756)</f>
        <v>16</v>
      </c>
      <c r="AO111" s="44">
        <f>SUM('Mukogawa Women'!$C$750:$D$756)</f>
        <v>31</v>
      </c>
      <c r="AP111" s="44">
        <f>SUM('Hokkai-Gakuen'!$C$750:$D$756)</f>
        <v>18</v>
      </c>
      <c r="AQ111" s="44">
        <f>SUM('Shibaura '!$C$750:$D$756)</f>
        <v>32</v>
      </c>
      <c r="AR111" s="44">
        <f>SUM('Osaka Sangyo'!$C$750:$D$756)</f>
        <v>15.600000000000001</v>
      </c>
      <c r="AS111" s="44">
        <f>SUM('Seinan Gakuin'!$C$750:$D$756)</f>
        <v>0</v>
      </c>
      <c r="AT111" s="44">
        <f>SUM(Soka!$C$750:$D$756)</f>
        <v>18.458333333333332</v>
      </c>
    </row>
    <row r="112" spans="2:46" ht="18" customHeight="1">
      <c r="C112" s="44">
        <v>5</v>
      </c>
      <c r="D112" s="57">
        <v>108</v>
      </c>
      <c r="E112" s="57">
        <v>103</v>
      </c>
      <c r="F112" s="56">
        <v>44592</v>
      </c>
      <c r="G112" s="56">
        <v>44598</v>
      </c>
      <c r="I112" s="44">
        <f>SUM(Kyoto!$C$757:$D$763)</f>
        <v>49.788811188811188</v>
      </c>
      <c r="J112" s="44">
        <f>SUM(Kyushu!$C$757:$D$763)</f>
        <v>84</v>
      </c>
      <c r="K112" s="44">
        <f>SUM(Tohoku!$C$757:$D$763)</f>
        <v>32</v>
      </c>
      <c r="L112" s="44">
        <f>SUM(Hokkaio!$C$757:$D$763)</f>
        <v>12.794117647058822</v>
      </c>
      <c r="M112" s="44">
        <f>SUM(Nagoya!$C$757:$D$763)</f>
        <v>45.666666666666671</v>
      </c>
      <c r="N112" s="44">
        <f>SUM(Hiroshima!$C$757:$D$763)</f>
        <v>20</v>
      </c>
      <c r="O112" s="44">
        <f>SUM(Chiba!$C$757:$D$763)</f>
        <v>71</v>
      </c>
      <c r="P112" s="44">
        <f>SUM(Niigata!$C$757:$D$763)</f>
        <v>14.006493506493507</v>
      </c>
      <c r="Q112" s="44">
        <f>SUM(Kanazawa!$C$757:$D$763)</f>
        <v>31</v>
      </c>
      <c r="R112" s="44">
        <f>SUM(Shizuoka!$C$757:$D$763)</f>
        <v>29</v>
      </c>
      <c r="S112" s="44">
        <f>SUM(Kumamoto!$C$757:$D$763)</f>
        <v>22.375</v>
      </c>
      <c r="T112" s="44">
        <f>SUM('Tokyo Metropolitan'!$C$757:$D$763)</f>
        <v>42</v>
      </c>
      <c r="U112" s="44">
        <f>SUM(Saitama!$C$757:$D$763)</f>
        <v>55</v>
      </c>
      <c r="V112" s="44">
        <f>SUM(Ryukyus!$C$757:$D$763)</f>
        <v>0</v>
      </c>
      <c r="W112" s="44">
        <f>SUM(Mie!$C$757:$D$763)</f>
        <v>18</v>
      </c>
      <c r="X112" s="44">
        <f>SUM(Meiji!$C$757:$D$763)</f>
        <v>50.636363636363626</v>
      </c>
      <c r="Y112" s="44">
        <f>SUM(Doshisha!$C$757:$D$763)</f>
        <v>33.300569800569804</v>
      </c>
      <c r="Z112" s="44">
        <f>SUM(Ryukoku!$C$757:$D$763)</f>
        <v>51</v>
      </c>
      <c r="AA112" s="44">
        <f>SUM(Senshu!$C$757:$D$763)</f>
        <v>26.000000000000004</v>
      </c>
      <c r="AB112" s="44">
        <f>SUM(Meijo!$C$757:$D$763)</f>
        <v>41.857142857142861</v>
      </c>
      <c r="AC112" s="44">
        <f>SUM(Chukyo!$C$757:$D$763)</f>
        <v>32</v>
      </c>
      <c r="AD112" s="44">
        <f>SUM('Kyoto Sangyo'!$C$757:$D$763)</f>
        <v>13</v>
      </c>
      <c r="AE112" s="44">
        <f>SUM('Tohoku Gakuin'!$C$757:$D$763)</f>
        <v>20.38095238095238</v>
      </c>
      <c r="AF112" s="44">
        <f>SUM(Chubu!$C$757:$D$763)</f>
        <v>21</v>
      </c>
      <c r="AG112" s="44">
        <f>SUM('Kobe Gakuin'!$C$757:$D$763)</f>
        <v>25</v>
      </c>
      <c r="AH112" s="44">
        <f>SUM(Rissho!$C$757:$D$763)</f>
        <v>10</v>
      </c>
      <c r="AI112" s="44">
        <f>SUM(Aichi!$C$757:$D$763)</f>
        <v>1.5</v>
      </c>
      <c r="AJ112" s="44">
        <f>SUM('Chiba Tech'!$C$757:$D$763)</f>
        <v>22.909090909090907</v>
      </c>
      <c r="AK112" s="44">
        <f>SUM(Nanzan!$C$757:$D$763)</f>
        <v>25.799999999999997</v>
      </c>
      <c r="AL112" s="44">
        <f>SUM(Konan!$C$757:$D$763)</f>
        <v>40.19852941176471</v>
      </c>
      <c r="AM112" s="44">
        <f>SUM('Aichi Shukutoku'!$C$757:$D$763)</f>
        <v>14.761904761904765</v>
      </c>
      <c r="AN112" s="44">
        <f>SUM(Tokkyo!$C$757:$D$763)</f>
        <v>17.714285714285719</v>
      </c>
      <c r="AO112" s="44">
        <f>SUM('Mukogawa Women'!$C$757:$D$763)</f>
        <v>36</v>
      </c>
      <c r="AP112" s="44">
        <f>SUM('Hokkai-Gakuen'!$C$757:$D$763)</f>
        <v>19</v>
      </c>
      <c r="AQ112" s="44">
        <f>SUM('Shibaura '!$C$757:$D$763)</f>
        <v>25</v>
      </c>
      <c r="AR112" s="44">
        <f>SUM('Osaka Sangyo'!$C$757:$D$763)</f>
        <v>0</v>
      </c>
      <c r="AS112" s="44">
        <f>SUM('Seinan Gakuin'!$C$757:$D$763)</f>
        <v>0</v>
      </c>
      <c r="AT112" s="44">
        <f>SUM(Soka!$C$757:$D$763)</f>
        <v>11.625</v>
      </c>
    </row>
    <row r="113" spans="3:46" ht="18" customHeight="1">
      <c r="C113" s="44">
        <v>6</v>
      </c>
      <c r="D113" s="57">
        <v>109</v>
      </c>
      <c r="E113" s="57">
        <v>104</v>
      </c>
      <c r="F113" s="56">
        <v>44599</v>
      </c>
      <c r="G113" s="56">
        <v>44605</v>
      </c>
      <c r="I113" s="44">
        <f>SUM(Kyoto!$C$764:$D$770)</f>
        <v>29.928434723171563</v>
      </c>
      <c r="J113" s="44">
        <f>SUM(Kyushu!$C$764:$D$770)</f>
        <v>38</v>
      </c>
      <c r="K113" s="44">
        <f>SUM(Tohoku!$C$764:$D$770)</f>
        <v>35</v>
      </c>
      <c r="L113" s="44">
        <f>SUM(Hokkaio!$C$764:$D$770)</f>
        <v>7.4117647058823524</v>
      </c>
      <c r="M113" s="44">
        <f>SUM(Nagoya!$C$764:$D$770)</f>
        <v>38.583333333333336</v>
      </c>
      <c r="N113" s="44">
        <f>SUM(Hiroshima!$C$764:$D$770)</f>
        <v>15</v>
      </c>
      <c r="O113" s="44">
        <f>SUM(Chiba!$C$764:$D$770)</f>
        <v>62</v>
      </c>
      <c r="P113" s="44">
        <f>SUM(Niigata!$C$764:$D$770)</f>
        <v>14.681818181818183</v>
      </c>
      <c r="Q113" s="44">
        <f>SUM(Kanazawa!$C$764:$D$770)</f>
        <v>26</v>
      </c>
      <c r="R113" s="44">
        <f>SUM(Shizuoka!$C$764:$D$770)</f>
        <v>23</v>
      </c>
      <c r="S113" s="44">
        <f>SUM(Kumamoto!$C$764:$D$770)</f>
        <v>12.625</v>
      </c>
      <c r="T113" s="44">
        <f>SUM('Tokyo Metropolitan'!$C$764:$D$770)</f>
        <v>14</v>
      </c>
      <c r="U113" s="44">
        <f>SUM(Saitama!$C$764:$D$770)</f>
        <v>21</v>
      </c>
      <c r="V113" s="44">
        <f>SUM(Ryukyus!$C$764:$D$770)</f>
        <v>29</v>
      </c>
      <c r="W113" s="44">
        <f>SUM(Mie!$C$764:$D$770)</f>
        <v>11</v>
      </c>
      <c r="X113" s="44">
        <f>SUM(Meiji!$C$764:$D$770)</f>
        <v>40.36363636363636</v>
      </c>
      <c r="Y113" s="44">
        <f>SUM(Doshisha!$C$764:$D$770)</f>
        <v>28.259259259259263</v>
      </c>
      <c r="Z113" s="44">
        <f>SUM(Ryukoku!$C$764:$D$770)</f>
        <v>46</v>
      </c>
      <c r="AA113" s="44">
        <f>SUM(Senshu!$C$764:$D$770)</f>
        <v>23.999999999999996</v>
      </c>
      <c r="AB113" s="44">
        <f>SUM(Meijo!$C$764:$D$770)</f>
        <v>21.285714285714292</v>
      </c>
      <c r="AC113" s="44">
        <f>SUM(Chukyo!$C$764:$D$770)</f>
        <v>4.5</v>
      </c>
      <c r="AD113" s="44">
        <f>SUM('Kyoto Sangyo'!$C$764:$D$770)</f>
        <v>16</v>
      </c>
      <c r="AE113" s="44">
        <f>SUM('Tohoku Gakuin'!$C$764:$D$770)</f>
        <v>11.958333333333334</v>
      </c>
      <c r="AF113" s="44">
        <f>SUM(Chubu!$C$764:$D$770)</f>
        <v>22</v>
      </c>
      <c r="AG113" s="44">
        <f>SUM('Kobe Gakuin'!$C$764:$D$770)</f>
        <v>0</v>
      </c>
      <c r="AH113" s="44">
        <f>SUM(Rissho!$C$764:$D$770)</f>
        <v>5</v>
      </c>
      <c r="AI113" s="44">
        <f>SUM(Aichi!$C$764:$D$770)</f>
        <v>0</v>
      </c>
      <c r="AJ113" s="44">
        <f>SUM('Chiba Tech'!$C$764:$D$770)</f>
        <v>17.18181818181818</v>
      </c>
      <c r="AK113" s="44">
        <f>SUM(Nanzan!$C$764:$D$770)</f>
        <v>12.2</v>
      </c>
      <c r="AL113" s="44">
        <f>SUM(Konan!$C$764:$D$770)</f>
        <v>21.910714285714281</v>
      </c>
      <c r="AM113" s="44">
        <f>SUM('Aichi Shukutoku'!$C$764:$D$770)</f>
        <v>11.541666666666666</v>
      </c>
      <c r="AN113" s="44">
        <f>SUM(Tokkyo!$C$764:$D$770)</f>
        <v>12.500000000000002</v>
      </c>
      <c r="AO113" s="44">
        <f>SUM('Mukogawa Women'!$C$764:$D$770)</f>
        <v>26</v>
      </c>
      <c r="AP113" s="44">
        <f>SUM('Hokkai-Gakuen'!$C$764:$D$770)</f>
        <v>7</v>
      </c>
      <c r="AQ113" s="44">
        <f>SUM('Shibaura '!$C$764:$D$770)</f>
        <v>24</v>
      </c>
      <c r="AR113" s="44">
        <f>SUM('Osaka Sangyo'!$C$764:$D$770)</f>
        <v>0</v>
      </c>
      <c r="AS113" s="44">
        <f>SUM('Seinan Gakuin'!$C$764:$D$770)</f>
        <v>0</v>
      </c>
      <c r="AT113" s="44">
        <f>SUM(Soka!$C$764:$D$770)</f>
        <v>9.375</v>
      </c>
    </row>
    <row r="114" spans="3:46" ht="18" customHeight="1">
      <c r="C114" s="44">
        <v>7</v>
      </c>
      <c r="D114" s="57">
        <v>110</v>
      </c>
      <c r="E114" s="57">
        <v>105</v>
      </c>
      <c r="F114" s="56">
        <v>44606</v>
      </c>
      <c r="G114" s="56">
        <v>44612</v>
      </c>
      <c r="I114" s="44">
        <f>SUM(Kyoto!$C$771:$D$777)</f>
        <v>19.402870813397129</v>
      </c>
      <c r="J114" s="44">
        <f>SUM(Kyushu!$C$771:$D$777)</f>
        <v>46</v>
      </c>
      <c r="K114" s="44">
        <f>SUM(Tohoku!$C$771:$D$777)</f>
        <v>36</v>
      </c>
      <c r="L114" s="44">
        <f>SUM(Hokkaio!$C$771:$D$777)</f>
        <v>5.2941176470588234</v>
      </c>
      <c r="M114" s="44">
        <f>SUM(Nagoya!$C$771:$D$777)</f>
        <v>29.416666666666664</v>
      </c>
      <c r="N114" s="44">
        <f>SUM(Hiroshima!$C$771:$D$777)</f>
        <v>12</v>
      </c>
      <c r="O114" s="44">
        <f>SUM(Chiba!$C$771:$D$777)</f>
        <v>65</v>
      </c>
      <c r="P114" s="44">
        <f>SUM(Niigata!$C$771:$D$777)</f>
        <v>9.454545454545455</v>
      </c>
      <c r="Q114" s="44">
        <f>SUM(Kanazawa!$C$771:$D$777)</f>
        <v>21</v>
      </c>
      <c r="R114" s="44">
        <f>SUM(Shizuoka!$C$771:$D$777)</f>
        <v>26</v>
      </c>
      <c r="S114" s="44">
        <f>SUM(Kumamoto!$C$771:$D$777)</f>
        <v>9.045454545454545</v>
      </c>
      <c r="T114" s="44">
        <f>SUM('Tokyo Metropolitan'!$C$771:$D$777)</f>
        <v>20</v>
      </c>
      <c r="U114" s="44">
        <f>SUM(Saitama!$C$771:$D$777)</f>
        <v>31</v>
      </c>
      <c r="V114" s="44">
        <f>SUM(Ryukyus!$C$771:$D$777)</f>
        <v>0</v>
      </c>
      <c r="W114" s="44">
        <f>SUM(Mie!$C$771:$D$777)</f>
        <v>7</v>
      </c>
      <c r="X114" s="44">
        <f>SUM(Meiji!$C$771:$D$777)</f>
        <v>42.63636363636364</v>
      </c>
      <c r="Y114" s="44">
        <f>SUM(Doshisha!$C$771:$D$777)</f>
        <v>28.259259259259263</v>
      </c>
      <c r="Z114" s="44">
        <f>SUM(Ryukoku!$C$771:$D$777)</f>
        <v>50</v>
      </c>
      <c r="AA114" s="44">
        <f>SUM(Senshu!$C$771:$D$777)</f>
        <v>31.111111111111107</v>
      </c>
      <c r="AB114" s="44">
        <f>SUM(Meijo!$C$771:$D$777)</f>
        <v>11</v>
      </c>
      <c r="AC114" s="44">
        <f>SUM(Chukyo!$C$771:$D$777)</f>
        <v>18.166666666666664</v>
      </c>
      <c r="AD114" s="44">
        <f>SUM('Kyoto Sangyo'!$C$771:$D$777)</f>
        <v>9</v>
      </c>
      <c r="AE114" s="44">
        <f>SUM('Tohoku Gakuin'!$C$771:$D$777)</f>
        <v>7.2321428571428577</v>
      </c>
      <c r="AF114" s="44">
        <f>SUM(Chubu!$C$771:$D$777)</f>
        <v>17</v>
      </c>
      <c r="AG114" s="44">
        <f>SUM('Kobe Gakuin'!$C$771:$D$777)</f>
        <v>0</v>
      </c>
      <c r="AH114" s="44">
        <f>SUM(Rissho!$C$771:$D$777)</f>
        <v>7</v>
      </c>
      <c r="AI114" s="44">
        <f>SUM(Aichi!$C$771:$D$777)</f>
        <v>0</v>
      </c>
      <c r="AJ114" s="44">
        <f>SUM('Chiba Tech'!$C$771:$D$777)</f>
        <v>11.03409090909091</v>
      </c>
      <c r="AK114" s="44">
        <f>SUM(Nanzan!$C$771:$D$777)</f>
        <v>1.75</v>
      </c>
      <c r="AL114" s="44">
        <f>SUM(Konan!$C$771:$D$777)</f>
        <v>14.714285714285714</v>
      </c>
      <c r="AM114" s="44">
        <f>SUM('Aichi Shukutoku'!$C$771:$D$777)</f>
        <v>23.267857142857139</v>
      </c>
      <c r="AN114" s="44">
        <f>SUM(Tokkyo!$C$771:$D$777)</f>
        <v>8.6428571428571406</v>
      </c>
      <c r="AO114" s="44">
        <f>SUM('Mukogawa Women'!$C$771:$D$777)</f>
        <v>27</v>
      </c>
      <c r="AP114" s="44">
        <f>SUM('Hokkai-Gakuen'!$C$771:$D$777)</f>
        <v>12.4</v>
      </c>
      <c r="AQ114" s="44">
        <f>SUM('Shibaura '!$C$771:$D$777)</f>
        <v>20</v>
      </c>
      <c r="AR114" s="44">
        <f>SUM('Osaka Sangyo'!$C$771:$D$777)</f>
        <v>2</v>
      </c>
      <c r="AS114" s="44">
        <f>SUM('Seinan Gakuin'!$C$771:$D$777)</f>
        <v>1</v>
      </c>
      <c r="AT114" s="44">
        <f>SUM(Soka!$C$771:$D$777)</f>
        <v>7.875</v>
      </c>
    </row>
    <row r="115" spans="3:46" ht="18" customHeight="1">
      <c r="C115" s="44">
        <v>8</v>
      </c>
      <c r="D115" s="57">
        <v>111</v>
      </c>
      <c r="E115" s="57">
        <v>106</v>
      </c>
      <c r="F115" s="56">
        <v>44613</v>
      </c>
      <c r="G115" s="56">
        <v>44619</v>
      </c>
      <c r="I115" s="44">
        <f>SUM(Kyoto!$C$778:$D$784)</f>
        <v>12.062200956937801</v>
      </c>
      <c r="J115" s="44">
        <f>SUM(Kyushu!$C$778:$D$784)</f>
        <v>40</v>
      </c>
      <c r="K115" s="44">
        <f>SUM(Tohoku!$C$778:$D$784)</f>
        <v>31</v>
      </c>
      <c r="L115" s="44">
        <f>SUM(Hokkaio!$C$778:$D$784)</f>
        <v>0</v>
      </c>
      <c r="M115" s="44">
        <f>SUM(Nagoya!$C$778:$D$784)</f>
        <v>22.333333333333332</v>
      </c>
      <c r="N115" s="44">
        <f>SUM(Hiroshima!$C$778:$D$784)</f>
        <v>12</v>
      </c>
      <c r="O115" s="44">
        <f>SUM(Chiba!$C$778:$D$784)</f>
        <v>43</v>
      </c>
      <c r="P115" s="44">
        <f>SUM(Niigata!$C$778:$D$784)</f>
        <v>16.950000000000003</v>
      </c>
      <c r="Q115" s="44">
        <f>SUM(Kanazawa!$C$778:$D$784)</f>
        <v>38</v>
      </c>
      <c r="R115" s="44">
        <f>SUM(Shizuoka!$C$778:$D$784)</f>
        <v>0</v>
      </c>
      <c r="S115" s="44">
        <f>SUM(Kumamoto!$C$778:$D$784)</f>
        <v>8.2727272727272716</v>
      </c>
      <c r="T115" s="44">
        <f>SUM('Tokyo Metropolitan'!$C$778:$D$784)</f>
        <v>11</v>
      </c>
      <c r="U115" s="44">
        <f>SUM(Saitama!$C$778:$D$784)</f>
        <v>50</v>
      </c>
      <c r="V115" s="44">
        <f>SUM(Ryukyus!$C$778:$D$784)</f>
        <v>32</v>
      </c>
      <c r="W115" s="44">
        <f>SUM(Mie!$C$778:$D$784)</f>
        <v>11</v>
      </c>
      <c r="X115" s="44">
        <f>SUM(Meiji!$C$778:$D$784)</f>
        <v>76.125</v>
      </c>
      <c r="Y115" s="44">
        <f>SUM(Doshisha!$C$778:$D$784)</f>
        <v>28.259259259259263</v>
      </c>
      <c r="Z115" s="44">
        <f>SUM(Ryukoku!$C$778:$D$784)</f>
        <v>55</v>
      </c>
      <c r="AA115" s="44">
        <f>SUM(Senshu!$C$778:$D$784)</f>
        <v>18.055555555555557</v>
      </c>
      <c r="AB115" s="44">
        <f>SUM(Meijo!$C$778:$D$784)</f>
        <v>22.428571428571431</v>
      </c>
      <c r="AC115" s="44">
        <f>SUM(Chukyo!$C$778:$D$784)</f>
        <v>13.333333333333334</v>
      </c>
      <c r="AD115" s="44">
        <f>SUM('Kyoto Sangyo'!$C$778:$D$784)</f>
        <v>13</v>
      </c>
      <c r="AE115" s="44">
        <f>SUM('Tohoku Gakuin'!$C$778:$D$784)</f>
        <v>10</v>
      </c>
      <c r="AF115" s="44">
        <f>SUM(Chubu!$C$778:$D$784)</f>
        <v>13</v>
      </c>
      <c r="AG115" s="44">
        <f>SUM('Kobe Gakuin'!$C$778:$D$784)</f>
        <v>0</v>
      </c>
      <c r="AH115" s="44">
        <f>SUM(Rissho!$C$778:$D$784)</f>
        <v>12</v>
      </c>
      <c r="AI115" s="44">
        <f>SUM(Aichi!$C$778:$D$784)</f>
        <v>3</v>
      </c>
      <c r="AJ115" s="44">
        <f>SUM('Chiba Tech'!$C$778:$D$784)</f>
        <v>7.8750000000000009</v>
      </c>
      <c r="AK115" s="44">
        <f>SUM(Nanzan!$C$778:$D$784)</f>
        <v>4.2499999999999991</v>
      </c>
      <c r="AL115" s="44">
        <f>SUM(Konan!$C$778:$D$784)</f>
        <v>10.428571428571431</v>
      </c>
      <c r="AM115" s="44">
        <f>SUM('Aichi Shukutoku'!$C$778:$D$784)</f>
        <v>5.1428571428571415</v>
      </c>
      <c r="AN115" s="44">
        <f>SUM(Tokkyo!$C$778:$D$784)</f>
        <v>7.9999999999999982</v>
      </c>
      <c r="AO115" s="44">
        <f>SUM('Mukogawa Women'!$C$778:$D$784)</f>
        <v>10</v>
      </c>
      <c r="AP115" s="44">
        <f>SUM('Hokkai-Gakuen'!$C$778:$D$784)</f>
        <v>4.5999999999999996</v>
      </c>
      <c r="AQ115" s="44">
        <f>SUM('Shibaura '!$C$778:$D$784)</f>
        <v>14</v>
      </c>
      <c r="AR115" s="44">
        <f>SUM('Osaka Sangyo'!$C$778:$D$784)</f>
        <v>0</v>
      </c>
      <c r="AS115" s="44">
        <f>SUM('Seinan Gakuin'!$C$778:$D$784)</f>
        <v>4</v>
      </c>
      <c r="AT115" s="44">
        <f>SUM(Soka!$C$778:$D$784)</f>
        <v>6</v>
      </c>
    </row>
    <row r="116" spans="3:46" ht="18" customHeight="1">
      <c r="C116" s="44"/>
      <c r="D116" s="57"/>
      <c r="E116" s="57"/>
      <c r="F116" s="56"/>
      <c r="G116" s="56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</row>
    <row r="117" spans="3:46" ht="18" customHeight="1">
      <c r="C117" s="44"/>
      <c r="D117" s="44"/>
      <c r="E117" s="44"/>
      <c r="F117" s="44"/>
      <c r="G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</row>
    <row r="118" spans="3:46" ht="18" customHeight="1">
      <c r="C118" s="44"/>
      <c r="D118" s="44"/>
      <c r="E118" s="44"/>
      <c r="F118" s="44"/>
      <c r="G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</row>
    <row r="119" spans="3:46" ht="18" customHeight="1">
      <c r="C119" s="44"/>
      <c r="D119" s="44"/>
      <c r="E119" s="44"/>
      <c r="F119" s="44"/>
      <c r="G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</row>
    <row r="120" spans="3:46" ht="18" customHeight="1">
      <c r="C120" s="44"/>
      <c r="D120" s="44"/>
      <c r="E120" s="44"/>
      <c r="F120" s="44"/>
      <c r="G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</row>
    <row r="121" spans="3:46" ht="18" customHeight="1">
      <c r="C121" s="44"/>
      <c r="D121" s="44"/>
      <c r="E121" s="44"/>
      <c r="F121" s="44"/>
      <c r="G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</row>
    <row r="122" spans="3:46" ht="18" customHeight="1">
      <c r="C122" s="44"/>
      <c r="D122" s="44"/>
      <c r="E122" s="44"/>
      <c r="F122" s="44"/>
      <c r="G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</row>
    <row r="123" spans="3:46" ht="18" customHeight="1">
      <c r="C123" s="44"/>
      <c r="D123" s="44"/>
      <c r="E123" s="44"/>
      <c r="F123" s="44"/>
      <c r="G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</row>
    <row r="124" spans="3:46" ht="18" customHeight="1">
      <c r="C124" s="44"/>
      <c r="D124" s="44"/>
      <c r="E124" s="44"/>
      <c r="F124" s="44"/>
      <c r="G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</row>
    <row r="125" spans="3:46" ht="18" customHeight="1">
      <c r="C125" s="44"/>
      <c r="D125" s="44"/>
      <c r="E125" s="44"/>
      <c r="F125" s="44"/>
      <c r="G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</row>
    <row r="126" spans="3:46" ht="18" customHeight="1">
      <c r="C126" s="44"/>
      <c r="D126" s="44"/>
      <c r="E126" s="44"/>
      <c r="F126" s="44"/>
      <c r="G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</row>
    <row r="127" spans="3:46" ht="18" customHeight="1">
      <c r="C127" s="44"/>
      <c r="D127" s="44"/>
      <c r="E127" s="44"/>
      <c r="F127" s="44"/>
      <c r="G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</row>
    <row r="128" spans="3:46" ht="18" customHeight="1">
      <c r="C128" s="44"/>
      <c r="D128" s="44"/>
      <c r="E128" s="44"/>
      <c r="F128" s="44"/>
      <c r="G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</row>
    <row r="129" spans="3:46" ht="18" customHeight="1">
      <c r="C129" s="44"/>
      <c r="D129" s="44"/>
      <c r="E129" s="44"/>
      <c r="F129" s="44"/>
      <c r="G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</row>
    <row r="130" spans="3:46" ht="18" customHeight="1">
      <c r="C130" s="44"/>
      <c r="D130" s="44"/>
      <c r="E130" s="44"/>
      <c r="F130" s="44"/>
      <c r="G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</row>
    <row r="131" spans="3:46" ht="18" customHeight="1">
      <c r="C131" s="44"/>
      <c r="D131" s="44"/>
      <c r="E131" s="44"/>
      <c r="F131" s="44"/>
      <c r="G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</row>
    <row r="132" spans="3:46" ht="18" customHeight="1">
      <c r="C132" s="44"/>
      <c r="D132" s="44"/>
      <c r="E132" s="44"/>
      <c r="F132" s="44"/>
      <c r="G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</row>
    <row r="133" spans="3:46" ht="18" customHeight="1">
      <c r="C133" s="44"/>
      <c r="D133" s="44"/>
      <c r="E133" s="44"/>
      <c r="F133" s="44"/>
      <c r="G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</row>
    <row r="134" spans="3:46" ht="18" customHeight="1">
      <c r="C134" s="44"/>
      <c r="D134" s="44"/>
      <c r="E134" s="44"/>
      <c r="F134" s="44"/>
      <c r="G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</row>
    <row r="135" spans="3:46" ht="18" customHeight="1">
      <c r="C135" s="44"/>
      <c r="D135" s="44"/>
      <c r="E135" s="44"/>
      <c r="F135" s="44"/>
      <c r="G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</row>
    <row r="136" spans="3:46" ht="18" customHeight="1">
      <c r="C136" s="44"/>
      <c r="D136" s="44"/>
      <c r="E136" s="44"/>
      <c r="F136" s="44"/>
      <c r="G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</row>
    <row r="137" spans="3:46" ht="18" customHeight="1">
      <c r="C137" s="44"/>
      <c r="D137" s="44"/>
      <c r="E137" s="44"/>
      <c r="F137" s="44"/>
      <c r="G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</row>
    <row r="138" spans="3:46" ht="18" customHeight="1">
      <c r="C138" s="44"/>
      <c r="D138" s="44"/>
      <c r="E138" s="44"/>
      <c r="F138" s="44"/>
      <c r="G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</row>
    <row r="139" spans="3:46" ht="18" customHeight="1">
      <c r="C139" s="44"/>
      <c r="D139" s="44"/>
      <c r="E139" s="44"/>
      <c r="F139" s="44"/>
      <c r="G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</row>
    <row r="140" spans="3:46" ht="18" customHeight="1">
      <c r="C140" s="44"/>
      <c r="D140" s="44"/>
      <c r="E140" s="44"/>
      <c r="F140" s="44"/>
      <c r="G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</row>
    <row r="141" spans="3:46" ht="18" customHeight="1">
      <c r="C141" s="44"/>
      <c r="D141" s="44"/>
      <c r="E141" s="44"/>
      <c r="F141" s="44"/>
      <c r="G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</row>
    <row r="142" spans="3:46" ht="18" customHeight="1">
      <c r="C142" s="44"/>
      <c r="D142" s="44"/>
      <c r="E142" s="44"/>
      <c r="F142" s="44"/>
      <c r="G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</row>
    <row r="143" spans="3:46" ht="18" customHeight="1">
      <c r="C143" s="44"/>
      <c r="D143" s="44"/>
      <c r="E143" s="44"/>
      <c r="F143" s="44"/>
      <c r="G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</row>
    <row r="144" spans="3:46" ht="18" customHeight="1">
      <c r="C144" s="44"/>
      <c r="D144" s="44"/>
      <c r="E144" s="44"/>
      <c r="F144" s="44"/>
      <c r="G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</row>
    <row r="145" spans="3:46" ht="18" customHeight="1">
      <c r="C145" s="44"/>
      <c r="D145" s="44"/>
      <c r="E145" s="44"/>
      <c r="F145" s="44"/>
      <c r="G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</row>
    <row r="146" spans="3:46" ht="18" customHeight="1">
      <c r="C146" s="44"/>
      <c r="D146" s="44"/>
      <c r="E146" s="44"/>
      <c r="F146" s="44"/>
      <c r="G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</row>
    <row r="147" spans="3:46" ht="18" customHeight="1">
      <c r="C147" s="44"/>
      <c r="D147" s="44"/>
      <c r="E147" s="44"/>
      <c r="F147" s="44"/>
      <c r="G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</row>
    <row r="148" spans="3:46" ht="18" customHeight="1">
      <c r="C148" s="44"/>
      <c r="D148" s="44"/>
      <c r="E148" s="44"/>
      <c r="F148" s="44"/>
      <c r="G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</row>
    <row r="149" spans="3:46" ht="18" customHeight="1">
      <c r="C149" s="44"/>
      <c r="D149" s="44"/>
      <c r="E149" s="44"/>
      <c r="F149" s="44"/>
      <c r="G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</row>
    <row r="150" spans="3:46" ht="18" customHeight="1">
      <c r="C150" s="44"/>
      <c r="D150" s="44"/>
      <c r="E150" s="44"/>
      <c r="F150" s="44"/>
      <c r="G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</row>
    <row r="151" spans="3:46" ht="18" customHeight="1">
      <c r="C151" s="44"/>
      <c r="D151" s="44"/>
      <c r="E151" s="44"/>
      <c r="F151" s="44"/>
      <c r="G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</row>
    <row r="152" spans="3:46" ht="18" customHeight="1">
      <c r="C152" s="44"/>
      <c r="D152" s="44"/>
      <c r="E152" s="44"/>
      <c r="F152" s="44"/>
      <c r="G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</row>
    <row r="153" spans="3:46" ht="18" customHeight="1">
      <c r="C153" s="44"/>
      <c r="D153" s="44"/>
      <c r="E153" s="44"/>
      <c r="F153" s="44"/>
      <c r="G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</row>
    <row r="154" spans="3:46" ht="18" customHeight="1">
      <c r="C154" s="44"/>
      <c r="D154" s="44"/>
      <c r="E154" s="44"/>
      <c r="F154" s="44"/>
      <c r="G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</row>
    <row r="155" spans="3:46" ht="18" customHeight="1">
      <c r="C155" s="44"/>
      <c r="D155" s="44"/>
      <c r="E155" s="44"/>
      <c r="F155" s="44"/>
      <c r="G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</row>
    <row r="156" spans="3:46" ht="18" customHeight="1">
      <c r="C156" s="44"/>
      <c r="D156" s="44"/>
      <c r="E156" s="44"/>
      <c r="F156" s="44"/>
      <c r="G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</row>
    <row r="157" spans="3:46" ht="18" customHeight="1">
      <c r="C157" s="44"/>
      <c r="D157" s="44"/>
      <c r="E157" s="44"/>
      <c r="F157" s="44"/>
      <c r="G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</row>
    <row r="158" spans="3:46" ht="18" customHeight="1">
      <c r="C158" s="44"/>
      <c r="D158" s="44"/>
      <c r="E158" s="44"/>
      <c r="F158" s="44"/>
      <c r="G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</row>
    <row r="159" spans="3:46" ht="18" customHeight="1">
      <c r="C159" s="44"/>
      <c r="D159" s="44"/>
      <c r="E159" s="44"/>
      <c r="F159" s="44"/>
      <c r="G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</row>
    <row r="160" spans="3:46" ht="18" customHeight="1">
      <c r="C160" s="44"/>
      <c r="D160" s="44"/>
      <c r="E160" s="44"/>
      <c r="F160" s="44"/>
      <c r="G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</row>
    <row r="161" spans="3:46" ht="18" customHeight="1">
      <c r="C161" s="44"/>
      <c r="D161" s="44"/>
      <c r="E161" s="44"/>
      <c r="F161" s="44"/>
      <c r="G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</row>
    <row r="162" spans="3:46" ht="18" customHeight="1">
      <c r="C162" s="44"/>
      <c r="D162" s="44"/>
      <c r="E162" s="44"/>
      <c r="F162" s="44"/>
      <c r="G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</row>
    <row r="163" spans="3:46" ht="18" customHeight="1">
      <c r="C163" s="44"/>
      <c r="D163" s="44"/>
      <c r="E163" s="44"/>
      <c r="F163" s="44"/>
      <c r="G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</row>
    <row r="164" spans="3:46" ht="18" customHeight="1">
      <c r="C164" s="44"/>
      <c r="D164" s="44"/>
      <c r="E164" s="44"/>
      <c r="F164" s="44"/>
      <c r="G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</row>
    <row r="165" spans="3:46" ht="18" customHeight="1">
      <c r="C165" s="44"/>
      <c r="D165" s="44"/>
      <c r="E165" s="44"/>
      <c r="F165" s="44"/>
      <c r="G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</row>
    <row r="166" spans="3:46" ht="18" customHeight="1">
      <c r="C166" s="44"/>
      <c r="D166" s="44"/>
      <c r="E166" s="44"/>
      <c r="F166" s="44"/>
      <c r="G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</row>
    <row r="167" spans="3:46" ht="18" customHeight="1">
      <c r="C167" s="44"/>
      <c r="D167" s="44"/>
      <c r="E167" s="44"/>
      <c r="F167" s="44"/>
      <c r="G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</row>
    <row r="168" spans="3:46" ht="18" customHeight="1">
      <c r="C168" s="44"/>
      <c r="D168" s="44"/>
      <c r="E168" s="44"/>
      <c r="F168" s="44"/>
      <c r="G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</row>
    <row r="169" spans="3:46" ht="18" customHeight="1">
      <c r="C169" s="44"/>
      <c r="D169" s="44"/>
      <c r="E169" s="44"/>
      <c r="F169" s="44"/>
      <c r="G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</row>
    <row r="170" spans="3:46" ht="18" customHeight="1">
      <c r="C170" s="44"/>
      <c r="D170" s="44"/>
      <c r="E170" s="44"/>
      <c r="F170" s="44"/>
      <c r="G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</row>
    <row r="171" spans="3:46" ht="18" customHeight="1">
      <c r="C171" s="44"/>
      <c r="D171" s="44"/>
      <c r="E171" s="44"/>
      <c r="F171" s="44"/>
      <c r="G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</row>
    <row r="172" spans="3:46" ht="18" customHeight="1">
      <c r="C172" s="44"/>
      <c r="D172" s="44"/>
      <c r="E172" s="44"/>
      <c r="F172" s="44"/>
      <c r="G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</row>
    <row r="173" spans="3:46" ht="18" customHeight="1">
      <c r="C173" s="44"/>
      <c r="D173" s="44"/>
      <c r="E173" s="44"/>
      <c r="F173" s="44"/>
      <c r="G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</row>
    <row r="174" spans="3:46" ht="18" customHeight="1">
      <c r="C174" s="44"/>
      <c r="D174" s="44"/>
      <c r="E174" s="44"/>
      <c r="F174" s="44"/>
      <c r="G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</row>
    <row r="175" spans="3:46" ht="18" customHeight="1">
      <c r="C175" s="44"/>
      <c r="D175" s="44"/>
      <c r="E175" s="44"/>
      <c r="F175" s="44"/>
      <c r="G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</row>
    <row r="176" spans="3:46" ht="18" customHeight="1">
      <c r="C176" s="44"/>
      <c r="D176" s="44"/>
      <c r="E176" s="44"/>
      <c r="F176" s="44"/>
      <c r="G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</row>
    <row r="177" spans="3:46" ht="18" customHeight="1">
      <c r="C177" s="44"/>
      <c r="D177" s="44"/>
      <c r="E177" s="44"/>
      <c r="F177" s="44"/>
      <c r="G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</row>
    <row r="178" spans="3:46" ht="18" customHeight="1">
      <c r="C178" s="44"/>
      <c r="D178" s="44"/>
      <c r="E178" s="44"/>
      <c r="F178" s="44"/>
      <c r="G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</row>
    <row r="179" spans="3:46" ht="18" customHeight="1">
      <c r="C179" s="44"/>
      <c r="D179" s="44"/>
      <c r="E179" s="44"/>
      <c r="F179" s="44"/>
      <c r="G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</row>
    <row r="180" spans="3:46" ht="18" customHeight="1">
      <c r="C180" s="44"/>
      <c r="D180" s="44"/>
      <c r="E180" s="44"/>
      <c r="F180" s="44"/>
      <c r="G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</row>
    <row r="181" spans="3:46" ht="18" customHeight="1">
      <c r="C181" s="44"/>
      <c r="D181" s="44"/>
      <c r="E181" s="44"/>
      <c r="F181" s="44"/>
      <c r="G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</row>
    <row r="182" spans="3:46" ht="18" customHeight="1">
      <c r="C182" s="44"/>
      <c r="D182" s="44"/>
      <c r="E182" s="44"/>
      <c r="F182" s="44"/>
      <c r="G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</row>
    <row r="183" spans="3:46" ht="18" customHeight="1">
      <c r="C183" s="44"/>
      <c r="D183" s="44"/>
      <c r="E183" s="44"/>
      <c r="F183" s="44"/>
      <c r="G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</row>
    <row r="184" spans="3:46" ht="18" customHeight="1">
      <c r="C184" s="44"/>
      <c r="D184" s="44"/>
      <c r="E184" s="44"/>
      <c r="F184" s="44"/>
      <c r="G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</row>
    <row r="185" spans="3:46" ht="18" customHeight="1">
      <c r="C185" s="44"/>
      <c r="D185" s="44"/>
      <c r="E185" s="44"/>
      <c r="F185" s="44"/>
      <c r="G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</row>
    <row r="186" spans="3:46" ht="18" customHeight="1">
      <c r="C186" s="44"/>
      <c r="D186" s="44"/>
      <c r="E186" s="44"/>
      <c r="F186" s="44"/>
      <c r="G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</row>
    <row r="187" spans="3:46" ht="18" customHeight="1">
      <c r="C187" s="44"/>
      <c r="D187" s="44"/>
      <c r="E187" s="44"/>
      <c r="F187" s="44"/>
      <c r="G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</row>
    <row r="188" spans="3:46" ht="18" customHeight="1">
      <c r="C188" s="44"/>
      <c r="D188" s="44"/>
      <c r="E188" s="44"/>
      <c r="F188" s="44"/>
      <c r="G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</row>
    <row r="189" spans="3:46" ht="18" customHeight="1">
      <c r="C189" s="44"/>
      <c r="D189" s="44"/>
      <c r="E189" s="44"/>
      <c r="F189" s="44"/>
      <c r="G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</row>
    <row r="190" spans="3:46" ht="18" customHeight="1">
      <c r="C190" s="44"/>
      <c r="D190" s="44"/>
      <c r="E190" s="44"/>
      <c r="F190" s="44"/>
      <c r="G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</row>
    <row r="191" spans="3:46" ht="18" customHeight="1">
      <c r="C191" s="44"/>
      <c r="D191" s="44"/>
      <c r="E191" s="44"/>
      <c r="F191" s="44"/>
      <c r="G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</row>
    <row r="192" spans="3:46" ht="18" customHeight="1">
      <c r="C192" s="44"/>
      <c r="D192" s="44"/>
      <c r="E192" s="44"/>
      <c r="F192" s="44"/>
      <c r="G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</row>
    <row r="193" spans="3:46" ht="18" customHeight="1">
      <c r="C193" s="44"/>
      <c r="D193" s="44"/>
      <c r="E193" s="44"/>
      <c r="F193" s="44"/>
      <c r="G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</row>
    <row r="194" spans="3:46" ht="18" customHeight="1">
      <c r="C194" s="44"/>
      <c r="D194" s="44"/>
      <c r="E194" s="44"/>
      <c r="F194" s="44"/>
      <c r="G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</row>
    <row r="195" spans="3:46" ht="18" customHeight="1">
      <c r="C195" s="44"/>
      <c r="D195" s="44"/>
      <c r="E195" s="44"/>
      <c r="F195" s="44"/>
      <c r="G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</row>
    <row r="196" spans="3:46" ht="18" customHeight="1">
      <c r="C196" s="44"/>
      <c r="D196" s="44"/>
      <c r="E196" s="44"/>
      <c r="F196" s="44"/>
      <c r="G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</row>
    <row r="197" spans="3:46" ht="18" customHeight="1">
      <c r="C197" s="44"/>
      <c r="D197" s="44"/>
      <c r="E197" s="44"/>
      <c r="F197" s="44"/>
      <c r="G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</row>
    <row r="198" spans="3:46" ht="18" customHeight="1">
      <c r="C198" s="44"/>
      <c r="D198" s="44"/>
      <c r="E198" s="44"/>
      <c r="F198" s="44"/>
      <c r="G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</row>
    <row r="199" spans="3:46" ht="18" customHeight="1">
      <c r="C199" s="44"/>
      <c r="D199" s="44"/>
      <c r="E199" s="44"/>
      <c r="F199" s="44"/>
      <c r="G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</row>
    <row r="200" spans="3:46" ht="18" customHeight="1">
      <c r="C200" s="44"/>
      <c r="D200" s="44"/>
      <c r="E200" s="44"/>
      <c r="F200" s="44"/>
      <c r="G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</row>
    <row r="201" spans="3:46" ht="18" customHeight="1">
      <c r="C201" s="44"/>
      <c r="D201" s="44"/>
      <c r="E201" s="44"/>
      <c r="F201" s="44"/>
      <c r="G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</row>
    <row r="202" spans="3:46" ht="18" customHeight="1">
      <c r="C202" s="44"/>
      <c r="D202" s="44"/>
      <c r="E202" s="44"/>
      <c r="F202" s="44"/>
      <c r="G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</row>
    <row r="203" spans="3:46" ht="18" customHeight="1">
      <c r="C203" s="44"/>
      <c r="D203" s="44"/>
      <c r="E203" s="44"/>
      <c r="F203" s="44"/>
      <c r="G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</row>
    <row r="204" spans="3:46" ht="18" customHeight="1">
      <c r="C204" s="44"/>
      <c r="D204" s="44"/>
      <c r="E204" s="44"/>
      <c r="F204" s="44"/>
      <c r="G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</row>
    <row r="205" spans="3:46" ht="18" customHeight="1">
      <c r="C205" s="44"/>
      <c r="D205" s="44"/>
      <c r="E205" s="44"/>
      <c r="F205" s="44"/>
      <c r="G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</row>
    <row r="206" spans="3:46" ht="18" customHeight="1">
      <c r="C206" s="44"/>
      <c r="D206" s="44"/>
      <c r="E206" s="44"/>
      <c r="F206" s="44"/>
      <c r="G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</row>
    <row r="207" spans="3:46" ht="18" customHeight="1">
      <c r="C207" s="44"/>
      <c r="D207" s="44"/>
      <c r="E207" s="44"/>
      <c r="F207" s="44"/>
      <c r="G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</row>
    <row r="208" spans="3:46" ht="18" customHeight="1">
      <c r="C208" s="44"/>
      <c r="D208" s="44"/>
      <c r="E208" s="44"/>
      <c r="F208" s="44"/>
      <c r="G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</row>
    <row r="209" spans="3:46" ht="18" customHeight="1">
      <c r="C209" s="44"/>
      <c r="D209" s="44"/>
      <c r="E209" s="44"/>
      <c r="F209" s="44"/>
      <c r="G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</row>
    <row r="210" spans="3:46" ht="18" customHeight="1">
      <c r="C210" s="44"/>
      <c r="D210" s="44"/>
      <c r="E210" s="44"/>
      <c r="F210" s="44"/>
      <c r="G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</row>
    <row r="211" spans="3:46" ht="18" customHeight="1">
      <c r="C211" s="44"/>
      <c r="D211" s="44"/>
      <c r="E211" s="44"/>
      <c r="F211" s="44"/>
      <c r="G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</row>
    <row r="212" spans="3:46" ht="18" customHeight="1">
      <c r="C212" s="44"/>
      <c r="D212" s="44"/>
      <c r="E212" s="44"/>
      <c r="F212" s="44"/>
      <c r="G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</row>
    <row r="213" spans="3:46" ht="18" customHeight="1">
      <c r="C213" s="44"/>
      <c r="D213" s="44"/>
      <c r="E213" s="44"/>
      <c r="F213" s="44"/>
      <c r="G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</row>
    <row r="214" spans="3:46" ht="18" customHeight="1">
      <c r="C214" s="44"/>
      <c r="D214" s="44"/>
      <c r="E214" s="44"/>
      <c r="F214" s="44"/>
      <c r="G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</row>
    <row r="215" spans="3:46" ht="18" customHeight="1">
      <c r="C215" s="44"/>
      <c r="D215" s="44"/>
      <c r="E215" s="44"/>
      <c r="F215" s="44"/>
      <c r="G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</row>
    <row r="216" spans="3:46" ht="18" customHeight="1">
      <c r="C216" s="44"/>
      <c r="D216" s="44"/>
      <c r="E216" s="44"/>
      <c r="F216" s="44"/>
      <c r="G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</row>
    <row r="217" spans="3:46" ht="18" customHeight="1">
      <c r="C217" s="44"/>
      <c r="D217" s="44"/>
      <c r="E217" s="44"/>
      <c r="F217" s="44"/>
      <c r="G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</row>
    <row r="218" spans="3:46" ht="18" customHeight="1">
      <c r="C218" s="44"/>
      <c r="D218" s="44"/>
      <c r="E218" s="44"/>
      <c r="F218" s="44"/>
      <c r="G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</row>
    <row r="219" spans="3:46" ht="18" customHeight="1">
      <c r="C219" s="44"/>
      <c r="D219" s="44"/>
      <c r="E219" s="44"/>
      <c r="F219" s="44"/>
      <c r="G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</row>
    <row r="220" spans="3:46" ht="18" customHeight="1">
      <c r="C220" s="44"/>
      <c r="D220" s="44"/>
      <c r="E220" s="44"/>
      <c r="F220" s="44"/>
      <c r="G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</row>
    <row r="221" spans="3:46" ht="18" customHeight="1">
      <c r="C221" s="44"/>
      <c r="D221" s="44"/>
      <c r="E221" s="44"/>
      <c r="F221" s="44"/>
      <c r="G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</row>
    <row r="222" spans="3:46" ht="18" customHeight="1">
      <c r="C222" s="44"/>
      <c r="D222" s="44"/>
      <c r="E222" s="44"/>
      <c r="F222" s="44"/>
      <c r="G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</row>
    <row r="223" spans="3:46" ht="18" customHeight="1">
      <c r="C223" s="44"/>
      <c r="D223" s="44"/>
      <c r="E223" s="44"/>
      <c r="F223" s="44"/>
      <c r="G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</row>
    <row r="224" spans="3:46" ht="18" customHeight="1">
      <c r="C224" s="44"/>
      <c r="D224" s="44"/>
      <c r="E224" s="44"/>
      <c r="F224" s="44"/>
      <c r="G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</row>
    <row r="225" spans="3:46" ht="18" customHeight="1">
      <c r="C225" s="44"/>
      <c r="D225" s="44"/>
      <c r="E225" s="44"/>
      <c r="F225" s="44"/>
      <c r="G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</row>
    <row r="226" spans="3:46" ht="18" customHeight="1">
      <c r="C226" s="44"/>
      <c r="D226" s="44"/>
      <c r="E226" s="44"/>
      <c r="F226" s="44"/>
      <c r="G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</row>
    <row r="227" spans="3:46" ht="18" customHeight="1">
      <c r="C227" s="44"/>
      <c r="D227" s="44"/>
      <c r="E227" s="44"/>
      <c r="F227" s="44"/>
      <c r="G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</row>
    <row r="228" spans="3:46" ht="18" customHeight="1">
      <c r="C228" s="44"/>
      <c r="D228" s="44"/>
      <c r="E228" s="44"/>
      <c r="F228" s="44"/>
      <c r="G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</row>
    <row r="229" spans="3:46" ht="18" customHeight="1">
      <c r="C229" s="44"/>
      <c r="D229" s="44"/>
      <c r="E229" s="44"/>
      <c r="F229" s="44"/>
      <c r="G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</row>
    <row r="230" spans="3:46" ht="18" customHeight="1">
      <c r="C230" s="44"/>
      <c r="D230" s="44"/>
      <c r="E230" s="44"/>
      <c r="F230" s="44"/>
      <c r="G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</row>
    <row r="231" spans="3:46" ht="18" customHeight="1">
      <c r="C231" s="44"/>
      <c r="D231" s="44"/>
      <c r="E231" s="44"/>
      <c r="F231" s="44"/>
      <c r="G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</row>
    <row r="232" spans="3:46" ht="18" customHeight="1">
      <c r="C232" s="44"/>
      <c r="D232" s="44"/>
      <c r="E232" s="44"/>
      <c r="F232" s="44"/>
      <c r="G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</row>
    <row r="233" spans="3:46" ht="18" customHeight="1">
      <c r="C233" s="44"/>
      <c r="D233" s="44"/>
      <c r="E233" s="44"/>
      <c r="F233" s="44"/>
      <c r="G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</row>
    <row r="234" spans="3:46" ht="18" customHeight="1">
      <c r="C234" s="44"/>
      <c r="D234" s="44"/>
      <c r="E234" s="44"/>
      <c r="F234" s="44"/>
      <c r="G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</row>
    <row r="235" spans="3:46" ht="18" customHeight="1">
      <c r="C235" s="44"/>
      <c r="D235" s="44"/>
      <c r="E235" s="44"/>
      <c r="F235" s="44"/>
      <c r="G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</row>
    <row r="236" spans="3:46" ht="18" customHeight="1">
      <c r="C236" s="44"/>
      <c r="D236" s="44"/>
      <c r="E236" s="44"/>
      <c r="F236" s="44"/>
      <c r="G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</row>
    <row r="237" spans="3:46" ht="18" customHeight="1">
      <c r="C237" s="44"/>
      <c r="D237" s="44"/>
      <c r="E237" s="44"/>
      <c r="F237" s="44"/>
      <c r="G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</row>
    <row r="238" spans="3:46" ht="18" customHeight="1">
      <c r="C238" s="44"/>
      <c r="D238" s="44"/>
      <c r="E238" s="44"/>
      <c r="F238" s="44"/>
      <c r="G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</row>
    <row r="239" spans="3:46" ht="18" customHeight="1">
      <c r="C239" s="44"/>
      <c r="D239" s="44"/>
      <c r="E239" s="44"/>
      <c r="F239" s="44"/>
      <c r="G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</row>
    <row r="240" spans="3:46" ht="18" customHeight="1">
      <c r="C240" s="44"/>
      <c r="D240" s="44"/>
      <c r="E240" s="44"/>
      <c r="F240" s="44"/>
      <c r="G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</row>
    <row r="241" spans="3:46" ht="18" customHeight="1">
      <c r="C241" s="44"/>
      <c r="D241" s="44"/>
      <c r="E241" s="44"/>
      <c r="F241" s="44"/>
      <c r="G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</row>
    <row r="242" spans="3:46" ht="18" customHeight="1">
      <c r="C242" s="44"/>
      <c r="D242" s="44"/>
      <c r="E242" s="44"/>
      <c r="F242" s="44"/>
      <c r="G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</row>
    <row r="243" spans="3:46" ht="18" customHeight="1">
      <c r="C243" s="44"/>
      <c r="D243" s="44"/>
      <c r="E243" s="44"/>
      <c r="F243" s="44"/>
      <c r="G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</row>
    <row r="244" spans="3:46" ht="18" customHeight="1">
      <c r="C244" s="44"/>
      <c r="D244" s="44"/>
      <c r="E244" s="44"/>
      <c r="F244" s="44"/>
      <c r="G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</row>
    <row r="245" spans="3:46" ht="18" customHeight="1">
      <c r="C245" s="44"/>
      <c r="D245" s="44"/>
      <c r="E245" s="44"/>
      <c r="F245" s="44"/>
      <c r="G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</row>
    <row r="246" spans="3:46" ht="18" customHeight="1">
      <c r="C246" s="44"/>
      <c r="D246" s="44"/>
      <c r="E246" s="44"/>
      <c r="F246" s="44"/>
      <c r="G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</row>
    <row r="247" spans="3:46" ht="18" customHeight="1">
      <c r="C247" s="44"/>
      <c r="D247" s="44"/>
      <c r="E247" s="44"/>
      <c r="F247" s="44"/>
      <c r="G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</row>
    <row r="248" spans="3:46" ht="18" customHeight="1">
      <c r="C248" s="44"/>
      <c r="D248" s="44"/>
      <c r="E248" s="44"/>
      <c r="F248" s="44"/>
      <c r="G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</row>
    <row r="249" spans="3:46" ht="18" customHeight="1">
      <c r="C249" s="44"/>
      <c r="D249" s="44"/>
      <c r="E249" s="44"/>
      <c r="F249" s="44"/>
      <c r="G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</row>
    <row r="250" spans="3:46" ht="18" customHeight="1">
      <c r="C250" s="44"/>
      <c r="D250" s="44"/>
      <c r="E250" s="44"/>
      <c r="F250" s="44"/>
      <c r="G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</row>
    <row r="251" spans="3:46" ht="18" customHeight="1">
      <c r="C251" s="44"/>
      <c r="D251" s="44"/>
      <c r="E251" s="44"/>
      <c r="F251" s="44"/>
      <c r="G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</row>
    <row r="252" spans="3:46" ht="18" customHeight="1">
      <c r="C252" s="44"/>
      <c r="D252" s="44"/>
      <c r="E252" s="44"/>
      <c r="F252" s="44"/>
      <c r="G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</row>
    <row r="253" spans="3:46" ht="18" customHeight="1">
      <c r="C253" s="44"/>
      <c r="D253" s="44"/>
      <c r="E253" s="44"/>
      <c r="F253" s="44"/>
      <c r="G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</row>
    <row r="254" spans="3:46" ht="18" customHeight="1">
      <c r="C254" s="44"/>
      <c r="D254" s="44"/>
      <c r="E254" s="44"/>
      <c r="F254" s="44"/>
      <c r="G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</row>
    <row r="255" spans="3:46" ht="18" customHeight="1">
      <c r="C255" s="44"/>
      <c r="D255" s="44"/>
      <c r="E255" s="44"/>
      <c r="F255" s="44"/>
      <c r="G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</row>
    <row r="256" spans="3:46" ht="18" customHeight="1">
      <c r="C256" s="44"/>
      <c r="D256" s="44"/>
      <c r="E256" s="44"/>
      <c r="F256" s="44"/>
      <c r="G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</row>
    <row r="257" spans="3:46" ht="18" customHeight="1">
      <c r="C257" s="44"/>
      <c r="D257" s="44"/>
      <c r="E257" s="44"/>
      <c r="F257" s="44"/>
      <c r="G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</row>
    <row r="258" spans="3:46" ht="18" customHeight="1">
      <c r="C258" s="44"/>
      <c r="D258" s="44"/>
      <c r="E258" s="44"/>
      <c r="F258" s="44"/>
      <c r="G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</row>
    <row r="259" spans="3:46" ht="18" customHeight="1">
      <c r="C259" s="44"/>
      <c r="D259" s="44"/>
      <c r="E259" s="44"/>
      <c r="F259" s="44"/>
      <c r="G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</row>
    <row r="260" spans="3:46" ht="18" customHeight="1">
      <c r="C260" s="44"/>
      <c r="D260" s="44"/>
      <c r="E260" s="44"/>
      <c r="F260" s="44"/>
      <c r="G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</row>
    <row r="261" spans="3:46" ht="18" customHeight="1">
      <c r="C261" s="44"/>
      <c r="D261" s="44"/>
      <c r="E261" s="44"/>
      <c r="F261" s="44"/>
      <c r="G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</row>
    <row r="262" spans="3:46" ht="18" customHeight="1">
      <c r="C262" s="44"/>
      <c r="D262" s="44"/>
      <c r="E262" s="44"/>
      <c r="F262" s="44"/>
      <c r="G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</row>
    <row r="263" spans="3:46" ht="18" customHeight="1">
      <c r="C263" s="44"/>
      <c r="D263" s="44"/>
      <c r="E263" s="44"/>
      <c r="F263" s="44"/>
      <c r="G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</row>
    <row r="264" spans="3:46" ht="18" customHeight="1">
      <c r="C264" s="44"/>
      <c r="D264" s="44"/>
      <c r="E264" s="44"/>
      <c r="F264" s="44"/>
      <c r="G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</row>
    <row r="265" spans="3:46" ht="18" customHeight="1">
      <c r="C265" s="44"/>
      <c r="D265" s="44"/>
      <c r="E265" s="44"/>
      <c r="F265" s="44"/>
      <c r="G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</row>
    <row r="266" spans="3:46" ht="18" customHeight="1">
      <c r="C266" s="44"/>
      <c r="D266" s="44"/>
      <c r="E266" s="44"/>
      <c r="F266" s="44"/>
      <c r="G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</row>
    <row r="267" spans="3:46" ht="18" customHeight="1">
      <c r="C267" s="44"/>
      <c r="D267" s="44"/>
      <c r="E267" s="44"/>
      <c r="F267" s="44"/>
      <c r="G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</row>
    <row r="268" spans="3:46" ht="18" customHeight="1">
      <c r="C268" s="44"/>
      <c r="D268" s="44"/>
      <c r="E268" s="44"/>
      <c r="F268" s="44"/>
      <c r="G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</row>
    <row r="269" spans="3:46" ht="18" customHeight="1">
      <c r="C269" s="44"/>
      <c r="D269" s="44"/>
      <c r="E269" s="44"/>
      <c r="F269" s="44"/>
      <c r="G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</row>
    <row r="270" spans="3:46" ht="18" customHeight="1">
      <c r="C270" s="44"/>
      <c r="D270" s="44"/>
      <c r="E270" s="44"/>
      <c r="F270" s="44"/>
      <c r="G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</row>
    <row r="271" spans="3:46" ht="18" customHeight="1">
      <c r="C271" s="44"/>
      <c r="D271" s="44"/>
      <c r="E271" s="44"/>
      <c r="F271" s="44"/>
      <c r="G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</row>
    <row r="272" spans="3:46" ht="18" customHeight="1">
      <c r="C272" s="44"/>
      <c r="D272" s="44"/>
      <c r="E272" s="44"/>
      <c r="F272" s="44"/>
      <c r="G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</row>
    <row r="273" spans="3:46" ht="18" customHeight="1">
      <c r="C273" s="44"/>
      <c r="D273" s="44"/>
      <c r="E273" s="44"/>
      <c r="F273" s="44"/>
      <c r="G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</row>
    <row r="274" spans="3:46" ht="18" customHeight="1">
      <c r="C274" s="44"/>
      <c r="D274" s="44"/>
      <c r="E274" s="44"/>
      <c r="F274" s="44"/>
      <c r="G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</row>
    <row r="275" spans="3:46" ht="18" customHeight="1">
      <c r="C275" s="44"/>
      <c r="D275" s="44"/>
      <c r="E275" s="44"/>
      <c r="F275" s="44"/>
      <c r="G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</row>
    <row r="276" spans="3:46" ht="18" customHeight="1">
      <c r="C276" s="44"/>
      <c r="D276" s="44"/>
      <c r="E276" s="44"/>
      <c r="F276" s="44"/>
      <c r="G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</row>
    <row r="277" spans="3:46" ht="18" customHeight="1">
      <c r="C277" s="44"/>
      <c r="D277" s="44"/>
      <c r="E277" s="44"/>
      <c r="F277" s="44"/>
      <c r="G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</row>
    <row r="278" spans="3:46" ht="18" customHeight="1">
      <c r="C278" s="44"/>
      <c r="D278" s="44"/>
      <c r="E278" s="44"/>
      <c r="F278" s="44"/>
      <c r="G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</row>
    <row r="279" spans="3:46" ht="18" customHeight="1">
      <c r="C279" s="44"/>
      <c r="D279" s="44"/>
      <c r="E279" s="44"/>
      <c r="F279" s="44"/>
      <c r="G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</row>
    <row r="280" spans="3:46" ht="18" customHeight="1">
      <c r="C280" s="44"/>
      <c r="D280" s="44"/>
      <c r="E280" s="44"/>
      <c r="F280" s="44"/>
      <c r="G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</row>
    <row r="281" spans="3:46" ht="18" customHeight="1">
      <c r="C281" s="44"/>
      <c r="D281" s="44"/>
      <c r="E281" s="44"/>
      <c r="F281" s="44"/>
      <c r="G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</row>
    <row r="282" spans="3:46" ht="18" customHeight="1">
      <c r="C282" s="44"/>
      <c r="D282" s="44"/>
      <c r="E282" s="44"/>
      <c r="F282" s="44"/>
      <c r="G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</row>
    <row r="283" spans="3:46" ht="18" customHeight="1">
      <c r="C283" s="44"/>
      <c r="D283" s="44"/>
      <c r="E283" s="44"/>
      <c r="F283" s="44"/>
      <c r="G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</row>
    <row r="284" spans="3:46" ht="18" customHeight="1">
      <c r="C284" s="44"/>
      <c r="D284" s="44"/>
      <c r="E284" s="44"/>
      <c r="F284" s="44"/>
      <c r="G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</row>
    <row r="285" spans="3:46" ht="18" customHeight="1">
      <c r="C285" s="44"/>
      <c r="D285" s="44"/>
      <c r="E285" s="44"/>
      <c r="F285" s="44"/>
      <c r="G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</row>
    <row r="286" spans="3:46" ht="18" customHeight="1">
      <c r="C286" s="44"/>
      <c r="D286" s="44"/>
      <c r="E286" s="44"/>
      <c r="F286" s="44"/>
      <c r="G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</row>
    <row r="287" spans="3:46" ht="18" customHeight="1">
      <c r="C287" s="44"/>
      <c r="D287" s="44"/>
      <c r="E287" s="44"/>
      <c r="F287" s="44"/>
      <c r="G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</row>
    <row r="288" spans="3:46" ht="18" customHeight="1">
      <c r="C288" s="44"/>
      <c r="D288" s="44"/>
      <c r="E288" s="44"/>
      <c r="F288" s="44"/>
      <c r="G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</row>
    <row r="289" spans="3:46" ht="18" customHeight="1">
      <c r="C289" s="44"/>
      <c r="D289" s="44"/>
      <c r="E289" s="44"/>
      <c r="F289" s="44"/>
      <c r="G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</row>
    <row r="290" spans="3:46" ht="18" customHeight="1">
      <c r="C290" s="44"/>
      <c r="D290" s="44"/>
      <c r="E290" s="44"/>
      <c r="F290" s="44"/>
      <c r="G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</row>
    <row r="291" spans="3:46" ht="18" customHeight="1">
      <c r="C291" s="44"/>
      <c r="D291" s="44"/>
      <c r="E291" s="44"/>
      <c r="F291" s="44"/>
      <c r="G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</row>
    <row r="292" spans="3:46" ht="18" customHeight="1">
      <c r="C292" s="44"/>
      <c r="D292" s="44"/>
      <c r="E292" s="44"/>
      <c r="F292" s="44"/>
      <c r="G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</row>
    <row r="293" spans="3:46" ht="18" customHeight="1">
      <c r="C293" s="44"/>
      <c r="D293" s="44"/>
      <c r="E293" s="44"/>
      <c r="F293" s="44"/>
      <c r="G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</row>
    <row r="294" spans="3:46" ht="18" customHeight="1">
      <c r="C294" s="44"/>
      <c r="D294" s="44"/>
      <c r="E294" s="44"/>
      <c r="F294" s="44"/>
      <c r="G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</row>
    <row r="295" spans="3:46" ht="18" customHeight="1">
      <c r="C295" s="44"/>
      <c r="D295" s="44"/>
      <c r="E295" s="44"/>
      <c r="F295" s="44"/>
      <c r="G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</row>
    <row r="296" spans="3:46" ht="18" customHeight="1">
      <c r="C296" s="44"/>
      <c r="D296" s="44"/>
      <c r="E296" s="44"/>
      <c r="F296" s="44"/>
      <c r="G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</row>
    <row r="297" spans="3:46" ht="18" customHeight="1">
      <c r="C297" s="44"/>
      <c r="D297" s="44"/>
      <c r="E297" s="44"/>
      <c r="F297" s="44"/>
      <c r="G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</row>
    <row r="298" spans="3:46" ht="18" customHeight="1">
      <c r="C298" s="44"/>
      <c r="D298" s="44"/>
      <c r="E298" s="44"/>
      <c r="F298" s="44"/>
      <c r="G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</row>
    <row r="299" spans="3:46" ht="18" customHeight="1">
      <c r="C299" s="44"/>
      <c r="D299" s="44"/>
      <c r="E299" s="44"/>
      <c r="F299" s="44"/>
      <c r="G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</row>
    <row r="300" spans="3:46" ht="18" customHeight="1">
      <c r="C300" s="44"/>
      <c r="D300" s="44"/>
      <c r="E300" s="44"/>
      <c r="F300" s="44"/>
      <c r="G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</row>
    <row r="301" spans="3:46" ht="18" customHeight="1">
      <c r="C301" s="44"/>
      <c r="D301" s="44"/>
      <c r="E301" s="44"/>
      <c r="F301" s="44"/>
      <c r="G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</row>
    <row r="302" spans="3:46" ht="18" customHeight="1">
      <c r="C302" s="44"/>
      <c r="D302" s="44"/>
      <c r="E302" s="44"/>
      <c r="F302" s="44"/>
      <c r="G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</row>
    <row r="303" spans="3:46" ht="18" customHeight="1">
      <c r="C303" s="44"/>
      <c r="D303" s="44"/>
      <c r="E303" s="44"/>
      <c r="F303" s="44"/>
      <c r="G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</row>
    <row r="304" spans="3:46" ht="18" customHeight="1">
      <c r="C304" s="44"/>
      <c r="D304" s="44"/>
      <c r="E304" s="44"/>
      <c r="F304" s="44"/>
      <c r="G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</row>
    <row r="305" spans="3:46" ht="18" customHeight="1">
      <c r="C305" s="44"/>
      <c r="D305" s="44"/>
      <c r="E305" s="44"/>
      <c r="F305" s="44"/>
      <c r="G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</row>
    <row r="306" spans="3:46" ht="18" customHeight="1">
      <c r="C306" s="44"/>
      <c r="D306" s="44"/>
      <c r="E306" s="44"/>
      <c r="F306" s="44"/>
      <c r="G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</row>
    <row r="307" spans="3:46" ht="18" customHeight="1">
      <c r="C307" s="44"/>
      <c r="D307" s="44"/>
      <c r="E307" s="44"/>
      <c r="F307" s="44"/>
      <c r="G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</row>
    <row r="308" spans="3:46" ht="18" customHeight="1">
      <c r="C308" s="44"/>
      <c r="D308" s="44"/>
      <c r="E308" s="44"/>
      <c r="F308" s="44"/>
      <c r="G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</row>
    <row r="309" spans="3:46" ht="18" customHeight="1">
      <c r="C309" s="44"/>
      <c r="D309" s="44"/>
      <c r="E309" s="44"/>
      <c r="F309" s="44"/>
      <c r="G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</row>
    <row r="310" spans="3:46" ht="18" customHeight="1">
      <c r="C310" s="44"/>
      <c r="D310" s="44"/>
      <c r="E310" s="44"/>
      <c r="F310" s="44"/>
      <c r="G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</row>
    <row r="311" spans="3:46" ht="18" customHeight="1">
      <c r="C311" s="44"/>
      <c r="D311" s="44"/>
      <c r="E311" s="44"/>
      <c r="F311" s="44"/>
      <c r="G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</row>
    <row r="312" spans="3:46" ht="18" customHeight="1">
      <c r="C312" s="44"/>
      <c r="D312" s="44"/>
      <c r="E312" s="44"/>
      <c r="F312" s="44"/>
      <c r="G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</row>
    <row r="313" spans="3:46" ht="18" customHeight="1">
      <c r="C313" s="44"/>
      <c r="D313" s="44"/>
      <c r="E313" s="44"/>
      <c r="F313" s="44"/>
      <c r="G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</row>
    <row r="314" spans="3:46" ht="18" customHeight="1">
      <c r="C314" s="44"/>
      <c r="D314" s="44"/>
      <c r="E314" s="44"/>
      <c r="F314" s="44"/>
      <c r="G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</row>
    <row r="315" spans="3:46" ht="18" customHeight="1">
      <c r="C315" s="44"/>
      <c r="D315" s="44"/>
      <c r="E315" s="44"/>
      <c r="F315" s="44"/>
      <c r="G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</row>
    <row r="316" spans="3:46" ht="18" customHeight="1">
      <c r="C316" s="44"/>
      <c r="D316" s="44"/>
      <c r="E316" s="44"/>
      <c r="F316" s="44"/>
      <c r="G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</row>
    <row r="317" spans="3:46" ht="18" customHeight="1">
      <c r="C317" s="44"/>
      <c r="D317" s="44"/>
      <c r="E317" s="44"/>
      <c r="F317" s="44"/>
      <c r="G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</row>
    <row r="318" spans="3:46" ht="18" customHeight="1">
      <c r="C318" s="44"/>
      <c r="D318" s="44"/>
      <c r="E318" s="44"/>
      <c r="F318" s="44"/>
      <c r="G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</row>
    <row r="319" spans="3:46" ht="18" customHeight="1">
      <c r="C319" s="44"/>
      <c r="D319" s="44"/>
      <c r="E319" s="44"/>
      <c r="F319" s="44"/>
      <c r="G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</row>
    <row r="320" spans="3:46" ht="18" customHeight="1">
      <c r="C320" s="44"/>
      <c r="D320" s="44"/>
      <c r="E320" s="44"/>
      <c r="F320" s="44"/>
      <c r="G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</row>
    <row r="321" spans="3:46" ht="18" customHeight="1">
      <c r="C321" s="44"/>
      <c r="D321" s="44"/>
      <c r="E321" s="44"/>
      <c r="F321" s="44"/>
      <c r="G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</row>
    <row r="322" spans="3:46" ht="18" customHeight="1">
      <c r="C322" s="44"/>
      <c r="D322" s="44"/>
      <c r="E322" s="44"/>
      <c r="F322" s="44"/>
      <c r="G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</row>
    <row r="323" spans="3:46" ht="18" customHeight="1">
      <c r="C323" s="44"/>
      <c r="D323" s="44"/>
      <c r="E323" s="44"/>
      <c r="F323" s="44"/>
      <c r="G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</row>
    <row r="324" spans="3:46" ht="18" customHeight="1">
      <c r="C324" s="44"/>
      <c r="D324" s="44"/>
      <c r="E324" s="44"/>
      <c r="F324" s="44"/>
      <c r="G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</row>
    <row r="325" spans="3:46" ht="18" customHeight="1">
      <c r="C325" s="44"/>
      <c r="D325" s="44"/>
      <c r="E325" s="44"/>
      <c r="F325" s="44"/>
      <c r="G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</row>
    <row r="326" spans="3:46" ht="18" customHeight="1">
      <c r="C326" s="44"/>
      <c r="D326" s="44"/>
      <c r="E326" s="44"/>
      <c r="F326" s="44"/>
      <c r="G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</row>
    <row r="327" spans="3:46" ht="18" customHeight="1">
      <c r="C327" s="44"/>
      <c r="D327" s="44"/>
      <c r="E327" s="44"/>
      <c r="F327" s="44"/>
      <c r="G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</row>
    <row r="328" spans="3:46" ht="18" customHeight="1">
      <c r="C328" s="44"/>
      <c r="D328" s="44"/>
      <c r="E328" s="44"/>
      <c r="F328" s="44"/>
      <c r="G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</row>
    <row r="329" spans="3:46" ht="18" customHeight="1">
      <c r="C329" s="44"/>
      <c r="D329" s="44"/>
      <c r="E329" s="44"/>
      <c r="F329" s="44"/>
      <c r="G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</row>
    <row r="330" spans="3:46" ht="18" customHeight="1">
      <c r="C330" s="44"/>
      <c r="D330" s="44"/>
      <c r="E330" s="44"/>
      <c r="F330" s="44"/>
      <c r="G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</row>
    <row r="331" spans="3:46" ht="18" customHeight="1">
      <c r="C331" s="44"/>
      <c r="D331" s="44"/>
      <c r="E331" s="44"/>
      <c r="F331" s="44"/>
      <c r="G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</row>
    <row r="332" spans="3:46" ht="18" customHeight="1">
      <c r="C332" s="44"/>
      <c r="D332" s="44"/>
      <c r="E332" s="44"/>
      <c r="F332" s="44"/>
      <c r="G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</row>
    <row r="333" spans="3:46" ht="18" customHeight="1">
      <c r="C333" s="44"/>
      <c r="D333" s="44"/>
      <c r="E333" s="44"/>
      <c r="F333" s="44"/>
      <c r="G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</row>
    <row r="334" spans="3:46" ht="18" customHeight="1">
      <c r="C334" s="44"/>
      <c r="D334" s="44"/>
      <c r="E334" s="44"/>
      <c r="F334" s="44"/>
      <c r="G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</row>
    <row r="335" spans="3:46" ht="18" customHeight="1">
      <c r="C335" s="44"/>
      <c r="D335" s="44"/>
      <c r="E335" s="44"/>
      <c r="F335" s="44"/>
      <c r="G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</row>
    <row r="336" spans="3:46" ht="18" customHeight="1">
      <c r="C336" s="44"/>
      <c r="D336" s="44"/>
      <c r="E336" s="44"/>
      <c r="F336" s="44"/>
      <c r="G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</row>
    <row r="337" spans="3:46" ht="18" customHeight="1">
      <c r="C337" s="44"/>
      <c r="D337" s="44"/>
      <c r="E337" s="44"/>
      <c r="F337" s="44"/>
      <c r="G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</row>
    <row r="338" spans="3:46" ht="18" customHeight="1">
      <c r="C338" s="44"/>
      <c r="D338" s="44"/>
      <c r="E338" s="44"/>
      <c r="F338" s="44"/>
      <c r="G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</row>
    <row r="339" spans="3:46" ht="18" customHeight="1">
      <c r="C339" s="44"/>
      <c r="D339" s="44"/>
      <c r="E339" s="44"/>
      <c r="F339" s="44"/>
      <c r="G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</row>
    <row r="340" spans="3:46" ht="18" customHeight="1">
      <c r="C340" s="44"/>
      <c r="D340" s="44"/>
      <c r="E340" s="44"/>
      <c r="F340" s="44"/>
      <c r="G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</row>
    <row r="341" spans="3:46" ht="18" customHeight="1">
      <c r="C341" s="44"/>
      <c r="D341" s="44"/>
      <c r="E341" s="44"/>
      <c r="F341" s="44"/>
      <c r="G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</row>
    <row r="342" spans="3:46" ht="18" customHeight="1">
      <c r="C342" s="44"/>
      <c r="D342" s="44"/>
      <c r="E342" s="44"/>
      <c r="F342" s="44"/>
      <c r="G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</row>
    <row r="343" spans="3:46" ht="18" customHeight="1">
      <c r="C343" s="44"/>
      <c r="D343" s="44"/>
      <c r="E343" s="44"/>
      <c r="F343" s="44"/>
      <c r="G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</row>
    <row r="344" spans="3:46" ht="18" customHeight="1">
      <c r="C344" s="44"/>
      <c r="D344" s="44"/>
      <c r="E344" s="44"/>
      <c r="F344" s="44"/>
      <c r="G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</row>
    <row r="345" spans="3:46" ht="18" customHeight="1">
      <c r="C345" s="44"/>
      <c r="D345" s="44"/>
      <c r="E345" s="44"/>
      <c r="F345" s="44"/>
      <c r="G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</row>
    <row r="346" spans="3:46" ht="18" customHeight="1">
      <c r="C346" s="44"/>
      <c r="D346" s="44"/>
      <c r="E346" s="44"/>
      <c r="F346" s="44"/>
      <c r="G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</row>
    <row r="347" spans="3:46" ht="18" customHeight="1">
      <c r="C347" s="44"/>
      <c r="D347" s="44"/>
      <c r="E347" s="44"/>
      <c r="F347" s="44"/>
      <c r="G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</row>
    <row r="348" spans="3:46" ht="18" customHeight="1">
      <c r="C348" s="44"/>
      <c r="D348" s="44"/>
      <c r="E348" s="44"/>
      <c r="F348" s="44"/>
      <c r="G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</row>
    <row r="349" spans="3:46" ht="18" customHeight="1">
      <c r="C349" s="44"/>
      <c r="D349" s="44"/>
      <c r="E349" s="44"/>
      <c r="F349" s="44"/>
      <c r="G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</row>
    <row r="350" spans="3:46" ht="18" customHeight="1">
      <c r="C350" s="44"/>
      <c r="D350" s="44"/>
      <c r="E350" s="44"/>
      <c r="F350" s="44"/>
      <c r="G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</row>
    <row r="351" spans="3:46" ht="18" customHeight="1">
      <c r="C351" s="44"/>
      <c r="D351" s="44"/>
      <c r="E351" s="44"/>
      <c r="F351" s="44"/>
      <c r="G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</row>
    <row r="352" spans="3:46" ht="18" customHeight="1">
      <c r="C352" s="44"/>
      <c r="D352" s="44"/>
      <c r="E352" s="44"/>
      <c r="F352" s="44"/>
      <c r="G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</row>
    <row r="353" spans="3:46" ht="18" customHeight="1">
      <c r="C353" s="44"/>
      <c r="D353" s="44"/>
      <c r="E353" s="44"/>
      <c r="F353" s="44"/>
      <c r="G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</row>
    <row r="354" spans="3:46" ht="18" customHeight="1">
      <c r="C354" s="44"/>
      <c r="D354" s="44"/>
      <c r="E354" s="44"/>
      <c r="F354" s="44"/>
      <c r="G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</row>
    <row r="355" spans="3:46" ht="18" customHeight="1">
      <c r="C355" s="44"/>
      <c r="D355" s="44"/>
      <c r="E355" s="44"/>
      <c r="F355" s="44"/>
      <c r="G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</row>
    <row r="356" spans="3:46" ht="18" customHeight="1">
      <c r="C356" s="44"/>
      <c r="D356" s="44"/>
      <c r="E356" s="44"/>
      <c r="F356" s="44"/>
      <c r="G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</row>
    <row r="357" spans="3:46" ht="18" customHeight="1">
      <c r="C357" s="44"/>
      <c r="D357" s="44"/>
      <c r="E357" s="44"/>
      <c r="F357" s="44"/>
      <c r="G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</row>
    <row r="358" spans="3:46" ht="18" customHeight="1">
      <c r="C358" s="44"/>
      <c r="D358" s="44"/>
      <c r="E358" s="44"/>
      <c r="F358" s="44"/>
      <c r="G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</row>
    <row r="359" spans="3:46" ht="18" customHeight="1">
      <c r="C359" s="44"/>
      <c r="D359" s="44"/>
      <c r="E359" s="44"/>
      <c r="F359" s="44"/>
      <c r="G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</row>
    <row r="360" spans="3:46" ht="18" customHeight="1">
      <c r="C360" s="44"/>
      <c r="D360" s="44"/>
      <c r="E360" s="44"/>
      <c r="F360" s="44"/>
      <c r="G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</row>
    <row r="361" spans="3:46" ht="18" customHeight="1">
      <c r="C361" s="44"/>
      <c r="D361" s="44"/>
      <c r="E361" s="44"/>
      <c r="F361" s="44"/>
      <c r="G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</row>
    <row r="362" spans="3:46" ht="18" customHeight="1">
      <c r="C362" s="44"/>
      <c r="D362" s="44"/>
      <c r="E362" s="44"/>
      <c r="F362" s="44"/>
      <c r="G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</row>
    <row r="363" spans="3:46" ht="18" customHeight="1">
      <c r="C363" s="44"/>
      <c r="D363" s="44"/>
      <c r="E363" s="44"/>
      <c r="F363" s="44"/>
      <c r="G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</row>
    <row r="364" spans="3:46" ht="18" customHeight="1">
      <c r="C364" s="44"/>
      <c r="D364" s="44"/>
      <c r="E364" s="44"/>
      <c r="F364" s="44"/>
      <c r="G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</row>
    <row r="365" spans="3:46" ht="18" customHeight="1">
      <c r="C365" s="44"/>
      <c r="D365" s="44"/>
      <c r="E365" s="44"/>
      <c r="F365" s="44"/>
      <c r="G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</row>
    <row r="366" spans="3:46" ht="18" customHeight="1">
      <c r="C366" s="44"/>
      <c r="D366" s="44"/>
      <c r="E366" s="44"/>
      <c r="F366" s="44"/>
      <c r="G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</row>
    <row r="367" spans="3:46" ht="18" customHeight="1">
      <c r="C367" s="44"/>
      <c r="D367" s="44"/>
      <c r="E367" s="44"/>
      <c r="F367" s="44"/>
      <c r="G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</row>
    <row r="368" spans="3:46" ht="18" customHeight="1">
      <c r="C368" s="44"/>
      <c r="D368" s="44"/>
      <c r="E368" s="44"/>
      <c r="F368" s="44"/>
      <c r="G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</row>
    <row r="369" spans="3:46" ht="18" customHeight="1">
      <c r="C369" s="44"/>
      <c r="D369" s="44"/>
      <c r="E369" s="44"/>
      <c r="F369" s="44"/>
      <c r="G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</row>
    <row r="370" spans="3:46" ht="18" customHeight="1">
      <c r="C370" s="44"/>
      <c r="D370" s="44"/>
      <c r="E370" s="44"/>
      <c r="F370" s="44"/>
      <c r="G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</row>
    <row r="371" spans="3:46" ht="18" customHeight="1">
      <c r="C371" s="44"/>
      <c r="D371" s="44"/>
      <c r="E371" s="44"/>
      <c r="F371" s="44"/>
      <c r="G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</row>
    <row r="372" spans="3:46" ht="18" customHeight="1">
      <c r="C372" s="44"/>
      <c r="D372" s="44"/>
      <c r="E372" s="44"/>
      <c r="F372" s="44"/>
      <c r="G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</row>
    <row r="373" spans="3:46" ht="18" customHeight="1">
      <c r="C373" s="44"/>
      <c r="D373" s="44"/>
      <c r="E373" s="44"/>
      <c r="F373" s="44"/>
      <c r="G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</row>
    <row r="374" spans="3:46" ht="18" customHeight="1">
      <c r="C374" s="44"/>
      <c r="D374" s="44"/>
      <c r="E374" s="44"/>
      <c r="F374" s="44"/>
      <c r="G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</row>
    <row r="375" spans="3:46" ht="18" customHeight="1">
      <c r="C375" s="44"/>
      <c r="D375" s="44"/>
      <c r="E375" s="44"/>
      <c r="F375" s="44"/>
      <c r="G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</row>
    <row r="376" spans="3:46" ht="18" customHeight="1">
      <c r="C376" s="44"/>
      <c r="D376" s="44"/>
      <c r="E376" s="44"/>
      <c r="F376" s="44"/>
      <c r="G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</row>
    <row r="377" spans="3:46" ht="18" customHeight="1">
      <c r="C377" s="44"/>
      <c r="D377" s="44"/>
      <c r="E377" s="44"/>
      <c r="F377" s="44"/>
      <c r="G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</row>
    <row r="378" spans="3:46" ht="18" customHeight="1">
      <c r="C378" s="44"/>
      <c r="D378" s="44"/>
      <c r="E378" s="44"/>
      <c r="F378" s="44"/>
      <c r="G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</row>
    <row r="379" spans="3:46" ht="18" customHeight="1">
      <c r="C379" s="44"/>
      <c r="D379" s="44"/>
      <c r="E379" s="44"/>
      <c r="F379" s="44"/>
      <c r="G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</row>
    <row r="380" spans="3:46" ht="18" customHeight="1">
      <c r="C380" s="44"/>
      <c r="D380" s="44"/>
      <c r="E380" s="44"/>
      <c r="F380" s="44"/>
      <c r="G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</row>
    <row r="381" spans="3:46" ht="18" customHeight="1">
      <c r="C381" s="44"/>
      <c r="D381" s="44"/>
      <c r="E381" s="44"/>
      <c r="F381" s="44"/>
      <c r="G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</row>
    <row r="382" spans="3:46" ht="18" customHeight="1">
      <c r="C382" s="44"/>
      <c r="D382" s="44"/>
      <c r="E382" s="44"/>
      <c r="F382" s="44"/>
      <c r="G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</row>
    <row r="383" spans="3:46" ht="18" customHeight="1">
      <c r="C383" s="44"/>
      <c r="D383" s="44"/>
      <c r="E383" s="44"/>
      <c r="F383" s="44"/>
      <c r="G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</row>
    <row r="384" spans="3:46" ht="18" customHeight="1">
      <c r="C384" s="44"/>
      <c r="D384" s="44"/>
      <c r="E384" s="44"/>
      <c r="F384" s="44"/>
      <c r="G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</row>
    <row r="385" spans="3:46" ht="18" customHeight="1">
      <c r="C385" s="44"/>
      <c r="D385" s="44"/>
      <c r="E385" s="44"/>
      <c r="F385" s="44"/>
      <c r="G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</row>
    <row r="386" spans="3:46" ht="18" customHeight="1">
      <c r="C386" s="44"/>
      <c r="D386" s="44"/>
      <c r="E386" s="44"/>
      <c r="F386" s="44"/>
      <c r="G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</row>
    <row r="387" spans="3:46" ht="18" customHeight="1">
      <c r="C387" s="44"/>
      <c r="D387" s="44"/>
      <c r="E387" s="44"/>
      <c r="F387" s="44"/>
      <c r="G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</row>
    <row r="388" spans="3:46" ht="18" customHeight="1">
      <c r="C388" s="44"/>
      <c r="D388" s="44"/>
      <c r="E388" s="44"/>
      <c r="F388" s="44"/>
      <c r="G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</row>
    <row r="389" spans="3:46" ht="18" customHeight="1">
      <c r="C389" s="44"/>
      <c r="D389" s="44"/>
      <c r="E389" s="44"/>
      <c r="F389" s="44"/>
      <c r="G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</row>
    <row r="390" spans="3:46" ht="18" customHeight="1">
      <c r="C390" s="44"/>
      <c r="D390" s="44"/>
      <c r="E390" s="44"/>
      <c r="F390" s="44"/>
      <c r="G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</row>
    <row r="391" spans="3:46" ht="18" customHeight="1">
      <c r="C391" s="44"/>
      <c r="D391" s="44"/>
      <c r="E391" s="44"/>
      <c r="F391" s="44"/>
      <c r="G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</row>
    <row r="392" spans="3:46" ht="18" customHeight="1">
      <c r="C392" s="44"/>
      <c r="D392" s="44"/>
      <c r="E392" s="44"/>
      <c r="F392" s="44"/>
      <c r="G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</row>
    <row r="393" spans="3:46" ht="18" customHeight="1">
      <c r="C393" s="44"/>
      <c r="D393" s="44"/>
      <c r="E393" s="44"/>
      <c r="F393" s="44"/>
      <c r="G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</row>
    <row r="394" spans="3:46" ht="18" customHeight="1">
      <c r="C394" s="44"/>
      <c r="D394" s="44"/>
      <c r="E394" s="44"/>
      <c r="F394" s="44"/>
      <c r="G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</row>
    <row r="395" spans="3:46" ht="18" customHeight="1">
      <c r="C395" s="44"/>
      <c r="D395" s="44"/>
      <c r="E395" s="44"/>
      <c r="F395" s="44"/>
      <c r="G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</row>
    <row r="396" spans="3:46" ht="18" customHeight="1">
      <c r="C396" s="44"/>
      <c r="D396" s="44"/>
      <c r="E396" s="44"/>
      <c r="F396" s="44"/>
      <c r="G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</row>
    <row r="397" spans="3:46" ht="18" customHeight="1">
      <c r="C397" s="44"/>
      <c r="D397" s="44"/>
      <c r="E397" s="44"/>
      <c r="F397" s="44"/>
      <c r="G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</row>
    <row r="398" spans="3:46" ht="18" customHeight="1">
      <c r="C398" s="44"/>
      <c r="D398" s="44"/>
      <c r="E398" s="44"/>
      <c r="F398" s="44"/>
      <c r="G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</row>
    <row r="399" spans="3:46" ht="18" customHeight="1">
      <c r="C399" s="44"/>
      <c r="D399" s="44"/>
      <c r="E399" s="44"/>
      <c r="F399" s="44"/>
      <c r="G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</row>
    <row r="400" spans="3:46" ht="18" customHeight="1">
      <c r="C400" s="44"/>
      <c r="D400" s="44"/>
      <c r="E400" s="44"/>
      <c r="F400" s="44"/>
      <c r="G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</row>
    <row r="401" spans="3:46" ht="18" customHeight="1">
      <c r="C401" s="44"/>
      <c r="D401" s="44"/>
      <c r="E401" s="44"/>
      <c r="F401" s="44"/>
      <c r="G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</row>
    <row r="402" spans="3:46" ht="18" customHeight="1">
      <c r="C402" s="44"/>
      <c r="D402" s="44"/>
      <c r="E402" s="44"/>
      <c r="F402" s="44"/>
      <c r="G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</row>
    <row r="403" spans="3:46" ht="18" customHeight="1">
      <c r="C403" s="44"/>
      <c r="D403" s="44"/>
      <c r="E403" s="44"/>
      <c r="F403" s="44"/>
      <c r="G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</row>
    <row r="404" spans="3:46" ht="18" customHeight="1">
      <c r="C404" s="44"/>
      <c r="D404" s="44"/>
      <c r="E404" s="44"/>
      <c r="F404" s="44"/>
      <c r="G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</row>
    <row r="405" spans="3:46" ht="18" customHeight="1">
      <c r="C405" s="44"/>
      <c r="D405" s="44"/>
      <c r="E405" s="44"/>
      <c r="F405" s="44"/>
      <c r="G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</row>
    <row r="406" spans="3:46" ht="18" customHeight="1">
      <c r="C406" s="44"/>
      <c r="D406" s="44"/>
      <c r="E406" s="44"/>
      <c r="F406" s="44"/>
      <c r="G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</row>
    <row r="407" spans="3:46" ht="18" customHeight="1">
      <c r="C407" s="44"/>
      <c r="D407" s="44"/>
      <c r="E407" s="44"/>
      <c r="F407" s="44"/>
      <c r="G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</row>
    <row r="408" spans="3:46" ht="18" customHeight="1">
      <c r="C408" s="44"/>
      <c r="D408" s="44"/>
      <c r="E408" s="44"/>
      <c r="F408" s="44"/>
      <c r="G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</row>
    <row r="409" spans="3:46" ht="18" customHeight="1">
      <c r="C409" s="44"/>
      <c r="D409" s="44"/>
      <c r="E409" s="44"/>
      <c r="F409" s="44"/>
      <c r="G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</row>
    <row r="410" spans="3:46" ht="18" customHeight="1">
      <c r="C410" s="44"/>
      <c r="D410" s="44"/>
      <c r="E410" s="44"/>
      <c r="F410" s="44"/>
      <c r="G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</row>
    <row r="411" spans="3:46" ht="18" customHeight="1">
      <c r="C411" s="44"/>
      <c r="D411" s="44"/>
      <c r="E411" s="44"/>
      <c r="F411" s="44"/>
      <c r="G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</row>
    <row r="412" spans="3:46" ht="18" customHeight="1">
      <c r="C412" s="44"/>
      <c r="D412" s="44"/>
      <c r="E412" s="44"/>
      <c r="F412" s="44"/>
      <c r="G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</row>
    <row r="413" spans="3:46" ht="18" customHeight="1">
      <c r="C413" s="44"/>
      <c r="D413" s="44"/>
      <c r="E413" s="44"/>
      <c r="F413" s="44"/>
      <c r="G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</row>
    <row r="414" spans="3:46" ht="18" customHeight="1">
      <c r="C414" s="44"/>
      <c r="D414" s="44"/>
      <c r="E414" s="44"/>
      <c r="F414" s="44"/>
      <c r="G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</row>
    <row r="415" spans="3:46" ht="18" customHeight="1">
      <c r="C415" s="44"/>
      <c r="D415" s="44"/>
      <c r="E415" s="44"/>
      <c r="F415" s="44"/>
      <c r="G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</row>
    <row r="416" spans="3:46" ht="18" customHeight="1">
      <c r="C416" s="44"/>
      <c r="D416" s="44"/>
      <c r="E416" s="44"/>
      <c r="F416" s="44"/>
      <c r="G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</row>
    <row r="417" spans="3:46" ht="18" customHeight="1">
      <c r="C417" s="44"/>
      <c r="D417" s="44"/>
      <c r="E417" s="44"/>
      <c r="F417" s="44"/>
      <c r="G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</row>
    <row r="418" spans="3:46" ht="18" customHeight="1">
      <c r="C418" s="44"/>
      <c r="D418" s="44"/>
      <c r="E418" s="44"/>
      <c r="F418" s="44"/>
      <c r="G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</row>
    <row r="419" spans="3:46" ht="18" customHeight="1">
      <c r="C419" s="44"/>
      <c r="D419" s="44"/>
      <c r="E419" s="44"/>
      <c r="F419" s="44"/>
      <c r="G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</row>
    <row r="420" spans="3:46" ht="18" customHeight="1">
      <c r="C420" s="44"/>
      <c r="D420" s="44"/>
      <c r="E420" s="44"/>
      <c r="F420" s="44"/>
      <c r="G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</row>
    <row r="421" spans="3:46" ht="18" customHeight="1">
      <c r="C421" s="44"/>
      <c r="D421" s="44"/>
      <c r="E421" s="44"/>
      <c r="F421" s="44"/>
      <c r="G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</row>
    <row r="422" spans="3:46" ht="18" customHeight="1">
      <c r="C422" s="44"/>
      <c r="D422" s="44"/>
      <c r="E422" s="44"/>
      <c r="F422" s="44"/>
      <c r="G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</row>
    <row r="423" spans="3:46" ht="18" customHeight="1">
      <c r="C423" s="44"/>
      <c r="D423" s="44"/>
      <c r="E423" s="44"/>
      <c r="F423" s="44"/>
      <c r="G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</row>
    <row r="424" spans="3:46" ht="18" customHeight="1">
      <c r="C424" s="44"/>
      <c r="D424" s="44"/>
      <c r="E424" s="44"/>
      <c r="F424" s="44"/>
      <c r="G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</row>
    <row r="425" spans="3:46" ht="18" customHeight="1">
      <c r="C425" s="44"/>
      <c r="D425" s="44"/>
      <c r="E425" s="44"/>
      <c r="F425" s="44"/>
      <c r="G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</row>
    <row r="426" spans="3:46" ht="18" customHeight="1">
      <c r="C426" s="44"/>
      <c r="D426" s="44"/>
      <c r="E426" s="44"/>
      <c r="F426" s="44"/>
      <c r="G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</row>
    <row r="427" spans="3:46" ht="18" customHeight="1">
      <c r="C427" s="44"/>
      <c r="D427" s="44"/>
      <c r="E427" s="44"/>
      <c r="F427" s="44"/>
      <c r="G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</row>
    <row r="428" spans="3:46" ht="18" customHeight="1">
      <c r="C428" s="44"/>
      <c r="D428" s="44"/>
      <c r="E428" s="44"/>
      <c r="F428" s="44"/>
      <c r="G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</row>
    <row r="429" spans="3:46" ht="18" customHeight="1">
      <c r="C429" s="44"/>
      <c r="D429" s="44"/>
      <c r="E429" s="44"/>
      <c r="F429" s="44"/>
      <c r="G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</row>
    <row r="430" spans="3:46" ht="18" customHeight="1">
      <c r="C430" s="44"/>
      <c r="D430" s="44"/>
      <c r="E430" s="44"/>
      <c r="F430" s="44"/>
      <c r="G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</row>
    <row r="431" spans="3:46" ht="18" customHeight="1">
      <c r="C431" s="44"/>
      <c r="D431" s="44"/>
      <c r="E431" s="44"/>
      <c r="F431" s="44"/>
      <c r="G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</row>
    <row r="432" spans="3:46" ht="18" customHeight="1">
      <c r="C432" s="44"/>
      <c r="D432" s="44"/>
      <c r="E432" s="44"/>
      <c r="F432" s="44"/>
      <c r="G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</row>
    <row r="433" spans="3:46" ht="18" customHeight="1">
      <c r="C433" s="44"/>
      <c r="D433" s="44"/>
      <c r="E433" s="44"/>
      <c r="F433" s="44"/>
      <c r="G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</row>
    <row r="434" spans="3:46" ht="18" customHeight="1">
      <c r="C434" s="44"/>
      <c r="D434" s="44"/>
      <c r="E434" s="44"/>
      <c r="F434" s="44"/>
      <c r="G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</row>
    <row r="435" spans="3:46" ht="18" customHeight="1">
      <c r="C435" s="44"/>
      <c r="D435" s="44"/>
      <c r="E435" s="44"/>
      <c r="F435" s="44"/>
      <c r="G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</row>
    <row r="436" spans="3:46" ht="18" customHeight="1">
      <c r="C436" s="44"/>
      <c r="D436" s="44"/>
      <c r="E436" s="44"/>
      <c r="F436" s="44"/>
      <c r="G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</row>
    <row r="437" spans="3:46" ht="18" customHeight="1">
      <c r="C437" s="44"/>
      <c r="D437" s="44"/>
      <c r="E437" s="44"/>
      <c r="F437" s="44"/>
      <c r="G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</row>
    <row r="438" spans="3:46" ht="18" customHeight="1">
      <c r="C438" s="44"/>
      <c r="D438" s="44"/>
      <c r="E438" s="44"/>
      <c r="F438" s="44"/>
      <c r="G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</row>
    <row r="439" spans="3:46" ht="18" customHeight="1">
      <c r="C439" s="44"/>
      <c r="D439" s="44"/>
      <c r="E439" s="44"/>
      <c r="F439" s="44"/>
      <c r="G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</row>
    <row r="440" spans="3:46" ht="18" customHeight="1">
      <c r="C440" s="44"/>
      <c r="D440" s="44"/>
      <c r="E440" s="44"/>
      <c r="F440" s="44"/>
      <c r="G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</row>
    <row r="441" spans="3:46" ht="18" customHeight="1">
      <c r="C441" s="44"/>
      <c r="D441" s="44"/>
      <c r="E441" s="44"/>
      <c r="F441" s="44"/>
      <c r="G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</row>
    <row r="442" spans="3:46" ht="18" customHeight="1">
      <c r="C442" s="44"/>
      <c r="D442" s="44"/>
      <c r="E442" s="44"/>
      <c r="F442" s="44"/>
      <c r="G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</row>
    <row r="443" spans="3:46" ht="18" customHeight="1">
      <c r="C443" s="44"/>
      <c r="D443" s="44"/>
      <c r="E443" s="44"/>
      <c r="F443" s="44"/>
      <c r="G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</row>
    <row r="444" spans="3:46" ht="18" customHeight="1">
      <c r="C444" s="44"/>
      <c r="D444" s="44"/>
      <c r="E444" s="44"/>
      <c r="F444" s="44"/>
      <c r="G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</row>
    <row r="445" spans="3:46" ht="18" customHeight="1">
      <c r="C445" s="44"/>
      <c r="D445" s="44"/>
      <c r="E445" s="44"/>
      <c r="F445" s="44"/>
      <c r="G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</row>
    <row r="446" spans="3:46" ht="18" customHeight="1">
      <c r="C446" s="44"/>
      <c r="D446" s="44"/>
      <c r="E446" s="44"/>
      <c r="F446" s="44"/>
      <c r="G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</row>
    <row r="447" spans="3:46" ht="18" customHeight="1">
      <c r="C447" s="44"/>
      <c r="D447" s="44"/>
      <c r="E447" s="44"/>
      <c r="F447" s="44"/>
      <c r="G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</row>
    <row r="448" spans="3:46" ht="18" customHeight="1">
      <c r="C448" s="44"/>
      <c r="D448" s="44"/>
      <c r="E448" s="44"/>
      <c r="F448" s="44"/>
      <c r="G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</row>
    <row r="449" spans="3:46" ht="18" customHeight="1">
      <c r="C449" s="44"/>
      <c r="D449" s="44"/>
      <c r="E449" s="44"/>
      <c r="F449" s="44"/>
      <c r="G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</row>
    <row r="450" spans="3:46" ht="18" customHeight="1">
      <c r="C450" s="44"/>
      <c r="D450" s="44"/>
      <c r="E450" s="44"/>
      <c r="F450" s="44"/>
      <c r="G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</row>
    <row r="451" spans="3:46" ht="18" customHeight="1">
      <c r="C451" s="44"/>
      <c r="D451" s="44"/>
      <c r="E451" s="44"/>
      <c r="F451" s="44"/>
      <c r="G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</row>
    <row r="452" spans="3:46" ht="18" customHeight="1">
      <c r="C452" s="44"/>
      <c r="D452" s="44"/>
      <c r="E452" s="44"/>
      <c r="F452" s="44"/>
      <c r="G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</row>
    <row r="453" spans="3:46" ht="18" customHeight="1">
      <c r="C453" s="44"/>
      <c r="D453" s="44"/>
      <c r="E453" s="44"/>
      <c r="F453" s="44"/>
      <c r="G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</row>
    <row r="454" spans="3:46" ht="18" customHeight="1">
      <c r="C454" s="44"/>
      <c r="D454" s="44"/>
      <c r="E454" s="44"/>
      <c r="F454" s="44"/>
      <c r="G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</row>
    <row r="455" spans="3:46" ht="18" customHeight="1">
      <c r="C455" s="44"/>
      <c r="D455" s="44"/>
      <c r="E455" s="44"/>
      <c r="F455" s="44"/>
      <c r="G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</row>
    <row r="456" spans="3:46" ht="18" customHeight="1">
      <c r="C456" s="44"/>
      <c r="D456" s="44"/>
      <c r="E456" s="44"/>
      <c r="F456" s="44"/>
      <c r="G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</row>
    <row r="457" spans="3:46" ht="18" customHeight="1">
      <c r="C457" s="44"/>
      <c r="D457" s="44"/>
      <c r="E457" s="44"/>
      <c r="F457" s="44"/>
      <c r="G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</row>
    <row r="458" spans="3:46" ht="18" customHeight="1">
      <c r="C458" s="44"/>
      <c r="D458" s="44"/>
      <c r="E458" s="44"/>
      <c r="F458" s="44"/>
      <c r="G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</row>
    <row r="459" spans="3:46" ht="18" customHeight="1">
      <c r="C459" s="44"/>
      <c r="D459" s="44"/>
      <c r="E459" s="44"/>
      <c r="F459" s="44"/>
      <c r="G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</row>
    <row r="460" spans="3:46" ht="18" customHeight="1">
      <c r="C460" s="44"/>
      <c r="D460" s="44"/>
      <c r="E460" s="44"/>
      <c r="F460" s="44"/>
      <c r="G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</row>
    <row r="461" spans="3:46" ht="18" customHeight="1">
      <c r="C461" s="44"/>
      <c r="D461" s="44"/>
      <c r="E461" s="44"/>
      <c r="F461" s="44"/>
      <c r="G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</row>
    <row r="462" spans="3:46" ht="18" customHeight="1">
      <c r="C462" s="44"/>
      <c r="D462" s="44"/>
      <c r="E462" s="44"/>
      <c r="F462" s="44"/>
      <c r="G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</row>
    <row r="463" spans="3:46" ht="18" customHeight="1">
      <c r="C463" s="44"/>
      <c r="D463" s="44"/>
      <c r="E463" s="44"/>
      <c r="F463" s="44"/>
      <c r="G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</row>
    <row r="464" spans="3:46" ht="18" customHeight="1">
      <c r="C464" s="44"/>
      <c r="D464" s="44"/>
      <c r="E464" s="44"/>
      <c r="F464" s="44"/>
      <c r="G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</row>
    <row r="465" spans="3:46" ht="18" customHeight="1">
      <c r="C465" s="44"/>
      <c r="D465" s="44"/>
      <c r="E465" s="44"/>
      <c r="F465" s="44"/>
      <c r="G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</row>
    <row r="466" spans="3:46" ht="18" customHeight="1">
      <c r="C466" s="44"/>
      <c r="D466" s="44"/>
      <c r="E466" s="44"/>
      <c r="F466" s="44"/>
      <c r="G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</row>
    <row r="467" spans="3:46" ht="18" customHeight="1">
      <c r="C467" s="44"/>
      <c r="D467" s="44"/>
      <c r="E467" s="44"/>
      <c r="F467" s="44"/>
      <c r="G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</row>
    <row r="468" spans="3:46" ht="18" customHeight="1">
      <c r="C468" s="44"/>
      <c r="D468" s="44"/>
      <c r="E468" s="44"/>
      <c r="F468" s="44"/>
      <c r="G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</row>
    <row r="469" spans="3:46" ht="18" customHeight="1">
      <c r="C469" s="44"/>
      <c r="D469" s="44"/>
      <c r="E469" s="44"/>
      <c r="F469" s="44"/>
      <c r="G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</row>
    <row r="470" spans="3:46" ht="18" customHeight="1">
      <c r="C470" s="44"/>
      <c r="D470" s="44"/>
      <c r="E470" s="44"/>
      <c r="F470" s="44"/>
      <c r="G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</row>
    <row r="471" spans="3:46" ht="18" customHeight="1">
      <c r="C471" s="44"/>
      <c r="D471" s="44"/>
      <c r="E471" s="44"/>
      <c r="F471" s="44"/>
      <c r="G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</row>
    <row r="472" spans="3:46" ht="18" customHeight="1">
      <c r="C472" s="44"/>
      <c r="D472" s="44"/>
      <c r="E472" s="44"/>
      <c r="F472" s="44"/>
      <c r="G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</row>
    <row r="473" spans="3:46" ht="18" customHeight="1">
      <c r="C473" s="44"/>
      <c r="D473" s="44"/>
      <c r="E473" s="44"/>
      <c r="F473" s="44"/>
      <c r="G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</row>
    <row r="474" spans="3:46" ht="18" customHeight="1">
      <c r="C474" s="44"/>
      <c r="D474" s="44"/>
      <c r="E474" s="44"/>
      <c r="F474" s="44"/>
      <c r="G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</row>
    <row r="475" spans="3:46" ht="18" customHeight="1">
      <c r="C475" s="44"/>
      <c r="D475" s="44"/>
      <c r="E475" s="44"/>
      <c r="F475" s="44"/>
      <c r="G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</row>
    <row r="476" spans="3:46" ht="18" customHeight="1">
      <c r="C476" s="44"/>
      <c r="D476" s="44"/>
      <c r="E476" s="44"/>
      <c r="F476" s="44"/>
      <c r="G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</row>
    <row r="477" spans="3:46" ht="18" customHeight="1">
      <c r="C477" s="44"/>
      <c r="D477" s="44"/>
      <c r="E477" s="44"/>
      <c r="F477" s="44"/>
      <c r="G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</row>
    <row r="478" spans="3:46" ht="18" customHeight="1">
      <c r="C478" s="44"/>
      <c r="D478" s="44"/>
      <c r="E478" s="44"/>
      <c r="F478" s="44"/>
      <c r="G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</row>
    <row r="479" spans="3:46" ht="18" customHeight="1">
      <c r="C479" s="44"/>
      <c r="D479" s="44"/>
      <c r="E479" s="44"/>
      <c r="F479" s="44"/>
      <c r="G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</row>
    <row r="480" spans="3:46" ht="18" customHeight="1">
      <c r="C480" s="44"/>
      <c r="D480" s="44"/>
      <c r="E480" s="44"/>
      <c r="F480" s="44"/>
      <c r="G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</row>
    <row r="481" spans="3:46" ht="18" customHeight="1">
      <c r="C481" s="44"/>
      <c r="D481" s="44"/>
      <c r="E481" s="44"/>
      <c r="F481" s="44"/>
      <c r="G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</row>
    <row r="482" spans="3:46" ht="18" customHeight="1">
      <c r="C482" s="44"/>
      <c r="D482" s="44"/>
      <c r="E482" s="44"/>
      <c r="F482" s="44"/>
      <c r="G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</row>
    <row r="483" spans="3:46" ht="18" customHeight="1">
      <c r="C483" s="44"/>
      <c r="D483" s="44"/>
      <c r="E483" s="44"/>
      <c r="F483" s="44"/>
      <c r="G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</row>
    <row r="484" spans="3:46" ht="18" customHeight="1">
      <c r="C484" s="44"/>
      <c r="D484" s="44"/>
      <c r="E484" s="44"/>
      <c r="F484" s="44"/>
      <c r="G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</row>
    <row r="485" spans="3:46" ht="18" customHeight="1">
      <c r="C485" s="44"/>
      <c r="D485" s="44"/>
      <c r="E485" s="44"/>
      <c r="F485" s="44"/>
      <c r="G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</row>
    <row r="486" spans="3:46" ht="18" customHeight="1">
      <c r="C486" s="44"/>
      <c r="D486" s="44"/>
      <c r="E486" s="44"/>
      <c r="F486" s="44"/>
      <c r="G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</row>
    <row r="487" spans="3:46" ht="18" customHeight="1">
      <c r="C487" s="44"/>
      <c r="D487" s="44"/>
      <c r="E487" s="44"/>
      <c r="F487" s="44"/>
      <c r="G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</row>
    <row r="488" spans="3:46" ht="18" customHeight="1">
      <c r="C488" s="44"/>
      <c r="D488" s="44"/>
      <c r="E488" s="44"/>
      <c r="F488" s="44"/>
      <c r="G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</row>
    <row r="489" spans="3:46" ht="18" customHeight="1">
      <c r="C489" s="44"/>
      <c r="D489" s="44"/>
      <c r="E489" s="44"/>
      <c r="F489" s="44"/>
      <c r="G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</row>
    <row r="490" spans="3:46" ht="18" customHeight="1">
      <c r="C490" s="44"/>
      <c r="D490" s="44"/>
      <c r="E490" s="44"/>
      <c r="F490" s="44"/>
      <c r="G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</row>
    <row r="491" spans="3:46" ht="18" customHeight="1">
      <c r="C491" s="44"/>
      <c r="D491" s="44"/>
      <c r="E491" s="44"/>
      <c r="F491" s="44"/>
      <c r="G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</row>
    <row r="492" spans="3:46" ht="18" customHeight="1">
      <c r="C492" s="44"/>
      <c r="D492" s="44"/>
      <c r="E492" s="44"/>
      <c r="F492" s="44"/>
      <c r="G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</row>
    <row r="493" spans="3:46" ht="18" customHeight="1">
      <c r="C493" s="44"/>
      <c r="D493" s="44"/>
      <c r="E493" s="44"/>
      <c r="F493" s="44"/>
      <c r="G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</row>
    <row r="494" spans="3:46" ht="18" customHeight="1">
      <c r="C494" s="44"/>
      <c r="D494" s="44"/>
      <c r="E494" s="44"/>
      <c r="F494" s="44"/>
      <c r="G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</row>
    <row r="495" spans="3:46" ht="18" customHeight="1">
      <c r="C495" s="44"/>
      <c r="D495" s="44"/>
      <c r="E495" s="44"/>
      <c r="F495" s="44"/>
      <c r="G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</row>
    <row r="496" spans="3:46" ht="18" customHeight="1">
      <c r="C496" s="44"/>
      <c r="D496" s="44"/>
      <c r="E496" s="44"/>
      <c r="F496" s="44"/>
      <c r="G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</row>
    <row r="497" spans="3:46" ht="18" customHeight="1">
      <c r="C497" s="44"/>
      <c r="D497" s="44"/>
      <c r="E497" s="44"/>
      <c r="F497" s="44"/>
      <c r="G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</row>
    <row r="498" spans="3:46" ht="18" customHeight="1">
      <c r="C498" s="44"/>
      <c r="D498" s="44"/>
      <c r="E498" s="44"/>
      <c r="F498" s="44"/>
      <c r="G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</row>
    <row r="499" spans="3:46" ht="18" customHeight="1">
      <c r="C499" s="44"/>
      <c r="D499" s="44"/>
      <c r="E499" s="44"/>
      <c r="F499" s="44"/>
      <c r="G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</row>
    <row r="500" spans="3:46" ht="18" customHeight="1">
      <c r="C500" s="44"/>
      <c r="D500" s="44"/>
      <c r="E500" s="44"/>
      <c r="F500" s="44"/>
      <c r="G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</row>
    <row r="501" spans="3:46" ht="18" customHeight="1">
      <c r="C501" s="44"/>
      <c r="D501" s="44"/>
      <c r="E501" s="44"/>
      <c r="F501" s="44"/>
      <c r="G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</row>
    <row r="502" spans="3:46" ht="18" customHeight="1">
      <c r="C502" s="44"/>
      <c r="D502" s="44"/>
      <c r="E502" s="44"/>
      <c r="F502" s="44"/>
      <c r="G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</row>
    <row r="503" spans="3:46" ht="18" customHeight="1">
      <c r="C503" s="44"/>
      <c r="D503" s="44"/>
      <c r="E503" s="44"/>
      <c r="F503" s="44"/>
      <c r="G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</row>
    <row r="504" spans="3:46" ht="18" customHeight="1">
      <c r="C504" s="44"/>
      <c r="D504" s="44"/>
      <c r="E504" s="44"/>
      <c r="F504" s="44"/>
      <c r="G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</row>
    <row r="505" spans="3:46" ht="18" customHeight="1">
      <c r="C505" s="44"/>
      <c r="D505" s="44"/>
      <c r="E505" s="44"/>
      <c r="F505" s="44"/>
      <c r="G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</row>
    <row r="506" spans="3:46" ht="18" customHeight="1">
      <c r="C506" s="44"/>
      <c r="D506" s="44"/>
      <c r="E506" s="44"/>
      <c r="F506" s="44"/>
      <c r="G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</row>
    <row r="507" spans="3:46" ht="18" customHeight="1">
      <c r="C507" s="44"/>
      <c r="D507" s="44"/>
      <c r="E507" s="44"/>
      <c r="F507" s="44"/>
      <c r="G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</row>
    <row r="508" spans="3:46" ht="18" customHeight="1">
      <c r="C508" s="44"/>
      <c r="D508" s="44"/>
      <c r="E508" s="44"/>
      <c r="F508" s="44"/>
      <c r="G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</row>
    <row r="509" spans="3:46" ht="18" customHeight="1">
      <c r="C509" s="44"/>
      <c r="D509" s="44"/>
      <c r="E509" s="44"/>
      <c r="F509" s="44"/>
      <c r="G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</row>
    <row r="510" spans="3:46" ht="18" customHeight="1">
      <c r="C510" s="44"/>
      <c r="D510" s="44"/>
      <c r="E510" s="44"/>
      <c r="F510" s="44"/>
      <c r="G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</row>
    <row r="511" spans="3:46" ht="18" customHeight="1">
      <c r="C511" s="44"/>
      <c r="D511" s="44"/>
      <c r="E511" s="44"/>
      <c r="F511" s="44"/>
      <c r="G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</row>
    <row r="512" spans="3:46" ht="18" customHeight="1">
      <c r="C512" s="44"/>
      <c r="D512" s="44"/>
      <c r="E512" s="44"/>
      <c r="F512" s="44"/>
      <c r="G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</row>
    <row r="513" spans="3:46" ht="18" customHeight="1">
      <c r="C513" s="44"/>
      <c r="D513" s="44"/>
      <c r="E513" s="44"/>
      <c r="F513" s="44"/>
      <c r="G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</row>
    <row r="514" spans="3:46" ht="18" customHeight="1">
      <c r="C514" s="44"/>
      <c r="D514" s="44"/>
      <c r="E514" s="44"/>
      <c r="F514" s="44"/>
      <c r="G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</row>
    <row r="515" spans="3:46" ht="18" customHeight="1">
      <c r="C515" s="44"/>
      <c r="D515" s="44"/>
      <c r="E515" s="44"/>
      <c r="F515" s="44"/>
      <c r="G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</row>
    <row r="516" spans="3:46" ht="18" customHeight="1">
      <c r="C516" s="44"/>
      <c r="D516" s="44"/>
      <c r="E516" s="44"/>
      <c r="F516" s="44"/>
      <c r="G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</row>
    <row r="517" spans="3:46" ht="18" customHeight="1">
      <c r="C517" s="44"/>
      <c r="D517" s="44"/>
      <c r="E517" s="44"/>
      <c r="F517" s="44"/>
      <c r="G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</row>
    <row r="518" spans="3:46" ht="18" customHeight="1">
      <c r="C518" s="44"/>
      <c r="D518" s="44"/>
      <c r="E518" s="44"/>
      <c r="F518" s="44"/>
      <c r="G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</row>
    <row r="519" spans="3:46" ht="18" customHeight="1">
      <c r="C519" s="44"/>
      <c r="D519" s="44"/>
      <c r="E519" s="44"/>
      <c r="F519" s="44"/>
      <c r="G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</row>
    <row r="520" spans="3:46" ht="18" customHeight="1">
      <c r="C520" s="44"/>
      <c r="D520" s="44"/>
      <c r="E520" s="44"/>
      <c r="F520" s="44"/>
      <c r="G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</row>
    <row r="521" spans="3:46" ht="18" customHeight="1">
      <c r="C521" s="44"/>
      <c r="D521" s="44"/>
      <c r="E521" s="44"/>
      <c r="F521" s="44"/>
      <c r="G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</row>
    <row r="522" spans="3:46" ht="18" customHeight="1">
      <c r="C522" s="44"/>
      <c r="D522" s="44"/>
      <c r="E522" s="44"/>
      <c r="F522" s="44"/>
      <c r="G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</row>
    <row r="523" spans="3:46" ht="18" customHeight="1">
      <c r="C523" s="44"/>
      <c r="D523" s="44"/>
      <c r="E523" s="44"/>
      <c r="F523" s="44"/>
      <c r="G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</row>
    <row r="524" spans="3:46" ht="18" customHeight="1">
      <c r="C524" s="44"/>
      <c r="D524" s="44"/>
      <c r="E524" s="44"/>
      <c r="F524" s="44"/>
      <c r="G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</row>
    <row r="525" spans="3:46" ht="18" customHeight="1">
      <c r="C525" s="44"/>
      <c r="D525" s="44"/>
      <c r="E525" s="44"/>
      <c r="F525" s="44"/>
      <c r="G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</row>
    <row r="526" spans="3:46" ht="18" customHeight="1">
      <c r="C526" s="44"/>
      <c r="D526" s="44"/>
      <c r="E526" s="44"/>
      <c r="F526" s="44"/>
      <c r="G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</row>
    <row r="527" spans="3:46" ht="18" customHeight="1">
      <c r="C527" s="44"/>
      <c r="D527" s="44"/>
      <c r="E527" s="44"/>
      <c r="F527" s="44"/>
      <c r="G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</row>
    <row r="528" spans="3:46" ht="18" customHeight="1">
      <c r="C528" s="44"/>
      <c r="D528" s="44"/>
      <c r="E528" s="44"/>
      <c r="F528" s="44"/>
      <c r="G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</row>
    <row r="529" spans="3:46" ht="18" customHeight="1">
      <c r="C529" s="44"/>
      <c r="D529" s="44"/>
      <c r="E529" s="44"/>
      <c r="F529" s="44"/>
      <c r="G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</row>
    <row r="530" spans="3:46" ht="18" customHeight="1">
      <c r="C530" s="44"/>
      <c r="D530" s="44"/>
      <c r="E530" s="44"/>
      <c r="F530" s="44"/>
      <c r="G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</row>
    <row r="531" spans="3:46" ht="18" customHeight="1">
      <c r="C531" s="44"/>
      <c r="D531" s="44"/>
      <c r="E531" s="44"/>
      <c r="F531" s="44"/>
      <c r="G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</row>
    <row r="532" spans="3:46" ht="18" customHeight="1">
      <c r="C532" s="44"/>
      <c r="D532" s="44"/>
      <c r="E532" s="44"/>
      <c r="F532" s="44"/>
      <c r="G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</row>
    <row r="533" spans="3:46" ht="18" customHeight="1">
      <c r="C533" s="44"/>
      <c r="D533" s="44"/>
      <c r="E533" s="44"/>
      <c r="F533" s="44"/>
      <c r="G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</row>
    <row r="534" spans="3:46" ht="18" customHeight="1">
      <c r="C534" s="44"/>
      <c r="D534" s="44"/>
      <c r="E534" s="44"/>
      <c r="F534" s="44"/>
      <c r="G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</row>
    <row r="535" spans="3:46" ht="18" customHeight="1">
      <c r="C535" s="44"/>
      <c r="D535" s="44"/>
      <c r="E535" s="44"/>
      <c r="F535" s="44"/>
      <c r="G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</row>
    <row r="536" spans="3:46" ht="18" customHeight="1">
      <c r="C536" s="44"/>
      <c r="D536" s="44"/>
      <c r="E536" s="44"/>
      <c r="F536" s="44"/>
      <c r="G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</row>
    <row r="537" spans="3:46" ht="18" customHeight="1">
      <c r="C537" s="44"/>
      <c r="D537" s="44"/>
      <c r="E537" s="44"/>
      <c r="F537" s="44"/>
      <c r="G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</row>
    <row r="538" spans="3:46" ht="18" customHeight="1">
      <c r="C538" s="44"/>
      <c r="D538" s="44"/>
      <c r="E538" s="44"/>
      <c r="F538" s="44"/>
      <c r="G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</row>
    <row r="539" spans="3:46" ht="18" customHeight="1">
      <c r="C539" s="44"/>
      <c r="D539" s="44"/>
      <c r="E539" s="44"/>
      <c r="F539" s="44"/>
      <c r="G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</row>
    <row r="540" spans="3:46" ht="18" customHeight="1">
      <c r="C540" s="44"/>
      <c r="D540" s="44"/>
      <c r="E540" s="44"/>
      <c r="F540" s="44"/>
      <c r="G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</row>
    <row r="541" spans="3:46" ht="18" customHeight="1">
      <c r="C541" s="44"/>
      <c r="D541" s="44"/>
      <c r="E541" s="44"/>
      <c r="F541" s="44"/>
      <c r="G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</row>
    <row r="542" spans="3:46" ht="18" customHeight="1">
      <c r="C542" s="44"/>
      <c r="D542" s="44"/>
      <c r="E542" s="44"/>
      <c r="F542" s="44"/>
      <c r="G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</row>
    <row r="543" spans="3:46" ht="18" customHeight="1">
      <c r="C543" s="44"/>
      <c r="D543" s="44"/>
      <c r="E543" s="44"/>
      <c r="F543" s="44"/>
      <c r="G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</row>
    <row r="544" spans="3:46" ht="18" customHeight="1">
      <c r="C544" s="44"/>
      <c r="D544" s="44"/>
      <c r="E544" s="44"/>
      <c r="F544" s="44"/>
      <c r="G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</row>
    <row r="545" spans="3:46" ht="18" customHeight="1">
      <c r="C545" s="44"/>
      <c r="D545" s="44"/>
      <c r="E545" s="44"/>
      <c r="F545" s="44"/>
      <c r="G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</row>
    <row r="546" spans="3:46" ht="18" customHeight="1">
      <c r="C546" s="44"/>
      <c r="D546" s="44"/>
      <c r="E546" s="44"/>
      <c r="F546" s="44"/>
      <c r="G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</row>
    <row r="547" spans="3:46" ht="18" customHeight="1">
      <c r="C547" s="44"/>
      <c r="D547" s="44"/>
      <c r="E547" s="44"/>
      <c r="F547" s="44"/>
      <c r="G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</row>
    <row r="548" spans="3:46" ht="18" customHeight="1">
      <c r="C548" s="44"/>
      <c r="D548" s="44"/>
      <c r="E548" s="44"/>
      <c r="F548" s="44"/>
      <c r="G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</row>
    <row r="549" spans="3:46" ht="18" customHeight="1">
      <c r="C549" s="44"/>
      <c r="D549" s="44"/>
      <c r="E549" s="44"/>
      <c r="F549" s="44"/>
      <c r="G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</row>
    <row r="550" spans="3:46" ht="18" customHeight="1">
      <c r="C550" s="44"/>
      <c r="D550" s="44"/>
      <c r="E550" s="44"/>
      <c r="F550" s="44"/>
      <c r="G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</row>
    <row r="551" spans="3:46" ht="18" customHeight="1">
      <c r="C551" s="44"/>
      <c r="D551" s="44"/>
      <c r="E551" s="44"/>
      <c r="F551" s="44"/>
      <c r="G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</row>
    <row r="552" spans="3:46" ht="18" customHeight="1">
      <c r="C552" s="44"/>
      <c r="D552" s="44"/>
      <c r="E552" s="44"/>
      <c r="F552" s="44"/>
      <c r="G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</row>
    <row r="553" spans="3:46" ht="18" customHeight="1">
      <c r="C553" s="44"/>
      <c r="D553" s="44"/>
      <c r="E553" s="44"/>
      <c r="F553" s="44"/>
      <c r="G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</row>
    <row r="554" spans="3:46" ht="18" customHeight="1">
      <c r="C554" s="44"/>
      <c r="D554" s="44"/>
      <c r="E554" s="44"/>
      <c r="F554" s="44"/>
      <c r="G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</row>
    <row r="555" spans="3:46" ht="18" customHeight="1">
      <c r="C555" s="44"/>
      <c r="D555" s="44"/>
      <c r="E555" s="44"/>
      <c r="F555" s="44"/>
      <c r="G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</row>
    <row r="556" spans="3:46" ht="18" customHeight="1">
      <c r="C556" s="44"/>
      <c r="D556" s="44"/>
      <c r="E556" s="44"/>
      <c r="F556" s="44"/>
      <c r="G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</row>
    <row r="557" spans="3:46" ht="18" customHeight="1">
      <c r="C557" s="44"/>
      <c r="D557" s="44"/>
      <c r="E557" s="44"/>
      <c r="F557" s="44"/>
      <c r="G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</row>
    <row r="558" spans="3:46" ht="18" customHeight="1">
      <c r="C558" s="44"/>
      <c r="D558" s="44"/>
      <c r="E558" s="44"/>
      <c r="F558" s="44"/>
      <c r="G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</row>
    <row r="559" spans="3:46" ht="18" customHeight="1">
      <c r="C559" s="44"/>
      <c r="D559" s="44"/>
      <c r="E559" s="44"/>
      <c r="F559" s="44"/>
      <c r="G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</row>
    <row r="560" spans="3:46" ht="18" customHeight="1">
      <c r="C560" s="44"/>
      <c r="D560" s="44"/>
      <c r="E560" s="44"/>
      <c r="F560" s="44"/>
      <c r="G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</row>
    <row r="561" spans="3:46" ht="18" customHeight="1">
      <c r="C561" s="44"/>
      <c r="D561" s="44"/>
      <c r="E561" s="44"/>
      <c r="F561" s="44"/>
      <c r="G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</row>
    <row r="562" spans="3:46" ht="18" customHeight="1">
      <c r="C562" s="44"/>
      <c r="D562" s="44"/>
      <c r="E562" s="44"/>
      <c r="F562" s="44"/>
      <c r="G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</row>
    <row r="563" spans="3:46" ht="18" customHeight="1">
      <c r="C563" s="44"/>
      <c r="D563" s="44"/>
      <c r="E563" s="44"/>
      <c r="F563" s="44"/>
      <c r="G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</row>
    <row r="564" spans="3:46" ht="18" customHeight="1">
      <c r="C564" s="44"/>
      <c r="D564" s="44"/>
      <c r="E564" s="44"/>
      <c r="F564" s="44"/>
      <c r="G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</row>
    <row r="565" spans="3:46" ht="18" customHeight="1">
      <c r="C565" s="44"/>
      <c r="D565" s="44"/>
      <c r="E565" s="44"/>
      <c r="F565" s="44"/>
      <c r="G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</row>
    <row r="566" spans="3:46" ht="18" customHeight="1">
      <c r="C566" s="44"/>
      <c r="D566" s="44"/>
      <c r="E566" s="44"/>
      <c r="F566" s="44"/>
      <c r="G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</row>
    <row r="567" spans="3:46" ht="18" customHeight="1">
      <c r="C567" s="44"/>
      <c r="D567" s="44"/>
      <c r="E567" s="44"/>
      <c r="F567" s="44"/>
      <c r="G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</row>
    <row r="568" spans="3:46" ht="18" customHeight="1">
      <c r="C568" s="44"/>
      <c r="D568" s="44"/>
      <c r="E568" s="44"/>
      <c r="F568" s="44"/>
      <c r="G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</row>
    <row r="569" spans="3:46" ht="18" customHeight="1">
      <c r="C569" s="44"/>
      <c r="D569" s="44"/>
      <c r="E569" s="44"/>
      <c r="F569" s="44"/>
      <c r="G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</row>
    <row r="570" spans="3:46" ht="18" customHeight="1">
      <c r="C570" s="44"/>
      <c r="D570" s="44"/>
      <c r="E570" s="44"/>
      <c r="F570" s="44"/>
      <c r="G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</row>
    <row r="571" spans="3:46" ht="18" customHeight="1">
      <c r="C571" s="44"/>
      <c r="D571" s="44"/>
      <c r="E571" s="44"/>
      <c r="F571" s="44"/>
      <c r="G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</row>
    <row r="572" spans="3:46" ht="18" customHeight="1">
      <c r="C572" s="44"/>
      <c r="D572" s="44"/>
      <c r="E572" s="44"/>
      <c r="F572" s="44"/>
      <c r="G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</row>
    <row r="573" spans="3:46" ht="18" customHeight="1">
      <c r="C573" s="44"/>
      <c r="D573" s="44"/>
      <c r="E573" s="44"/>
      <c r="F573" s="44"/>
      <c r="G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</row>
    <row r="574" spans="3:46" ht="18" customHeight="1">
      <c r="C574" s="44"/>
      <c r="D574" s="44"/>
      <c r="E574" s="44"/>
      <c r="F574" s="44"/>
      <c r="G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</row>
    <row r="575" spans="3:46" ht="18" customHeight="1">
      <c r="C575" s="44"/>
      <c r="D575" s="44"/>
      <c r="E575" s="44"/>
      <c r="F575" s="44"/>
      <c r="G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</row>
    <row r="576" spans="3:46" ht="18" customHeight="1">
      <c r="C576" s="44"/>
      <c r="D576" s="44"/>
      <c r="E576" s="44"/>
      <c r="F576" s="44"/>
      <c r="G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</row>
    <row r="577" spans="3:46" ht="18" customHeight="1">
      <c r="C577" s="44"/>
      <c r="D577" s="44"/>
      <c r="E577" s="44"/>
      <c r="F577" s="44"/>
      <c r="G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</row>
    <row r="578" spans="3:46" ht="18" customHeight="1">
      <c r="C578" s="44"/>
      <c r="D578" s="44"/>
      <c r="E578" s="44"/>
      <c r="F578" s="44"/>
      <c r="G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</row>
    <row r="579" spans="3:46" ht="18" customHeight="1">
      <c r="C579" s="44"/>
      <c r="D579" s="44"/>
      <c r="E579" s="44"/>
      <c r="F579" s="44"/>
      <c r="G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</row>
    <row r="580" spans="3:46" ht="18" customHeight="1">
      <c r="C580" s="44"/>
      <c r="D580" s="44"/>
      <c r="E580" s="44"/>
      <c r="F580" s="44"/>
      <c r="G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</row>
    <row r="581" spans="3:46" ht="18" customHeight="1">
      <c r="C581" s="44"/>
      <c r="D581" s="44"/>
      <c r="E581" s="44"/>
      <c r="F581" s="44"/>
      <c r="G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</row>
    <row r="582" spans="3:46" ht="18" customHeight="1">
      <c r="C582" s="44"/>
      <c r="D582" s="44"/>
      <c r="E582" s="44"/>
      <c r="F582" s="44"/>
      <c r="G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</row>
    <row r="583" spans="3:46" ht="18" customHeight="1">
      <c r="C583" s="44"/>
      <c r="D583" s="44"/>
      <c r="E583" s="44"/>
      <c r="F583" s="44"/>
      <c r="G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</row>
    <row r="584" spans="3:46" ht="18" customHeight="1">
      <c r="C584" s="44"/>
      <c r="D584" s="44"/>
      <c r="E584" s="44"/>
      <c r="F584" s="44"/>
      <c r="G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</row>
    <row r="585" spans="3:46" ht="18" customHeight="1">
      <c r="C585" s="44"/>
      <c r="D585" s="44"/>
      <c r="E585" s="44"/>
      <c r="F585" s="44"/>
      <c r="G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</row>
    <row r="586" spans="3:46" ht="18" customHeight="1">
      <c r="C586" s="44"/>
      <c r="D586" s="44"/>
      <c r="E586" s="44"/>
      <c r="F586" s="44"/>
      <c r="G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</row>
    <row r="587" spans="3:46" ht="18" customHeight="1">
      <c r="C587" s="44"/>
      <c r="D587" s="44"/>
      <c r="E587" s="44"/>
      <c r="F587" s="44"/>
      <c r="G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</row>
    <row r="588" spans="3:46" ht="18" customHeight="1">
      <c r="C588" s="44"/>
      <c r="D588" s="44"/>
      <c r="E588" s="44"/>
      <c r="F588" s="44"/>
      <c r="G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</row>
    <row r="589" spans="3:46" ht="18" customHeight="1">
      <c r="C589" s="44"/>
      <c r="D589" s="44"/>
      <c r="E589" s="44"/>
      <c r="F589" s="44"/>
      <c r="G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</row>
    <row r="590" spans="3:46" ht="18" customHeight="1">
      <c r="C590" s="44"/>
      <c r="D590" s="44"/>
      <c r="E590" s="44"/>
      <c r="F590" s="44"/>
      <c r="G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</row>
    <row r="591" spans="3:46" ht="18" customHeight="1">
      <c r="C591" s="44"/>
      <c r="D591" s="44"/>
      <c r="E591" s="44"/>
      <c r="F591" s="44"/>
      <c r="G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</row>
    <row r="592" spans="3:46" ht="18" customHeight="1">
      <c r="C592" s="44"/>
      <c r="D592" s="44"/>
      <c r="E592" s="44"/>
      <c r="F592" s="44"/>
      <c r="G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</row>
    <row r="593" spans="3:46" ht="18" customHeight="1">
      <c r="C593" s="44"/>
      <c r="D593" s="44"/>
      <c r="E593" s="44"/>
      <c r="F593" s="44"/>
      <c r="G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</row>
    <row r="594" spans="3:46" ht="18" customHeight="1">
      <c r="C594" s="44"/>
      <c r="D594" s="44"/>
      <c r="E594" s="44"/>
      <c r="F594" s="44"/>
      <c r="G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</row>
    <row r="595" spans="3:46" ht="18" customHeight="1">
      <c r="C595" s="44"/>
      <c r="D595" s="44"/>
      <c r="E595" s="44"/>
      <c r="F595" s="44"/>
      <c r="G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</row>
    <row r="596" spans="3:46" ht="18" customHeight="1">
      <c r="C596" s="44"/>
      <c r="D596" s="44"/>
      <c r="E596" s="44"/>
      <c r="F596" s="44"/>
      <c r="G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</row>
    <row r="597" spans="3:46" ht="18" customHeight="1">
      <c r="C597" s="44"/>
      <c r="D597" s="44"/>
      <c r="E597" s="44"/>
      <c r="F597" s="44"/>
      <c r="G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</row>
    <row r="598" spans="3:46" ht="18" customHeight="1">
      <c r="C598" s="44"/>
      <c r="D598" s="44"/>
      <c r="E598" s="44"/>
      <c r="F598" s="44"/>
      <c r="G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</row>
    <row r="599" spans="3:46" ht="18" customHeight="1">
      <c r="C599" s="44"/>
      <c r="D599" s="44"/>
      <c r="E599" s="44"/>
      <c r="F599" s="44"/>
      <c r="G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</row>
    <row r="600" spans="3:46" ht="18" customHeight="1">
      <c r="C600" s="44"/>
      <c r="D600" s="44"/>
      <c r="E600" s="44"/>
      <c r="F600" s="44"/>
      <c r="G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</row>
    <row r="601" spans="3:46" ht="18" customHeight="1">
      <c r="C601" s="44"/>
      <c r="D601" s="44"/>
      <c r="E601" s="44"/>
      <c r="F601" s="44"/>
      <c r="G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</row>
    <row r="602" spans="3:46" ht="18" customHeight="1">
      <c r="C602" s="44"/>
      <c r="D602" s="44"/>
      <c r="E602" s="44"/>
      <c r="F602" s="44"/>
      <c r="G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</row>
    <row r="603" spans="3:46" ht="18" customHeight="1">
      <c r="C603" s="44"/>
      <c r="D603" s="44"/>
      <c r="E603" s="44"/>
      <c r="F603" s="44"/>
      <c r="G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</row>
    <row r="604" spans="3:46" ht="18" customHeight="1">
      <c r="C604" s="44"/>
      <c r="D604" s="44"/>
      <c r="E604" s="44"/>
      <c r="F604" s="44"/>
      <c r="G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</row>
    <row r="605" spans="3:46" ht="18" customHeight="1">
      <c r="C605" s="44"/>
      <c r="D605" s="44"/>
      <c r="E605" s="44"/>
      <c r="F605" s="44"/>
      <c r="G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</row>
    <row r="606" spans="3:46" ht="18" customHeight="1">
      <c r="C606" s="44"/>
      <c r="D606" s="44"/>
      <c r="E606" s="44"/>
      <c r="F606" s="44"/>
      <c r="G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</row>
    <row r="607" spans="3:46" ht="18" customHeight="1">
      <c r="C607" s="44"/>
      <c r="D607" s="44"/>
      <c r="E607" s="44"/>
      <c r="F607" s="44"/>
      <c r="G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</row>
    <row r="608" spans="3:46" ht="18" customHeight="1">
      <c r="C608" s="44"/>
      <c r="D608" s="44"/>
      <c r="E608" s="44"/>
      <c r="F608" s="44"/>
      <c r="G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</row>
    <row r="609" spans="3:46" ht="18" customHeight="1">
      <c r="C609" s="44"/>
      <c r="D609" s="44"/>
      <c r="E609" s="44"/>
      <c r="F609" s="44"/>
      <c r="G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</row>
    <row r="610" spans="3:46" ht="18" customHeight="1">
      <c r="C610" s="44"/>
      <c r="D610" s="44"/>
      <c r="E610" s="44"/>
      <c r="F610" s="44"/>
      <c r="G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</row>
    <row r="611" spans="3:46" ht="18" customHeight="1">
      <c r="C611" s="44"/>
      <c r="D611" s="44"/>
      <c r="E611" s="44"/>
      <c r="F611" s="44"/>
      <c r="G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</row>
    <row r="612" spans="3:46" ht="18" customHeight="1">
      <c r="C612" s="44"/>
      <c r="D612" s="44"/>
      <c r="E612" s="44"/>
      <c r="F612" s="44"/>
      <c r="G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</row>
    <row r="613" spans="3:46" ht="18" customHeight="1">
      <c r="C613" s="44"/>
      <c r="D613" s="44"/>
      <c r="E613" s="44"/>
      <c r="F613" s="44"/>
      <c r="G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</row>
    <row r="614" spans="3:46" ht="18" customHeight="1">
      <c r="C614" s="44"/>
      <c r="D614" s="44"/>
      <c r="E614" s="44"/>
      <c r="F614" s="44"/>
      <c r="G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</row>
    <row r="615" spans="3:46" ht="18" customHeight="1">
      <c r="C615" s="44"/>
      <c r="D615" s="44"/>
      <c r="E615" s="44"/>
      <c r="F615" s="44"/>
      <c r="G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</row>
    <row r="616" spans="3:46" ht="18" customHeight="1">
      <c r="C616" s="44"/>
      <c r="D616" s="44"/>
      <c r="E616" s="44"/>
      <c r="F616" s="44"/>
      <c r="G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</row>
    <row r="617" spans="3:46" ht="18" customHeight="1">
      <c r="C617" s="44"/>
      <c r="D617" s="44"/>
      <c r="E617" s="44"/>
      <c r="F617" s="44"/>
      <c r="G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</row>
    <row r="618" spans="3:46" ht="18" customHeight="1">
      <c r="C618" s="44"/>
      <c r="D618" s="44"/>
      <c r="E618" s="44"/>
      <c r="F618" s="44"/>
      <c r="G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</row>
    <row r="619" spans="3:46" ht="18" customHeight="1">
      <c r="C619" s="44"/>
      <c r="D619" s="44"/>
      <c r="E619" s="44"/>
      <c r="F619" s="44"/>
      <c r="G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</row>
    <row r="620" spans="3:46" ht="18" customHeight="1">
      <c r="C620" s="44"/>
      <c r="D620" s="44"/>
      <c r="E620" s="44"/>
      <c r="F620" s="44"/>
      <c r="G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</row>
    <row r="621" spans="3:46" ht="18" customHeight="1">
      <c r="C621" s="44"/>
      <c r="D621" s="44"/>
      <c r="E621" s="44"/>
      <c r="F621" s="44"/>
      <c r="G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</row>
    <row r="622" spans="3:46" ht="18" customHeight="1">
      <c r="C622" s="44"/>
      <c r="D622" s="44"/>
      <c r="E622" s="44"/>
      <c r="F622" s="44"/>
      <c r="G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</row>
    <row r="623" spans="3:46" ht="18" customHeight="1">
      <c r="C623" s="44"/>
      <c r="D623" s="44"/>
      <c r="E623" s="44"/>
      <c r="F623" s="44"/>
      <c r="G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</row>
    <row r="624" spans="3:46" ht="18" customHeight="1">
      <c r="C624" s="44"/>
      <c r="D624" s="44"/>
      <c r="E624" s="44"/>
      <c r="F624" s="44"/>
      <c r="G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</row>
    <row r="625" spans="3:46" ht="18" customHeight="1">
      <c r="C625" s="44"/>
      <c r="D625" s="44"/>
      <c r="E625" s="44"/>
      <c r="F625" s="44"/>
      <c r="G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</row>
    <row r="626" spans="3:46" ht="18" customHeight="1">
      <c r="C626" s="44"/>
      <c r="D626" s="44"/>
      <c r="E626" s="44"/>
      <c r="F626" s="44"/>
      <c r="G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</row>
    <row r="627" spans="3:46" ht="18" customHeight="1">
      <c r="C627" s="44"/>
      <c r="D627" s="44"/>
      <c r="E627" s="44"/>
      <c r="F627" s="44"/>
      <c r="G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</row>
    <row r="628" spans="3:46" ht="18" customHeight="1">
      <c r="C628" s="44"/>
      <c r="D628" s="44"/>
      <c r="E628" s="44"/>
      <c r="F628" s="44"/>
      <c r="G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</row>
    <row r="629" spans="3:46" ht="18" customHeight="1">
      <c r="C629" s="44"/>
      <c r="D629" s="44"/>
      <c r="E629" s="44"/>
      <c r="F629" s="44"/>
      <c r="G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</row>
    <row r="630" spans="3:46" ht="18" customHeight="1">
      <c r="C630" s="44"/>
      <c r="D630" s="44"/>
      <c r="E630" s="44"/>
      <c r="F630" s="44"/>
      <c r="G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</row>
    <row r="631" spans="3:46" ht="18" customHeight="1">
      <c r="C631" s="44"/>
      <c r="D631" s="44"/>
      <c r="E631" s="44"/>
      <c r="F631" s="44"/>
      <c r="G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</row>
    <row r="632" spans="3:46" ht="18" customHeight="1">
      <c r="C632" s="44"/>
      <c r="D632" s="44"/>
      <c r="E632" s="44"/>
      <c r="F632" s="44"/>
      <c r="G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</row>
    <row r="633" spans="3:46" ht="18" customHeight="1">
      <c r="C633" s="44"/>
      <c r="D633" s="44"/>
      <c r="E633" s="44"/>
      <c r="F633" s="44"/>
      <c r="G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</row>
    <row r="634" spans="3:46" ht="18" customHeight="1">
      <c r="C634" s="44"/>
      <c r="D634" s="44"/>
      <c r="E634" s="44"/>
      <c r="F634" s="44"/>
      <c r="G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</row>
    <row r="635" spans="3:46" ht="18" customHeight="1">
      <c r="C635" s="44"/>
      <c r="D635" s="44"/>
      <c r="E635" s="44"/>
      <c r="F635" s="44"/>
      <c r="G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</row>
    <row r="636" spans="3:46" ht="18" customHeight="1">
      <c r="C636" s="44"/>
      <c r="D636" s="44"/>
      <c r="E636" s="44"/>
      <c r="F636" s="44"/>
      <c r="G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</row>
    <row r="637" spans="3:46" ht="18" customHeight="1">
      <c r="C637" s="44"/>
      <c r="D637" s="44"/>
      <c r="E637" s="44"/>
      <c r="F637" s="44"/>
      <c r="G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</row>
    <row r="638" spans="3:46" ht="18" customHeight="1">
      <c r="C638" s="44"/>
      <c r="D638" s="44"/>
      <c r="E638" s="44"/>
      <c r="F638" s="44"/>
      <c r="G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</row>
    <row r="639" spans="3:46" ht="18" customHeight="1">
      <c r="C639" s="44"/>
      <c r="D639" s="44"/>
      <c r="E639" s="44"/>
      <c r="F639" s="44"/>
      <c r="G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</row>
    <row r="640" spans="3:46" ht="18" customHeight="1">
      <c r="C640" s="44"/>
      <c r="D640" s="44"/>
      <c r="E640" s="44"/>
      <c r="F640" s="44"/>
      <c r="G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</row>
    <row r="641" spans="3:46" ht="18" customHeight="1">
      <c r="C641" s="44"/>
      <c r="D641" s="44"/>
      <c r="E641" s="44"/>
      <c r="F641" s="44"/>
      <c r="G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</row>
    <row r="642" spans="3:46" ht="18" customHeight="1">
      <c r="C642" s="44"/>
      <c r="D642" s="44"/>
      <c r="E642" s="44"/>
      <c r="F642" s="44"/>
      <c r="G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</row>
    <row r="643" spans="3:46" ht="18" customHeight="1">
      <c r="C643" s="44"/>
      <c r="D643" s="44"/>
      <c r="E643" s="44"/>
      <c r="F643" s="44"/>
      <c r="G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</row>
    <row r="644" spans="3:46" ht="18" customHeight="1">
      <c r="C644" s="44"/>
      <c r="D644" s="44"/>
      <c r="E644" s="44"/>
      <c r="F644" s="44"/>
      <c r="G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</row>
    <row r="645" spans="3:46" ht="18" customHeight="1">
      <c r="C645" s="44"/>
      <c r="D645" s="44"/>
      <c r="E645" s="44"/>
      <c r="F645" s="44"/>
      <c r="G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</row>
    <row r="646" spans="3:46" ht="18" customHeight="1">
      <c r="C646" s="44"/>
      <c r="D646" s="44"/>
      <c r="E646" s="44"/>
      <c r="F646" s="44"/>
      <c r="G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</row>
    <row r="647" spans="3:46" ht="18" customHeight="1">
      <c r="C647" s="44"/>
      <c r="D647" s="44"/>
      <c r="E647" s="44"/>
      <c r="F647" s="44"/>
      <c r="G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</row>
    <row r="648" spans="3:46" ht="18" customHeight="1">
      <c r="C648" s="44"/>
      <c r="D648" s="44"/>
      <c r="E648" s="44"/>
      <c r="F648" s="44"/>
      <c r="G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</row>
    <row r="649" spans="3:46" ht="18" customHeight="1">
      <c r="C649" s="44"/>
      <c r="D649" s="44"/>
      <c r="E649" s="44"/>
      <c r="F649" s="44"/>
      <c r="G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</row>
    <row r="650" spans="3:46" ht="18" customHeight="1">
      <c r="C650" s="44"/>
      <c r="D650" s="44"/>
      <c r="E650" s="44"/>
      <c r="F650" s="44"/>
      <c r="G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</row>
    <row r="651" spans="3:46" ht="18" customHeight="1">
      <c r="C651" s="44"/>
      <c r="D651" s="44"/>
      <c r="E651" s="44"/>
      <c r="F651" s="44"/>
      <c r="G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</row>
    <row r="652" spans="3:46" ht="18" customHeight="1">
      <c r="C652" s="44"/>
      <c r="D652" s="44"/>
      <c r="E652" s="44"/>
      <c r="F652" s="44"/>
      <c r="G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</row>
    <row r="653" spans="3:46" ht="18" customHeight="1">
      <c r="C653" s="44"/>
      <c r="D653" s="44"/>
      <c r="E653" s="44"/>
      <c r="F653" s="44"/>
      <c r="G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</row>
    <row r="654" spans="3:46" ht="18" customHeight="1">
      <c r="C654" s="44"/>
      <c r="D654" s="44"/>
      <c r="E654" s="44"/>
      <c r="F654" s="44"/>
      <c r="G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</row>
    <row r="655" spans="3:46" ht="18" customHeight="1">
      <c r="C655" s="44"/>
      <c r="D655" s="44"/>
      <c r="E655" s="44"/>
      <c r="F655" s="44"/>
      <c r="G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</row>
    <row r="656" spans="3:46" ht="18" customHeight="1">
      <c r="C656" s="44"/>
      <c r="D656" s="44"/>
      <c r="E656" s="44"/>
      <c r="F656" s="44"/>
      <c r="G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</row>
    <row r="657" spans="3:46" ht="18" customHeight="1">
      <c r="C657" s="44"/>
      <c r="D657" s="44"/>
      <c r="E657" s="44"/>
      <c r="F657" s="44"/>
      <c r="G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</row>
    <row r="658" spans="3:46" ht="18" customHeight="1">
      <c r="C658" s="44"/>
      <c r="D658" s="44"/>
      <c r="E658" s="44"/>
      <c r="F658" s="44"/>
      <c r="G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</row>
    <row r="659" spans="3:46" ht="18" customHeight="1">
      <c r="C659" s="44"/>
      <c r="D659" s="44"/>
      <c r="E659" s="44"/>
      <c r="F659" s="44"/>
      <c r="G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</row>
    <row r="660" spans="3:46" ht="18" customHeight="1">
      <c r="C660" s="44"/>
      <c r="D660" s="44"/>
      <c r="E660" s="44"/>
      <c r="F660" s="44"/>
      <c r="G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</row>
    <row r="661" spans="3:46" ht="18" customHeight="1">
      <c r="C661" s="44"/>
      <c r="D661" s="44"/>
      <c r="E661" s="44"/>
      <c r="F661" s="44"/>
      <c r="G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</row>
    <row r="662" spans="3:46" ht="18" customHeight="1">
      <c r="C662" s="44"/>
      <c r="D662" s="44"/>
      <c r="E662" s="44"/>
      <c r="F662" s="44"/>
      <c r="G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</row>
    <row r="663" spans="3:46" ht="18" customHeight="1">
      <c r="C663" s="44"/>
      <c r="D663" s="44"/>
      <c r="E663" s="44"/>
      <c r="F663" s="44"/>
      <c r="G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</row>
    <row r="664" spans="3:46" ht="18" customHeight="1">
      <c r="C664" s="44"/>
      <c r="D664" s="44"/>
      <c r="E664" s="44"/>
      <c r="F664" s="44"/>
      <c r="G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</row>
    <row r="665" spans="3:46" ht="18" customHeight="1">
      <c r="C665" s="44"/>
      <c r="D665" s="44"/>
      <c r="E665" s="44"/>
      <c r="F665" s="44"/>
      <c r="G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</row>
    <row r="666" spans="3:46" ht="18" customHeight="1">
      <c r="C666" s="44"/>
      <c r="D666" s="44"/>
      <c r="E666" s="44"/>
      <c r="F666" s="44"/>
      <c r="G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</row>
    <row r="667" spans="3:46" ht="18" customHeight="1">
      <c r="C667" s="44"/>
      <c r="D667" s="44"/>
      <c r="E667" s="44"/>
      <c r="F667" s="44"/>
      <c r="G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</row>
    <row r="668" spans="3:46" ht="18" customHeight="1">
      <c r="C668" s="44"/>
      <c r="D668" s="44"/>
      <c r="E668" s="44"/>
      <c r="F668" s="44"/>
      <c r="G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</row>
    <row r="669" spans="3:46" ht="18" customHeight="1">
      <c r="C669" s="44"/>
      <c r="D669" s="44"/>
      <c r="E669" s="44"/>
      <c r="F669" s="44"/>
      <c r="G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</row>
    <row r="670" spans="3:46" ht="18" customHeight="1">
      <c r="C670" s="44"/>
      <c r="D670" s="44"/>
      <c r="E670" s="44"/>
      <c r="F670" s="44"/>
      <c r="G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</row>
    <row r="671" spans="3:46" ht="18" customHeight="1">
      <c r="C671" s="44"/>
      <c r="D671" s="44"/>
      <c r="E671" s="44"/>
      <c r="F671" s="44"/>
      <c r="G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</row>
    <row r="672" spans="3:46" ht="18" customHeight="1">
      <c r="C672" s="44"/>
      <c r="D672" s="44"/>
      <c r="E672" s="44"/>
      <c r="F672" s="44"/>
      <c r="G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</row>
    <row r="673" spans="3:46" ht="18" customHeight="1">
      <c r="C673" s="44"/>
      <c r="D673" s="44"/>
      <c r="E673" s="44"/>
      <c r="F673" s="44"/>
      <c r="G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</row>
    <row r="674" spans="3:46" ht="18" customHeight="1">
      <c r="C674" s="44"/>
      <c r="D674" s="44"/>
      <c r="E674" s="44"/>
      <c r="F674" s="44"/>
      <c r="G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</row>
    <row r="675" spans="3:46" ht="18" customHeight="1">
      <c r="C675" s="44"/>
      <c r="D675" s="44"/>
      <c r="E675" s="44"/>
      <c r="F675" s="44"/>
      <c r="G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</row>
    <row r="676" spans="3:46" ht="18" customHeight="1">
      <c r="C676" s="44"/>
      <c r="D676" s="44"/>
      <c r="E676" s="44"/>
      <c r="F676" s="44"/>
      <c r="G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</row>
    <row r="677" spans="3:46" ht="18" customHeight="1">
      <c r="C677" s="44"/>
      <c r="D677" s="44"/>
      <c r="E677" s="44"/>
      <c r="F677" s="44"/>
      <c r="G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</row>
    <row r="678" spans="3:46" ht="18" customHeight="1">
      <c r="C678" s="44"/>
      <c r="D678" s="44"/>
      <c r="E678" s="44"/>
      <c r="F678" s="44"/>
      <c r="G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</row>
    <row r="679" spans="3:46" ht="18" customHeight="1">
      <c r="C679" s="44"/>
      <c r="D679" s="44"/>
      <c r="E679" s="44"/>
      <c r="F679" s="44"/>
      <c r="G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</row>
    <row r="680" spans="3:46" ht="18" customHeight="1">
      <c r="C680" s="44"/>
      <c r="D680" s="44"/>
      <c r="E680" s="44"/>
      <c r="F680" s="44"/>
      <c r="G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</row>
    <row r="681" spans="3:46" ht="18" customHeight="1">
      <c r="C681" s="44"/>
      <c r="D681" s="44"/>
      <c r="E681" s="44"/>
      <c r="F681" s="44"/>
      <c r="G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</row>
    <row r="682" spans="3:46" ht="18" customHeight="1">
      <c r="C682" s="44"/>
      <c r="D682" s="44"/>
      <c r="E682" s="44"/>
      <c r="F682" s="44"/>
      <c r="G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</row>
    <row r="683" spans="3:46" ht="18" customHeight="1">
      <c r="C683" s="44"/>
      <c r="D683" s="44"/>
      <c r="E683" s="44"/>
      <c r="F683" s="44"/>
      <c r="G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</row>
    <row r="684" spans="3:46" ht="18" customHeight="1">
      <c r="C684" s="44"/>
      <c r="D684" s="44"/>
      <c r="E684" s="44"/>
      <c r="F684" s="44"/>
      <c r="G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</row>
    <row r="685" spans="3:46" ht="18" customHeight="1">
      <c r="C685" s="44"/>
      <c r="D685" s="44"/>
      <c r="E685" s="44"/>
      <c r="F685" s="44"/>
      <c r="G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</row>
    <row r="686" spans="3:46" ht="18" customHeight="1">
      <c r="C686" s="44"/>
      <c r="D686" s="44"/>
      <c r="E686" s="44"/>
      <c r="F686" s="44"/>
      <c r="G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</row>
    <row r="687" spans="3:46" ht="18" customHeight="1">
      <c r="C687" s="44"/>
      <c r="D687" s="44"/>
      <c r="E687" s="44"/>
      <c r="F687" s="44"/>
      <c r="G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</row>
    <row r="688" spans="3:46" ht="18" customHeight="1">
      <c r="C688" s="44"/>
      <c r="D688" s="44"/>
      <c r="E688" s="44"/>
      <c r="F688" s="44"/>
      <c r="G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</row>
    <row r="689" spans="3:46" ht="18" customHeight="1">
      <c r="C689" s="44"/>
      <c r="D689" s="44"/>
      <c r="E689" s="44"/>
      <c r="F689" s="44"/>
      <c r="G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</row>
    <row r="690" spans="3:46" ht="18" customHeight="1">
      <c r="C690" s="44"/>
      <c r="D690" s="44"/>
      <c r="E690" s="44"/>
      <c r="F690" s="44"/>
      <c r="G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</row>
    <row r="691" spans="3:46" ht="18" customHeight="1">
      <c r="C691" s="44"/>
      <c r="D691" s="44"/>
      <c r="E691" s="44"/>
      <c r="F691" s="44"/>
      <c r="G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</row>
    <row r="692" spans="3:46" ht="18" customHeight="1">
      <c r="C692" s="44"/>
      <c r="D692" s="44"/>
      <c r="E692" s="44"/>
      <c r="F692" s="44"/>
      <c r="G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</row>
    <row r="693" spans="3:46" ht="18" customHeight="1">
      <c r="C693" s="44"/>
      <c r="D693" s="44"/>
      <c r="E693" s="44"/>
      <c r="F693" s="44"/>
      <c r="G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</row>
    <row r="694" spans="3:46" ht="18" customHeight="1">
      <c r="C694" s="44"/>
      <c r="D694" s="44"/>
      <c r="E694" s="44"/>
      <c r="F694" s="44"/>
      <c r="G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</row>
    <row r="695" spans="3:46" ht="18" customHeight="1">
      <c r="C695" s="44"/>
      <c r="D695" s="44"/>
      <c r="E695" s="44"/>
      <c r="F695" s="44"/>
      <c r="G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</row>
    <row r="696" spans="3:46" ht="18" customHeight="1">
      <c r="C696" s="44"/>
      <c r="D696" s="44"/>
      <c r="E696" s="44"/>
      <c r="F696" s="44"/>
      <c r="G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</row>
    <row r="697" spans="3:46" ht="18" customHeight="1">
      <c r="C697" s="44"/>
      <c r="D697" s="44"/>
      <c r="E697" s="44"/>
      <c r="F697" s="44"/>
      <c r="G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</row>
    <row r="698" spans="3:46" ht="18" customHeight="1">
      <c r="C698" s="44"/>
      <c r="D698" s="44"/>
      <c r="E698" s="44"/>
      <c r="F698" s="44"/>
      <c r="G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</row>
    <row r="699" spans="3:46" ht="18" customHeight="1">
      <c r="C699" s="44"/>
      <c r="D699" s="44"/>
      <c r="E699" s="44"/>
      <c r="F699" s="44"/>
      <c r="G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</row>
    <row r="700" spans="3:46" ht="18" customHeight="1">
      <c r="C700" s="44"/>
      <c r="D700" s="44"/>
      <c r="E700" s="44"/>
      <c r="F700" s="44"/>
      <c r="G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</row>
    <row r="701" spans="3:46" ht="18" customHeight="1">
      <c r="C701" s="44"/>
      <c r="D701" s="44"/>
      <c r="E701" s="44"/>
      <c r="F701" s="44"/>
      <c r="G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</row>
    <row r="702" spans="3:46" ht="18" customHeight="1">
      <c r="C702" s="44"/>
      <c r="D702" s="44"/>
      <c r="E702" s="44"/>
      <c r="F702" s="44"/>
      <c r="G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</row>
    <row r="703" spans="3:46" ht="18" customHeight="1">
      <c r="C703" s="44"/>
      <c r="D703" s="44"/>
      <c r="E703" s="44"/>
      <c r="F703" s="44"/>
      <c r="G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</row>
    <row r="704" spans="3:46" ht="18" customHeight="1">
      <c r="C704" s="44"/>
      <c r="D704" s="44"/>
      <c r="E704" s="44"/>
      <c r="F704" s="44"/>
      <c r="G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</row>
    <row r="705" spans="3:46" ht="18" customHeight="1">
      <c r="C705" s="44"/>
      <c r="D705" s="44"/>
      <c r="E705" s="44"/>
      <c r="F705" s="44"/>
      <c r="G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</row>
    <row r="706" spans="3:46" ht="18" customHeight="1">
      <c r="C706" s="44"/>
      <c r="D706" s="44"/>
      <c r="E706" s="44"/>
      <c r="F706" s="44"/>
      <c r="G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</row>
    <row r="707" spans="3:46" ht="18" customHeight="1">
      <c r="C707" s="44"/>
      <c r="D707" s="44"/>
      <c r="E707" s="44"/>
      <c r="F707" s="44"/>
      <c r="G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</row>
    <row r="708" spans="3:46" ht="18" customHeight="1">
      <c r="C708" s="44"/>
      <c r="D708" s="44"/>
      <c r="E708" s="44"/>
      <c r="F708" s="44"/>
      <c r="G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</row>
    <row r="709" spans="3:46" ht="18" customHeight="1">
      <c r="C709" s="44"/>
      <c r="D709" s="44"/>
      <c r="E709" s="44"/>
      <c r="F709" s="44"/>
      <c r="G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</row>
    <row r="710" spans="3:46" ht="18" customHeight="1">
      <c r="C710" s="44"/>
      <c r="D710" s="44"/>
      <c r="E710" s="44"/>
      <c r="F710" s="44"/>
      <c r="G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</row>
    <row r="711" spans="3:46" ht="18" customHeight="1">
      <c r="C711" s="44"/>
      <c r="D711" s="44"/>
      <c r="E711" s="44"/>
      <c r="F711" s="44"/>
      <c r="G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</row>
    <row r="712" spans="3:46" ht="18" customHeight="1">
      <c r="C712" s="44"/>
      <c r="D712" s="44"/>
      <c r="E712" s="44"/>
      <c r="F712" s="44"/>
      <c r="G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</row>
    <row r="713" spans="3:46" ht="18" customHeight="1">
      <c r="C713" s="44"/>
      <c r="D713" s="44"/>
      <c r="E713" s="44"/>
      <c r="F713" s="44"/>
      <c r="G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</row>
    <row r="714" spans="3:46" ht="18" customHeight="1">
      <c r="C714" s="44"/>
      <c r="D714" s="44"/>
      <c r="E714" s="44"/>
      <c r="F714" s="44"/>
      <c r="G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</row>
    <row r="715" spans="3:46" ht="18" customHeight="1">
      <c r="C715" s="44"/>
      <c r="D715" s="44"/>
      <c r="E715" s="44"/>
      <c r="F715" s="44"/>
      <c r="G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</row>
    <row r="716" spans="3:46" ht="18" customHeight="1">
      <c r="C716" s="44"/>
      <c r="D716" s="44"/>
      <c r="E716" s="44"/>
      <c r="F716" s="44"/>
      <c r="G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</row>
    <row r="717" spans="3:46" ht="18" customHeight="1">
      <c r="C717" s="44"/>
      <c r="D717" s="44"/>
      <c r="E717" s="44"/>
      <c r="F717" s="44"/>
      <c r="G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</row>
    <row r="718" spans="3:46" ht="18" customHeight="1">
      <c r="C718" s="44"/>
      <c r="D718" s="44"/>
      <c r="E718" s="44"/>
      <c r="F718" s="44"/>
      <c r="G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</row>
    <row r="719" spans="3:46" ht="18" customHeight="1">
      <c r="C719" s="44"/>
      <c r="D719" s="44"/>
      <c r="E719" s="44"/>
      <c r="F719" s="44"/>
      <c r="G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</row>
    <row r="720" spans="3:46" ht="18" customHeight="1">
      <c r="C720" s="44"/>
      <c r="D720" s="44"/>
      <c r="E720" s="44"/>
      <c r="F720" s="44"/>
      <c r="G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</row>
    <row r="721" spans="3:46" ht="18" customHeight="1">
      <c r="C721" s="44"/>
      <c r="D721" s="44"/>
      <c r="E721" s="44"/>
      <c r="F721" s="44"/>
      <c r="G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</row>
    <row r="722" spans="3:46" ht="18" customHeight="1">
      <c r="C722" s="44"/>
      <c r="D722" s="44"/>
      <c r="E722" s="44"/>
      <c r="F722" s="44"/>
      <c r="G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</row>
    <row r="723" spans="3:46" ht="18" customHeight="1">
      <c r="C723" s="44"/>
      <c r="D723" s="44"/>
      <c r="E723" s="44"/>
      <c r="F723" s="44"/>
      <c r="G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</row>
    <row r="724" spans="3:46" ht="18" customHeight="1">
      <c r="C724" s="44"/>
      <c r="D724" s="44"/>
      <c r="E724" s="44"/>
      <c r="F724" s="44"/>
      <c r="G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</row>
    <row r="725" spans="3:46" ht="18" customHeight="1">
      <c r="C725" s="44"/>
      <c r="D725" s="44"/>
      <c r="E725" s="44"/>
      <c r="F725" s="44"/>
      <c r="G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</row>
    <row r="726" spans="3:46" ht="18" customHeight="1">
      <c r="C726" s="44"/>
      <c r="D726" s="44"/>
      <c r="E726" s="44"/>
      <c r="F726" s="44"/>
      <c r="G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</row>
    <row r="727" spans="3:46" ht="18" customHeight="1">
      <c r="C727" s="44"/>
      <c r="D727" s="44"/>
      <c r="E727" s="44"/>
      <c r="F727" s="44"/>
      <c r="G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</row>
    <row r="728" spans="3:46" ht="18" customHeight="1">
      <c r="C728" s="44"/>
      <c r="D728" s="44"/>
      <c r="E728" s="44"/>
      <c r="F728" s="44"/>
      <c r="G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</row>
    <row r="729" spans="3:46" ht="18" customHeight="1">
      <c r="C729" s="44"/>
      <c r="D729" s="44"/>
      <c r="E729" s="44"/>
      <c r="F729" s="44"/>
      <c r="G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</row>
    <row r="730" spans="3:46" ht="18" customHeight="1">
      <c r="C730" s="44"/>
      <c r="D730" s="44"/>
      <c r="E730" s="44"/>
      <c r="F730" s="44"/>
      <c r="G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</row>
    <row r="731" spans="3:46" ht="18" customHeight="1">
      <c r="C731" s="44"/>
      <c r="D731" s="44"/>
      <c r="E731" s="44"/>
      <c r="F731" s="44"/>
      <c r="G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</row>
    <row r="732" spans="3:46" ht="18" customHeight="1">
      <c r="C732" s="44"/>
      <c r="D732" s="44"/>
      <c r="E732" s="44"/>
      <c r="F732" s="44"/>
      <c r="G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</row>
    <row r="733" spans="3:46" ht="18" customHeight="1">
      <c r="C733" s="44"/>
      <c r="D733" s="44"/>
      <c r="E733" s="44"/>
      <c r="F733" s="44"/>
      <c r="G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</row>
    <row r="734" spans="3:46" ht="18" customHeight="1">
      <c r="C734" s="44"/>
      <c r="D734" s="44"/>
      <c r="E734" s="44"/>
      <c r="F734" s="44"/>
      <c r="G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</row>
    <row r="735" spans="3:46" ht="18" customHeight="1">
      <c r="C735" s="44"/>
      <c r="D735" s="44"/>
      <c r="E735" s="44"/>
      <c r="F735" s="44"/>
      <c r="G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</row>
    <row r="736" spans="3:46" ht="18" customHeight="1">
      <c r="C736" s="44"/>
      <c r="D736" s="44"/>
      <c r="E736" s="44"/>
      <c r="F736" s="44"/>
      <c r="G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</row>
    <row r="737" spans="3:46" ht="18" customHeight="1">
      <c r="C737" s="44"/>
      <c r="D737" s="44"/>
      <c r="E737" s="44"/>
      <c r="F737" s="44"/>
      <c r="G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</row>
    <row r="738" spans="3:46" ht="18" customHeight="1">
      <c r="C738" s="44"/>
      <c r="D738" s="44"/>
      <c r="E738" s="44"/>
      <c r="F738" s="44"/>
      <c r="G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</row>
    <row r="739" spans="3:46" ht="18" customHeight="1">
      <c r="C739" s="44"/>
      <c r="D739" s="44"/>
      <c r="E739" s="44"/>
      <c r="F739" s="44"/>
      <c r="G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</row>
    <row r="740" spans="3:46" ht="18" customHeight="1">
      <c r="C740" s="44"/>
      <c r="D740" s="44"/>
      <c r="E740" s="44"/>
      <c r="F740" s="44"/>
      <c r="G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</row>
    <row r="741" spans="3:46" ht="18" customHeight="1">
      <c r="C741" s="44"/>
      <c r="D741" s="44"/>
      <c r="E741" s="44"/>
      <c r="F741" s="44"/>
      <c r="G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</row>
    <row r="742" spans="3:46" ht="18" customHeight="1">
      <c r="C742" s="44"/>
      <c r="D742" s="44"/>
      <c r="E742" s="44"/>
      <c r="F742" s="44"/>
      <c r="G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</row>
    <row r="743" spans="3:46" ht="18" customHeight="1">
      <c r="C743" s="44"/>
      <c r="D743" s="44"/>
      <c r="E743" s="44"/>
      <c r="F743" s="44"/>
      <c r="G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</row>
    <row r="744" spans="3:46" ht="18" customHeight="1">
      <c r="C744" s="44"/>
      <c r="D744" s="44"/>
      <c r="E744" s="44"/>
      <c r="F744" s="44"/>
      <c r="G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</row>
    <row r="745" spans="3:46" ht="18" customHeight="1">
      <c r="C745" s="44"/>
      <c r="D745" s="44"/>
      <c r="E745" s="44"/>
      <c r="F745" s="44"/>
      <c r="G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</row>
    <row r="746" spans="3:46" ht="18" customHeight="1">
      <c r="C746" s="44"/>
      <c r="D746" s="44"/>
      <c r="E746" s="44"/>
      <c r="F746" s="44"/>
      <c r="G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</row>
    <row r="747" spans="3:46" ht="18" customHeight="1">
      <c r="C747" s="44"/>
      <c r="D747" s="44"/>
      <c r="E747" s="44"/>
      <c r="F747" s="44"/>
      <c r="G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</row>
    <row r="748" spans="3:46" ht="18" customHeight="1">
      <c r="C748" s="44"/>
      <c r="D748" s="44"/>
      <c r="E748" s="44"/>
      <c r="F748" s="44"/>
      <c r="G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</row>
    <row r="749" spans="3:46" ht="18" customHeight="1">
      <c r="C749" s="44"/>
      <c r="D749" s="44"/>
      <c r="E749" s="44"/>
      <c r="F749" s="44"/>
      <c r="G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</row>
    <row r="750" spans="3:46" ht="18" customHeight="1">
      <c r="C750" s="44"/>
      <c r="D750" s="44"/>
      <c r="E750" s="44"/>
      <c r="F750" s="44"/>
      <c r="G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</row>
    <row r="751" spans="3:46" ht="18" customHeight="1">
      <c r="C751" s="44"/>
      <c r="D751" s="44"/>
      <c r="E751" s="44"/>
      <c r="F751" s="44"/>
      <c r="G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</row>
    <row r="752" spans="3:46" ht="18" customHeight="1">
      <c r="C752" s="44"/>
      <c r="D752" s="44"/>
      <c r="E752" s="44"/>
      <c r="F752" s="44"/>
      <c r="G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</row>
    <row r="753" spans="3:46" ht="18" customHeight="1">
      <c r="C753" s="44"/>
      <c r="D753" s="44"/>
      <c r="E753" s="44"/>
      <c r="F753" s="44"/>
      <c r="G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</row>
    <row r="754" spans="3:46" ht="18" customHeight="1">
      <c r="C754" s="44"/>
      <c r="D754" s="44"/>
      <c r="E754" s="44"/>
      <c r="F754" s="44"/>
      <c r="G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</row>
    <row r="755" spans="3:46" ht="18" customHeight="1">
      <c r="C755" s="44"/>
      <c r="D755" s="44"/>
      <c r="E755" s="44"/>
      <c r="F755" s="44"/>
      <c r="G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</row>
    <row r="756" spans="3:46" ht="18" customHeight="1">
      <c r="C756" s="44"/>
      <c r="D756" s="44"/>
      <c r="E756" s="44"/>
      <c r="F756" s="44"/>
      <c r="G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</row>
    <row r="757" spans="3:46" ht="18" customHeight="1">
      <c r="C757" s="44"/>
      <c r="D757" s="44"/>
      <c r="E757" s="44"/>
      <c r="F757" s="44"/>
      <c r="G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</row>
    <row r="758" spans="3:46" ht="18" customHeight="1">
      <c r="C758" s="44"/>
      <c r="D758" s="44"/>
      <c r="E758" s="44"/>
      <c r="F758" s="44"/>
      <c r="G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</row>
    <row r="759" spans="3:46" ht="18" customHeight="1">
      <c r="C759" s="44"/>
      <c r="D759" s="44"/>
      <c r="E759" s="44"/>
      <c r="F759" s="44"/>
      <c r="G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</row>
    <row r="760" spans="3:46" ht="18" customHeight="1">
      <c r="C760" s="44"/>
      <c r="D760" s="44"/>
      <c r="E760" s="44"/>
      <c r="F760" s="44"/>
      <c r="G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</row>
    <row r="761" spans="3:46" ht="18" customHeight="1">
      <c r="C761" s="44"/>
      <c r="D761" s="44"/>
      <c r="E761" s="44"/>
      <c r="F761" s="44"/>
      <c r="G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</row>
    <row r="762" spans="3:46" ht="18" customHeight="1">
      <c r="C762" s="44"/>
      <c r="D762" s="44"/>
      <c r="E762" s="44"/>
      <c r="F762" s="44"/>
      <c r="G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</row>
    <row r="763" spans="3:46" ht="18" customHeight="1">
      <c r="C763" s="44"/>
      <c r="D763" s="44"/>
      <c r="E763" s="44"/>
      <c r="F763" s="44"/>
      <c r="G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</row>
    <row r="764" spans="3:46" ht="18" customHeight="1">
      <c r="C764" s="44"/>
      <c r="D764" s="44"/>
      <c r="E764" s="44"/>
      <c r="F764" s="44"/>
      <c r="G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</row>
    <row r="765" spans="3:46" ht="18" customHeight="1">
      <c r="C765" s="44"/>
      <c r="D765" s="44"/>
      <c r="E765" s="44"/>
      <c r="F765" s="44"/>
      <c r="G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</row>
    <row r="766" spans="3:46" ht="18" customHeight="1">
      <c r="C766" s="44"/>
      <c r="D766" s="44"/>
      <c r="E766" s="44"/>
      <c r="F766" s="44"/>
      <c r="G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</row>
    <row r="767" spans="3:46" ht="18" customHeight="1">
      <c r="C767" s="44"/>
      <c r="D767" s="44"/>
      <c r="E767" s="44"/>
      <c r="F767" s="44"/>
      <c r="G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</row>
    <row r="768" spans="3:46" ht="18" customHeight="1">
      <c r="C768" s="44"/>
      <c r="D768" s="44"/>
      <c r="E768" s="44"/>
      <c r="F768" s="44"/>
      <c r="G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</row>
    <row r="769" spans="3:46" ht="18" customHeight="1">
      <c r="C769" s="44"/>
      <c r="D769" s="44"/>
      <c r="E769" s="44"/>
      <c r="F769" s="44"/>
      <c r="G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</row>
    <row r="770" spans="3:46" ht="18" customHeight="1">
      <c r="C770" s="44"/>
      <c r="D770" s="44"/>
      <c r="E770" s="44"/>
      <c r="F770" s="44"/>
      <c r="G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</row>
    <row r="771" spans="3:46" ht="18" customHeight="1">
      <c r="C771" s="44"/>
      <c r="D771" s="44"/>
      <c r="E771" s="44"/>
      <c r="F771" s="44"/>
      <c r="G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</row>
    <row r="772" spans="3:46" ht="18" customHeight="1">
      <c r="C772" s="44"/>
      <c r="D772" s="44"/>
      <c r="E772" s="44"/>
      <c r="F772" s="44"/>
      <c r="G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</row>
    <row r="773" spans="3:46" ht="18" customHeight="1">
      <c r="C773" s="44"/>
      <c r="D773" s="44"/>
      <c r="E773" s="44"/>
      <c r="F773" s="44"/>
      <c r="G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</row>
    <row r="774" spans="3:46" ht="18" customHeight="1">
      <c r="C774" s="44"/>
      <c r="D774" s="44"/>
      <c r="E774" s="44"/>
      <c r="F774" s="44"/>
      <c r="G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</row>
    <row r="775" spans="3:46" ht="18" customHeight="1">
      <c r="C775" s="44"/>
      <c r="D775" s="44"/>
      <c r="E775" s="44"/>
      <c r="F775" s="44"/>
      <c r="G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</row>
    <row r="776" spans="3:46" ht="18" customHeight="1">
      <c r="C776" s="44"/>
      <c r="D776" s="44"/>
      <c r="E776" s="44"/>
      <c r="F776" s="44"/>
      <c r="G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</row>
    <row r="777" spans="3:46" ht="18" customHeight="1">
      <c r="C777" s="44"/>
      <c r="D777" s="44"/>
      <c r="E777" s="44"/>
      <c r="F777" s="44"/>
      <c r="G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</row>
    <row r="778" spans="3:46" ht="18" customHeight="1">
      <c r="C778" s="44"/>
      <c r="D778" s="44"/>
      <c r="E778" s="44"/>
      <c r="F778" s="44"/>
      <c r="G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</row>
    <row r="779" spans="3:46" ht="18" customHeight="1">
      <c r="C779" s="44"/>
      <c r="D779" s="44"/>
      <c r="E779" s="44"/>
      <c r="F779" s="44"/>
      <c r="G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</row>
    <row r="780" spans="3:46" ht="18" customHeight="1">
      <c r="C780" s="44"/>
      <c r="D780" s="44"/>
      <c r="E780" s="44"/>
      <c r="F780" s="44"/>
      <c r="G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</row>
    <row r="781" spans="3:46" ht="18" customHeight="1">
      <c r="C781" s="44"/>
      <c r="D781" s="44"/>
      <c r="E781" s="44"/>
      <c r="F781" s="44"/>
      <c r="G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</row>
    <row r="782" spans="3:46" ht="18" customHeight="1">
      <c r="C782" s="44"/>
      <c r="D782" s="44"/>
      <c r="E782" s="44"/>
      <c r="F782" s="44"/>
      <c r="G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</row>
    <row r="783" spans="3:46" ht="18" customHeight="1">
      <c r="C783" s="44"/>
      <c r="D783" s="44"/>
      <c r="E783" s="44"/>
      <c r="F783" s="44"/>
      <c r="G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</row>
    <row r="784" spans="3:46" ht="18" customHeight="1">
      <c r="C784" s="44"/>
      <c r="D784" s="44"/>
      <c r="E784" s="44"/>
      <c r="F784" s="44"/>
      <c r="G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</row>
    <row r="785" spans="3:46" ht="18" customHeight="1">
      <c r="C785" s="44"/>
      <c r="D785" s="44"/>
      <c r="E785" s="44"/>
      <c r="F785" s="44"/>
      <c r="G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</row>
    <row r="786" spans="3:46" ht="18" customHeight="1">
      <c r="C786" s="44"/>
      <c r="D786" s="44"/>
      <c r="E786" s="44"/>
      <c r="F786" s="44"/>
      <c r="G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</row>
    <row r="787" spans="3:46" ht="18" customHeight="1">
      <c r="C787" s="44"/>
      <c r="D787" s="44"/>
      <c r="E787" s="44"/>
      <c r="F787" s="44"/>
      <c r="G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</row>
    <row r="788" spans="3:46" ht="18" customHeight="1">
      <c r="C788" s="44"/>
      <c r="D788" s="44"/>
      <c r="E788" s="44"/>
      <c r="F788" s="44"/>
      <c r="G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</row>
    <row r="789" spans="3:46" ht="18" customHeight="1">
      <c r="C789" s="44"/>
      <c r="D789" s="44"/>
      <c r="E789" s="44"/>
      <c r="F789" s="44"/>
      <c r="G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</row>
    <row r="790" spans="3:46" ht="18" customHeight="1">
      <c r="C790" s="44"/>
      <c r="D790" s="44"/>
      <c r="E790" s="44"/>
      <c r="F790" s="44"/>
      <c r="G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</row>
    <row r="791" spans="3:46" ht="18" customHeight="1">
      <c r="C791" s="44"/>
      <c r="D791" s="44"/>
      <c r="E791" s="44"/>
      <c r="F791" s="44"/>
      <c r="G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</row>
    <row r="792" spans="3:46" ht="18" customHeight="1">
      <c r="C792" s="44"/>
      <c r="D792" s="44"/>
      <c r="E792" s="44"/>
      <c r="F792" s="44"/>
      <c r="G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</row>
    <row r="793" spans="3:46" ht="18" customHeight="1">
      <c r="C793" s="44"/>
      <c r="D793" s="44"/>
      <c r="E793" s="44"/>
      <c r="F793" s="44"/>
      <c r="G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</row>
    <row r="794" spans="3:46" ht="18" customHeight="1">
      <c r="C794" s="44"/>
      <c r="D794" s="44"/>
      <c r="E794" s="44"/>
      <c r="F794" s="44"/>
      <c r="G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</row>
    <row r="795" spans="3:46" ht="18" customHeight="1">
      <c r="C795" s="44"/>
      <c r="D795" s="44"/>
      <c r="E795" s="44"/>
      <c r="F795" s="44"/>
      <c r="G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</row>
    <row r="796" spans="3:46" ht="18" customHeight="1">
      <c r="C796" s="44"/>
      <c r="D796" s="44"/>
      <c r="E796" s="44"/>
      <c r="F796" s="44"/>
      <c r="G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</row>
    <row r="797" spans="3:46" ht="18" customHeight="1">
      <c r="C797" s="44"/>
      <c r="D797" s="44"/>
      <c r="E797" s="44"/>
      <c r="F797" s="44"/>
      <c r="G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</row>
    <row r="798" spans="3:46" ht="18" customHeight="1">
      <c r="C798" s="44"/>
      <c r="D798" s="44"/>
      <c r="E798" s="44"/>
      <c r="F798" s="44"/>
      <c r="G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</row>
    <row r="799" spans="3:46" ht="18" customHeight="1">
      <c r="C799" s="44"/>
      <c r="D799" s="44"/>
      <c r="E799" s="44"/>
      <c r="F799" s="44"/>
      <c r="G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</row>
    <row r="800" spans="3:46" ht="18" customHeight="1">
      <c r="C800" s="44"/>
      <c r="D800" s="44"/>
      <c r="E800" s="44"/>
      <c r="F800" s="44"/>
      <c r="G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</row>
    <row r="801" spans="3:46" ht="18" customHeight="1">
      <c r="C801" s="44"/>
      <c r="D801" s="44"/>
      <c r="E801" s="44"/>
      <c r="F801" s="44"/>
      <c r="G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</row>
    <row r="802" spans="3:46" ht="18" customHeight="1">
      <c r="C802" s="44"/>
      <c r="D802" s="44"/>
      <c r="E802" s="44"/>
      <c r="F802" s="44"/>
      <c r="G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</row>
    <row r="803" spans="3:46" ht="18" customHeight="1">
      <c r="C803" s="44"/>
      <c r="D803" s="44"/>
      <c r="E803" s="44"/>
      <c r="F803" s="44"/>
      <c r="G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</row>
    <row r="804" spans="3:46" ht="18" customHeight="1">
      <c r="C804" s="44"/>
      <c r="D804" s="44"/>
      <c r="E804" s="44"/>
      <c r="F804" s="44"/>
      <c r="G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</row>
    <row r="805" spans="3:46" ht="18" customHeight="1">
      <c r="C805" s="44"/>
      <c r="D805" s="44"/>
      <c r="E805" s="44"/>
      <c r="F805" s="44"/>
      <c r="G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</row>
    <row r="806" spans="3:46" ht="18" customHeight="1">
      <c r="C806" s="44"/>
      <c r="D806" s="44"/>
      <c r="E806" s="44"/>
      <c r="F806" s="44"/>
      <c r="G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</row>
    <row r="807" spans="3:46" ht="18" customHeight="1">
      <c r="C807" s="44"/>
      <c r="D807" s="44"/>
      <c r="E807" s="44"/>
      <c r="F807" s="44"/>
      <c r="G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</row>
    <row r="808" spans="3:46" ht="18" customHeight="1">
      <c r="C808" s="44"/>
      <c r="D808" s="44"/>
      <c r="E808" s="44"/>
      <c r="F808" s="44"/>
      <c r="G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</row>
    <row r="809" spans="3:46" ht="18" customHeight="1">
      <c r="C809" s="44"/>
      <c r="D809" s="44"/>
      <c r="E809" s="44"/>
      <c r="F809" s="44"/>
      <c r="G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</row>
    <row r="810" spans="3:46" ht="18" customHeight="1">
      <c r="C810" s="44"/>
      <c r="D810" s="44"/>
      <c r="E810" s="44"/>
      <c r="F810" s="44"/>
      <c r="G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</row>
    <row r="811" spans="3:46" ht="18" customHeight="1">
      <c r="C811" s="44"/>
      <c r="D811" s="44"/>
      <c r="E811" s="44"/>
      <c r="F811" s="44"/>
      <c r="G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</row>
    <row r="812" spans="3:46" ht="18" customHeight="1">
      <c r="C812" s="44"/>
      <c r="D812" s="44"/>
      <c r="E812" s="44"/>
      <c r="F812" s="44"/>
      <c r="G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</row>
    <row r="813" spans="3:46" ht="18" customHeight="1">
      <c r="C813" s="44"/>
      <c r="D813" s="44"/>
      <c r="E813" s="44"/>
      <c r="F813" s="44"/>
      <c r="G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</row>
    <row r="814" spans="3:46" ht="18" customHeight="1">
      <c r="C814" s="44"/>
      <c r="D814" s="44"/>
      <c r="E814" s="44"/>
      <c r="F814" s="44"/>
      <c r="G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</row>
    <row r="815" spans="3:46" ht="18" customHeight="1">
      <c r="C815" s="44"/>
      <c r="D815" s="44"/>
      <c r="E815" s="44"/>
      <c r="F815" s="44"/>
      <c r="G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</row>
    <row r="816" spans="3:46" ht="18" customHeight="1">
      <c r="C816" s="44"/>
      <c r="D816" s="44"/>
      <c r="E816" s="44"/>
      <c r="F816" s="44"/>
      <c r="G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</row>
    <row r="817" spans="3:46" ht="18" customHeight="1">
      <c r="C817" s="44"/>
      <c r="D817" s="44"/>
      <c r="E817" s="44"/>
      <c r="F817" s="44"/>
      <c r="G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</row>
    <row r="818" spans="3:46" ht="18" customHeight="1">
      <c r="C818" s="44"/>
      <c r="D818" s="44"/>
      <c r="E818" s="44"/>
      <c r="F818" s="44"/>
      <c r="G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</row>
    <row r="819" spans="3:46" ht="18" customHeight="1">
      <c r="C819" s="44"/>
      <c r="D819" s="44"/>
      <c r="E819" s="44"/>
      <c r="F819" s="44"/>
      <c r="G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</row>
    <row r="820" spans="3:46" ht="18" customHeight="1">
      <c r="C820" s="44"/>
      <c r="D820" s="44"/>
      <c r="E820" s="44"/>
      <c r="F820" s="44"/>
      <c r="G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</row>
    <row r="821" spans="3:46" ht="18" customHeight="1">
      <c r="C821" s="44"/>
      <c r="D821" s="44"/>
      <c r="E821" s="44"/>
      <c r="F821" s="44"/>
      <c r="G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</row>
    <row r="822" spans="3:46" ht="18" customHeight="1">
      <c r="C822" s="44"/>
      <c r="D822" s="44"/>
      <c r="E822" s="44"/>
      <c r="F822" s="44"/>
      <c r="G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</row>
    <row r="823" spans="3:46" ht="18" customHeight="1">
      <c r="C823" s="44"/>
      <c r="D823" s="44"/>
      <c r="E823" s="44"/>
      <c r="F823" s="44"/>
      <c r="G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</row>
    <row r="824" spans="3:46" ht="18" customHeight="1">
      <c r="C824" s="44"/>
      <c r="D824" s="44"/>
      <c r="E824" s="44"/>
      <c r="F824" s="44"/>
      <c r="G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</row>
    <row r="825" spans="3:46" ht="18" customHeight="1">
      <c r="C825" s="44"/>
      <c r="D825" s="44"/>
      <c r="E825" s="44"/>
      <c r="F825" s="44"/>
      <c r="G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</row>
    <row r="826" spans="3:46" ht="18" customHeight="1">
      <c r="C826" s="44"/>
      <c r="D826" s="44"/>
      <c r="E826" s="44"/>
      <c r="F826" s="44"/>
      <c r="G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</row>
    <row r="827" spans="3:46" ht="18" customHeight="1">
      <c r="C827" s="44"/>
      <c r="D827" s="44"/>
      <c r="E827" s="44"/>
      <c r="F827" s="44"/>
      <c r="G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</row>
    <row r="828" spans="3:46" ht="18" customHeight="1">
      <c r="C828" s="44"/>
      <c r="D828" s="44"/>
      <c r="E828" s="44"/>
      <c r="F828" s="44"/>
      <c r="G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</row>
    <row r="829" spans="3:46" ht="18" customHeight="1">
      <c r="C829" s="44"/>
      <c r="D829" s="44"/>
      <c r="E829" s="44"/>
      <c r="F829" s="44"/>
      <c r="G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</row>
    <row r="830" spans="3:46" ht="18" customHeight="1">
      <c r="C830" s="44"/>
      <c r="D830" s="44"/>
      <c r="E830" s="44"/>
      <c r="F830" s="44"/>
      <c r="G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</row>
    <row r="831" spans="3:46" ht="18" customHeight="1">
      <c r="C831" s="44"/>
      <c r="D831" s="44"/>
      <c r="E831" s="44"/>
      <c r="F831" s="44"/>
      <c r="G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</row>
    <row r="832" spans="3:46" ht="18" customHeight="1">
      <c r="C832" s="44"/>
      <c r="D832" s="44"/>
      <c r="E832" s="44"/>
      <c r="F832" s="44"/>
      <c r="G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</row>
    <row r="833" spans="3:46" ht="18" customHeight="1">
      <c r="C833" s="44"/>
      <c r="D833" s="44"/>
      <c r="E833" s="44"/>
      <c r="F833" s="44"/>
      <c r="G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</row>
    <row r="834" spans="3:46" ht="18" customHeight="1">
      <c r="C834" s="44"/>
      <c r="D834" s="44"/>
      <c r="E834" s="44"/>
      <c r="F834" s="44"/>
      <c r="G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</row>
    <row r="835" spans="3:46" ht="18" customHeight="1">
      <c r="C835" s="44"/>
      <c r="D835" s="44"/>
      <c r="E835" s="44"/>
      <c r="F835" s="44"/>
      <c r="G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</row>
    <row r="836" spans="3:46" ht="18" customHeight="1">
      <c r="C836" s="44"/>
      <c r="D836" s="44"/>
      <c r="E836" s="44"/>
      <c r="F836" s="44"/>
      <c r="G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</row>
    <row r="837" spans="3:46" ht="18" customHeight="1">
      <c r="C837" s="44"/>
      <c r="D837" s="44"/>
      <c r="E837" s="44"/>
      <c r="F837" s="44"/>
      <c r="G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</row>
    <row r="838" spans="3:46" ht="18" customHeight="1">
      <c r="C838" s="44"/>
      <c r="D838" s="44"/>
      <c r="E838" s="44"/>
      <c r="F838" s="44"/>
      <c r="G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</row>
    <row r="839" spans="3:46" ht="18" customHeight="1">
      <c r="C839" s="44"/>
      <c r="D839" s="44"/>
      <c r="E839" s="44"/>
      <c r="F839" s="44"/>
      <c r="G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</row>
    <row r="840" spans="3:46" ht="18" customHeight="1">
      <c r="C840" s="44"/>
      <c r="D840" s="44"/>
      <c r="E840" s="44"/>
      <c r="F840" s="44"/>
      <c r="G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</row>
    <row r="841" spans="3:46" ht="18" customHeight="1">
      <c r="C841" s="44"/>
      <c r="D841" s="44"/>
      <c r="E841" s="44"/>
      <c r="F841" s="44"/>
      <c r="G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</row>
    <row r="842" spans="3:46" ht="18" customHeight="1">
      <c r="C842" s="44"/>
      <c r="D842" s="44"/>
      <c r="E842" s="44"/>
      <c r="F842" s="44"/>
      <c r="G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</row>
    <row r="843" spans="3:46" ht="18" customHeight="1">
      <c r="C843" s="44"/>
      <c r="D843" s="44"/>
      <c r="E843" s="44"/>
      <c r="F843" s="44"/>
      <c r="G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</row>
    <row r="844" spans="3:46" ht="18" customHeight="1">
      <c r="C844" s="44"/>
      <c r="D844" s="44"/>
      <c r="E844" s="44"/>
      <c r="F844" s="44"/>
      <c r="G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</row>
    <row r="845" spans="3:46" ht="18" customHeight="1">
      <c r="C845" s="44"/>
      <c r="D845" s="44"/>
      <c r="E845" s="44"/>
      <c r="F845" s="44"/>
      <c r="G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</row>
    <row r="846" spans="3:46" ht="18" customHeight="1">
      <c r="C846" s="44"/>
      <c r="D846" s="44"/>
      <c r="E846" s="44"/>
      <c r="F846" s="44"/>
      <c r="G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</row>
    <row r="847" spans="3:46" ht="18" customHeight="1">
      <c r="C847" s="44"/>
      <c r="D847" s="44"/>
      <c r="E847" s="44"/>
      <c r="F847" s="44"/>
      <c r="G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</row>
    <row r="848" spans="3:46" ht="18" customHeight="1">
      <c r="C848" s="44"/>
      <c r="D848" s="44"/>
      <c r="E848" s="44"/>
      <c r="F848" s="44"/>
      <c r="G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</row>
    <row r="849" spans="3:46" ht="18" customHeight="1">
      <c r="C849" s="44"/>
      <c r="D849" s="44"/>
      <c r="E849" s="44"/>
      <c r="F849" s="44"/>
      <c r="G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</row>
    <row r="850" spans="3:46" ht="18" customHeight="1">
      <c r="C850" s="44"/>
      <c r="D850" s="44"/>
      <c r="E850" s="44"/>
      <c r="F850" s="44"/>
      <c r="G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</row>
    <row r="851" spans="3:46" ht="18" customHeight="1">
      <c r="C851" s="44"/>
      <c r="D851" s="44"/>
      <c r="E851" s="44"/>
      <c r="F851" s="44"/>
      <c r="G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</row>
    <row r="852" spans="3:46" ht="18" customHeight="1">
      <c r="C852" s="44"/>
      <c r="D852" s="44"/>
      <c r="E852" s="44"/>
      <c r="F852" s="44"/>
      <c r="G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</row>
    <row r="853" spans="3:46" ht="18" customHeight="1">
      <c r="C853" s="44"/>
      <c r="D853" s="44"/>
      <c r="E853" s="44"/>
      <c r="F853" s="44"/>
      <c r="G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</row>
    <row r="854" spans="3:46" ht="18" customHeight="1">
      <c r="C854" s="44"/>
      <c r="D854" s="44"/>
      <c r="E854" s="44"/>
      <c r="F854" s="44"/>
      <c r="G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</row>
    <row r="855" spans="3:46" ht="18" customHeight="1">
      <c r="C855" s="44"/>
      <c r="D855" s="44"/>
      <c r="E855" s="44"/>
      <c r="F855" s="44"/>
      <c r="G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</row>
    <row r="856" spans="3:46" ht="18" customHeight="1">
      <c r="C856" s="44"/>
      <c r="D856" s="44"/>
      <c r="E856" s="44"/>
      <c r="F856" s="44"/>
      <c r="G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</row>
    <row r="857" spans="3:46" ht="18" customHeight="1">
      <c r="C857" s="44"/>
      <c r="D857" s="44"/>
      <c r="E857" s="44"/>
      <c r="F857" s="44"/>
      <c r="G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</row>
    <row r="858" spans="3:46" ht="18" customHeight="1">
      <c r="C858" s="44"/>
      <c r="D858" s="44"/>
      <c r="E858" s="44"/>
      <c r="F858" s="44"/>
      <c r="G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</row>
    <row r="859" spans="3:46" ht="18" customHeight="1">
      <c r="C859" s="44"/>
      <c r="D859" s="44"/>
      <c r="E859" s="44"/>
      <c r="F859" s="44"/>
      <c r="G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</row>
    <row r="860" spans="3:46" ht="18" customHeight="1">
      <c r="C860" s="44"/>
      <c r="D860" s="44"/>
      <c r="E860" s="44"/>
      <c r="F860" s="44"/>
      <c r="G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</row>
    <row r="861" spans="3:46" ht="18" customHeight="1">
      <c r="C861" s="44"/>
      <c r="D861" s="44"/>
      <c r="E861" s="44"/>
      <c r="F861" s="44"/>
      <c r="G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</row>
    <row r="862" spans="3:46" ht="18" customHeight="1">
      <c r="C862" s="44"/>
      <c r="D862" s="44"/>
      <c r="E862" s="44"/>
      <c r="F862" s="44"/>
      <c r="G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</row>
    <row r="863" spans="3:46" ht="18" customHeight="1">
      <c r="C863" s="44"/>
      <c r="D863" s="44"/>
      <c r="E863" s="44"/>
      <c r="F863" s="44"/>
      <c r="G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</row>
    <row r="864" spans="3:46" ht="18" customHeight="1">
      <c r="C864" s="44"/>
      <c r="D864" s="44"/>
      <c r="E864" s="44"/>
      <c r="F864" s="44"/>
      <c r="G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</row>
    <row r="865" spans="3:46" ht="18" customHeight="1">
      <c r="C865" s="44"/>
      <c r="D865" s="44"/>
      <c r="E865" s="44"/>
      <c r="F865" s="44"/>
      <c r="G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</row>
    <row r="866" spans="3:46" ht="18" customHeight="1">
      <c r="C866" s="44"/>
      <c r="D866" s="44"/>
      <c r="E866" s="44"/>
      <c r="F866" s="44"/>
      <c r="G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</row>
    <row r="867" spans="3:46" ht="18" customHeight="1">
      <c r="C867" s="44"/>
      <c r="D867" s="44"/>
      <c r="E867" s="44"/>
      <c r="F867" s="44"/>
      <c r="G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</row>
    <row r="868" spans="3:46" ht="18" customHeight="1">
      <c r="C868" s="44"/>
      <c r="D868" s="44"/>
      <c r="E868" s="44"/>
      <c r="F868" s="44"/>
      <c r="G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</row>
    <row r="869" spans="3:46" ht="18" customHeight="1">
      <c r="C869" s="44"/>
      <c r="D869" s="44"/>
      <c r="E869" s="44"/>
      <c r="F869" s="44"/>
      <c r="G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</row>
    <row r="870" spans="3:46" ht="18" customHeight="1">
      <c r="C870" s="44"/>
      <c r="D870" s="44"/>
      <c r="E870" s="44"/>
      <c r="F870" s="44"/>
      <c r="G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</row>
    <row r="871" spans="3:46" ht="18" customHeight="1">
      <c r="C871" s="44"/>
      <c r="D871" s="44"/>
      <c r="E871" s="44"/>
      <c r="F871" s="44"/>
      <c r="G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</row>
    <row r="872" spans="3:46" ht="18" customHeight="1">
      <c r="C872" s="44"/>
      <c r="D872" s="44"/>
      <c r="E872" s="44"/>
      <c r="F872" s="44"/>
      <c r="G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</row>
    <row r="873" spans="3:46" ht="18" customHeight="1">
      <c r="C873" s="44"/>
      <c r="D873" s="44"/>
      <c r="E873" s="44"/>
      <c r="F873" s="44"/>
      <c r="G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</row>
    <row r="874" spans="3:46" ht="18" customHeight="1">
      <c r="C874" s="44"/>
      <c r="D874" s="44"/>
      <c r="E874" s="44"/>
      <c r="F874" s="44"/>
      <c r="G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</row>
    <row r="875" spans="3:46" ht="18" customHeight="1">
      <c r="C875" s="44"/>
      <c r="D875" s="44"/>
      <c r="E875" s="44"/>
      <c r="F875" s="44"/>
      <c r="G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</row>
    <row r="876" spans="3:46" ht="18" customHeight="1">
      <c r="C876" s="44"/>
      <c r="D876" s="44"/>
      <c r="E876" s="44"/>
      <c r="F876" s="44"/>
      <c r="G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</row>
    <row r="877" spans="3:46" ht="18" customHeight="1">
      <c r="C877" s="44"/>
      <c r="D877" s="44"/>
      <c r="E877" s="44"/>
      <c r="F877" s="44"/>
      <c r="G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</row>
    <row r="878" spans="3:46" ht="18" customHeight="1">
      <c r="C878" s="44"/>
      <c r="D878" s="44"/>
      <c r="E878" s="44"/>
      <c r="F878" s="44"/>
      <c r="G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</row>
    <row r="879" spans="3:46" ht="18" customHeight="1">
      <c r="C879" s="44"/>
      <c r="D879" s="44"/>
      <c r="E879" s="44"/>
      <c r="F879" s="44"/>
      <c r="G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</row>
    <row r="880" spans="3:46" ht="18" customHeight="1">
      <c r="C880" s="44"/>
      <c r="D880" s="44"/>
      <c r="E880" s="44"/>
      <c r="F880" s="44"/>
      <c r="G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</row>
    <row r="881" spans="3:46" ht="18" customHeight="1">
      <c r="C881" s="44"/>
      <c r="D881" s="44"/>
      <c r="E881" s="44"/>
      <c r="F881" s="44"/>
      <c r="G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</row>
    <row r="882" spans="3:46" ht="18" customHeight="1">
      <c r="C882" s="44"/>
      <c r="D882" s="44"/>
      <c r="E882" s="44"/>
      <c r="F882" s="44"/>
      <c r="G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</row>
    <row r="883" spans="3:46" ht="18" customHeight="1">
      <c r="C883" s="44"/>
      <c r="D883" s="44"/>
      <c r="E883" s="44"/>
      <c r="F883" s="44"/>
      <c r="G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</row>
    <row r="884" spans="3:46" ht="18" customHeight="1">
      <c r="C884" s="44"/>
      <c r="D884" s="44"/>
      <c r="E884" s="44"/>
      <c r="F884" s="44"/>
      <c r="G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</row>
    <row r="885" spans="3:46" ht="18" customHeight="1">
      <c r="C885" s="44"/>
      <c r="D885" s="44"/>
      <c r="E885" s="44"/>
      <c r="F885" s="44"/>
      <c r="G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</row>
    <row r="886" spans="3:46" ht="18" customHeight="1">
      <c r="C886" s="44"/>
      <c r="D886" s="44"/>
      <c r="E886" s="44"/>
      <c r="F886" s="44"/>
      <c r="G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</row>
    <row r="887" spans="3:46" ht="18" customHeight="1">
      <c r="C887" s="44"/>
      <c r="D887" s="44"/>
      <c r="E887" s="44"/>
      <c r="F887" s="44"/>
      <c r="G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</row>
    <row r="888" spans="3:46" ht="18" customHeight="1">
      <c r="C888" s="44"/>
      <c r="D888" s="44"/>
      <c r="E888" s="44"/>
      <c r="F888" s="44"/>
      <c r="G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</row>
    <row r="889" spans="3:46" ht="18" customHeight="1">
      <c r="C889" s="44"/>
      <c r="D889" s="44"/>
      <c r="E889" s="44"/>
      <c r="F889" s="44"/>
      <c r="G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</row>
    <row r="890" spans="3:46" ht="18" customHeight="1">
      <c r="C890" s="44"/>
      <c r="D890" s="44"/>
      <c r="E890" s="44"/>
      <c r="F890" s="44"/>
      <c r="G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</row>
    <row r="891" spans="3:46" ht="18" customHeight="1">
      <c r="C891" s="44"/>
      <c r="D891" s="44"/>
      <c r="E891" s="44"/>
      <c r="F891" s="44"/>
      <c r="G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</row>
    <row r="892" spans="3:46" ht="18" customHeight="1">
      <c r="C892" s="44"/>
      <c r="D892" s="44"/>
      <c r="E892" s="44"/>
      <c r="F892" s="44"/>
      <c r="G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</row>
    <row r="893" spans="3:46" ht="18" customHeight="1">
      <c r="C893" s="44"/>
      <c r="D893" s="44"/>
      <c r="E893" s="44"/>
      <c r="F893" s="44"/>
      <c r="G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</row>
    <row r="894" spans="3:46" ht="18" customHeight="1">
      <c r="C894" s="44"/>
      <c r="D894" s="44"/>
      <c r="E894" s="44"/>
      <c r="F894" s="44"/>
      <c r="G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</row>
    <row r="895" spans="3:46" ht="18" customHeight="1">
      <c r="C895" s="44"/>
      <c r="D895" s="44"/>
      <c r="E895" s="44"/>
      <c r="F895" s="44"/>
      <c r="G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</row>
    <row r="896" spans="3:46" ht="18" customHeight="1">
      <c r="C896" s="44"/>
      <c r="D896" s="44"/>
      <c r="E896" s="44"/>
      <c r="F896" s="44"/>
      <c r="G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</row>
    <row r="897" spans="3:46" ht="18" customHeight="1">
      <c r="C897" s="44"/>
      <c r="D897" s="44"/>
      <c r="E897" s="44"/>
      <c r="F897" s="44"/>
      <c r="G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</row>
    <row r="898" spans="3:46" ht="18" customHeight="1">
      <c r="C898" s="44"/>
      <c r="D898" s="44"/>
      <c r="E898" s="44"/>
      <c r="F898" s="44"/>
      <c r="G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</row>
    <row r="899" spans="3:46" ht="18" customHeight="1">
      <c r="C899" s="44"/>
      <c r="D899" s="44"/>
      <c r="E899" s="44"/>
      <c r="F899" s="44"/>
      <c r="G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</row>
    <row r="900" spans="3:46" ht="18" customHeight="1">
      <c r="C900" s="44"/>
      <c r="D900" s="44"/>
      <c r="E900" s="44"/>
      <c r="F900" s="44"/>
      <c r="G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</row>
    <row r="901" spans="3:46" ht="18" customHeight="1">
      <c r="C901" s="44"/>
      <c r="D901" s="44"/>
      <c r="E901" s="44"/>
      <c r="F901" s="44"/>
      <c r="G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</row>
    <row r="902" spans="3:46" ht="18" customHeight="1">
      <c r="C902" s="44"/>
      <c r="D902" s="44"/>
      <c r="E902" s="44"/>
      <c r="F902" s="44"/>
      <c r="G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</row>
    <row r="903" spans="3:46" ht="18" customHeight="1">
      <c r="C903" s="44"/>
      <c r="D903" s="44"/>
      <c r="E903" s="44"/>
      <c r="F903" s="44"/>
      <c r="G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</row>
    <row r="904" spans="3:46" ht="18" customHeight="1">
      <c r="C904" s="44"/>
      <c r="D904" s="44"/>
      <c r="E904" s="44"/>
      <c r="F904" s="44"/>
      <c r="G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</row>
    <row r="905" spans="3:46" ht="18" customHeight="1">
      <c r="C905" s="44"/>
      <c r="D905" s="44"/>
      <c r="E905" s="44"/>
      <c r="F905" s="44"/>
      <c r="G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</row>
    <row r="906" spans="3:46" ht="18" customHeight="1">
      <c r="C906" s="44"/>
      <c r="D906" s="44"/>
      <c r="E906" s="44"/>
      <c r="F906" s="44"/>
      <c r="G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</row>
    <row r="907" spans="3:46" ht="18" customHeight="1">
      <c r="C907" s="44"/>
      <c r="D907" s="44"/>
      <c r="E907" s="44"/>
      <c r="F907" s="44"/>
      <c r="G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</row>
    <row r="908" spans="3:46" ht="18" customHeight="1">
      <c r="C908" s="44"/>
      <c r="D908" s="44"/>
      <c r="E908" s="44"/>
      <c r="F908" s="44"/>
      <c r="G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</row>
    <row r="909" spans="3:46" ht="18" customHeight="1">
      <c r="C909" s="44"/>
      <c r="D909" s="44"/>
      <c r="E909" s="44"/>
      <c r="F909" s="44"/>
      <c r="G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</row>
    <row r="910" spans="3:46" ht="18" customHeight="1">
      <c r="C910" s="44"/>
      <c r="D910" s="44"/>
      <c r="E910" s="44"/>
      <c r="F910" s="44"/>
      <c r="G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</row>
    <row r="911" spans="3:46" ht="18" customHeight="1">
      <c r="C911" s="44"/>
      <c r="D911" s="44"/>
      <c r="E911" s="44"/>
      <c r="F911" s="44"/>
      <c r="G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</row>
    <row r="912" spans="3:46" ht="18" customHeight="1">
      <c r="C912" s="44"/>
      <c r="D912" s="44"/>
      <c r="E912" s="44"/>
      <c r="F912" s="44"/>
      <c r="G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</row>
    <row r="913" spans="3:46" ht="18" customHeight="1">
      <c r="C913" s="44"/>
      <c r="D913" s="44"/>
      <c r="E913" s="44"/>
      <c r="F913" s="44"/>
      <c r="G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</row>
    <row r="914" spans="3:46" ht="18" customHeight="1">
      <c r="C914" s="44"/>
      <c r="D914" s="44"/>
      <c r="E914" s="44"/>
      <c r="F914" s="44"/>
      <c r="G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</row>
    <row r="915" spans="3:46" ht="18" customHeight="1">
      <c r="C915" s="44"/>
      <c r="D915" s="44"/>
      <c r="E915" s="44"/>
      <c r="F915" s="44"/>
      <c r="G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</row>
    <row r="916" spans="3:46" ht="18" customHeight="1">
      <c r="C916" s="44"/>
      <c r="D916" s="44"/>
      <c r="E916" s="44"/>
      <c r="F916" s="44"/>
      <c r="G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</row>
    <row r="917" spans="3:46" ht="18" customHeight="1">
      <c r="C917" s="44"/>
      <c r="D917" s="44"/>
      <c r="E917" s="44"/>
      <c r="F917" s="44"/>
      <c r="G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</row>
    <row r="918" spans="3:46" ht="18" customHeight="1">
      <c r="C918" s="44"/>
      <c r="D918" s="44"/>
      <c r="E918" s="44"/>
      <c r="F918" s="44"/>
      <c r="G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</row>
    <row r="919" spans="3:46" ht="18" customHeight="1">
      <c r="C919" s="44"/>
      <c r="D919" s="44"/>
      <c r="E919" s="44"/>
      <c r="F919" s="44"/>
      <c r="G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</row>
    <row r="920" spans="3:46" ht="18" customHeight="1">
      <c r="C920" s="44"/>
      <c r="D920" s="44"/>
      <c r="E920" s="44"/>
      <c r="F920" s="44"/>
      <c r="G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</row>
    <row r="921" spans="3:46" ht="18" customHeight="1">
      <c r="C921" s="44"/>
      <c r="D921" s="44"/>
      <c r="E921" s="44"/>
      <c r="F921" s="44"/>
      <c r="G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</row>
    <row r="922" spans="3:46" ht="18" customHeight="1">
      <c r="C922" s="44"/>
      <c r="D922" s="44"/>
      <c r="E922" s="44"/>
      <c r="F922" s="44"/>
      <c r="G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</row>
    <row r="923" spans="3:46" ht="18" customHeight="1">
      <c r="C923" s="44"/>
      <c r="D923" s="44"/>
      <c r="E923" s="44"/>
      <c r="F923" s="44"/>
      <c r="G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</row>
    <row r="924" spans="3:46" ht="18" customHeight="1">
      <c r="C924" s="44"/>
      <c r="D924" s="44"/>
      <c r="E924" s="44"/>
      <c r="F924" s="44"/>
      <c r="G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</row>
    <row r="925" spans="3:46" ht="18" customHeight="1">
      <c r="C925" s="44"/>
      <c r="D925" s="44"/>
      <c r="E925" s="44"/>
      <c r="F925" s="44"/>
      <c r="G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</row>
    <row r="926" spans="3:46" ht="18" customHeight="1">
      <c r="C926" s="44"/>
      <c r="D926" s="44"/>
      <c r="E926" s="44"/>
      <c r="F926" s="44"/>
      <c r="G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</row>
    <row r="927" spans="3:46" ht="18" customHeight="1">
      <c r="C927" s="44"/>
      <c r="D927" s="44"/>
      <c r="E927" s="44"/>
      <c r="F927" s="44"/>
      <c r="G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</row>
    <row r="928" spans="3:46" ht="18" customHeight="1">
      <c r="C928" s="44"/>
      <c r="D928" s="44"/>
      <c r="E928" s="44"/>
      <c r="F928" s="44"/>
      <c r="G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</row>
    <row r="929" spans="3:46" ht="18" customHeight="1">
      <c r="C929" s="44"/>
      <c r="D929" s="44"/>
      <c r="E929" s="44"/>
      <c r="F929" s="44"/>
      <c r="G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</row>
    <row r="930" spans="3:46" ht="18" customHeight="1">
      <c r="C930" s="44"/>
      <c r="D930" s="44"/>
      <c r="E930" s="44"/>
      <c r="F930" s="44"/>
      <c r="G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</row>
    <row r="931" spans="3:46" ht="18" customHeight="1">
      <c r="C931" s="44"/>
      <c r="D931" s="44"/>
      <c r="E931" s="44"/>
      <c r="F931" s="44"/>
      <c r="G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</row>
    <row r="932" spans="3:46" ht="18" customHeight="1">
      <c r="C932" s="44"/>
      <c r="D932" s="44"/>
      <c r="E932" s="44"/>
      <c r="F932" s="44"/>
      <c r="G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</row>
    <row r="933" spans="3:46" ht="18" customHeight="1">
      <c r="C933" s="44"/>
      <c r="D933" s="44"/>
      <c r="E933" s="44"/>
      <c r="F933" s="44"/>
      <c r="G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</row>
    <row r="934" spans="3:46" ht="18" customHeight="1">
      <c r="C934" s="44"/>
      <c r="D934" s="44"/>
      <c r="E934" s="44"/>
      <c r="F934" s="44"/>
      <c r="G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</row>
    <row r="935" spans="3:46" ht="18" customHeight="1">
      <c r="C935" s="44"/>
      <c r="D935" s="44"/>
      <c r="E935" s="44"/>
      <c r="F935" s="44"/>
      <c r="G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</row>
    <row r="936" spans="3:46" ht="18" customHeight="1">
      <c r="C936" s="44"/>
      <c r="D936" s="44"/>
      <c r="E936" s="44"/>
      <c r="F936" s="44"/>
      <c r="G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</row>
    <row r="937" spans="3:46" ht="18" customHeight="1">
      <c r="C937" s="44"/>
      <c r="D937" s="44"/>
      <c r="E937" s="44"/>
      <c r="F937" s="44"/>
      <c r="G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</row>
    <row r="938" spans="3:46" ht="18" customHeight="1">
      <c r="C938" s="44"/>
      <c r="D938" s="44"/>
      <c r="E938" s="44"/>
      <c r="F938" s="44"/>
      <c r="G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</row>
    <row r="939" spans="3:46" ht="18" customHeight="1">
      <c r="C939" s="44"/>
      <c r="D939" s="44"/>
      <c r="E939" s="44"/>
      <c r="F939" s="44"/>
      <c r="G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</row>
    <row r="940" spans="3:46" ht="18" customHeight="1">
      <c r="C940" s="44"/>
      <c r="D940" s="44"/>
      <c r="E940" s="44"/>
      <c r="F940" s="44"/>
      <c r="G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</row>
    <row r="941" spans="3:46" ht="18" customHeight="1">
      <c r="C941" s="44"/>
      <c r="D941" s="44"/>
      <c r="E941" s="44"/>
      <c r="F941" s="44"/>
      <c r="G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</row>
    <row r="942" spans="3:46" ht="18" customHeight="1">
      <c r="C942" s="44"/>
      <c r="D942" s="44"/>
      <c r="E942" s="44"/>
      <c r="F942" s="44"/>
      <c r="G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</row>
    <row r="943" spans="3:46" ht="18" customHeight="1">
      <c r="C943" s="44"/>
      <c r="D943" s="44"/>
      <c r="E943" s="44"/>
      <c r="F943" s="44"/>
      <c r="G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</row>
    <row r="944" spans="3:46" ht="18" customHeight="1">
      <c r="C944" s="44"/>
      <c r="D944" s="44"/>
      <c r="E944" s="44"/>
      <c r="F944" s="44"/>
      <c r="G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</row>
    <row r="945" spans="3:46" ht="18" customHeight="1">
      <c r="C945" s="44"/>
      <c r="D945" s="44"/>
      <c r="E945" s="44"/>
      <c r="F945" s="44"/>
      <c r="G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</row>
    <row r="946" spans="3:46" ht="18" customHeight="1">
      <c r="C946" s="44"/>
      <c r="D946" s="44"/>
      <c r="E946" s="44"/>
      <c r="F946" s="44"/>
      <c r="G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</row>
    <row r="947" spans="3:46" ht="18" customHeight="1">
      <c r="C947" s="44"/>
      <c r="D947" s="44"/>
      <c r="E947" s="44"/>
      <c r="F947" s="44"/>
      <c r="G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</row>
    <row r="948" spans="3:46" ht="18" customHeight="1">
      <c r="C948" s="44"/>
      <c r="D948" s="44"/>
      <c r="E948" s="44"/>
      <c r="F948" s="44"/>
      <c r="G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</row>
    <row r="949" spans="3:46" ht="18" customHeight="1">
      <c r="C949" s="44"/>
      <c r="D949" s="44"/>
      <c r="E949" s="44"/>
      <c r="F949" s="44"/>
      <c r="G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</row>
    <row r="950" spans="3:46" ht="18" customHeight="1">
      <c r="C950" s="44"/>
      <c r="D950" s="44"/>
      <c r="E950" s="44"/>
      <c r="F950" s="44"/>
      <c r="G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</row>
    <row r="951" spans="3:46" ht="18" customHeight="1">
      <c r="C951" s="44"/>
      <c r="D951" s="44"/>
      <c r="E951" s="44"/>
      <c r="F951" s="44"/>
      <c r="G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</row>
    <row r="952" spans="3:46" ht="18" customHeight="1">
      <c r="C952" s="44"/>
      <c r="D952" s="44"/>
      <c r="E952" s="44"/>
      <c r="F952" s="44"/>
      <c r="G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</row>
    <row r="953" spans="3:46" ht="18" customHeight="1">
      <c r="C953" s="44"/>
      <c r="D953" s="44"/>
      <c r="E953" s="44"/>
      <c r="F953" s="44"/>
      <c r="G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</row>
    <row r="954" spans="3:46" ht="18" customHeight="1">
      <c r="C954" s="44"/>
      <c r="D954" s="44"/>
      <c r="E954" s="44"/>
      <c r="F954" s="44"/>
      <c r="G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</row>
    <row r="955" spans="3:46" ht="18" customHeight="1">
      <c r="C955" s="44"/>
      <c r="D955" s="44"/>
      <c r="E955" s="44"/>
      <c r="F955" s="44"/>
      <c r="G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</row>
    <row r="956" spans="3:46" ht="18" customHeight="1">
      <c r="C956" s="44"/>
      <c r="D956" s="44"/>
      <c r="E956" s="44"/>
      <c r="F956" s="44"/>
      <c r="G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</row>
    <row r="957" spans="3:46" ht="18" customHeight="1">
      <c r="C957" s="44"/>
      <c r="D957" s="44"/>
      <c r="E957" s="44"/>
      <c r="F957" s="44"/>
      <c r="G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</row>
    <row r="958" spans="3:46" ht="18" customHeight="1">
      <c r="C958" s="44"/>
      <c r="D958" s="44"/>
      <c r="E958" s="44"/>
      <c r="F958" s="44"/>
      <c r="G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</row>
    <row r="959" spans="3:46" ht="18" customHeight="1">
      <c r="C959" s="44"/>
      <c r="D959" s="44"/>
      <c r="E959" s="44"/>
      <c r="F959" s="44"/>
      <c r="G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</row>
    <row r="960" spans="3:46" ht="18" customHeight="1">
      <c r="C960" s="44"/>
      <c r="D960" s="44"/>
      <c r="E960" s="44"/>
      <c r="F960" s="44"/>
      <c r="G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</row>
    <row r="961" spans="3:46" ht="18" customHeight="1">
      <c r="C961" s="44"/>
      <c r="D961" s="44"/>
      <c r="E961" s="44"/>
      <c r="F961" s="44"/>
      <c r="G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</row>
    <row r="962" spans="3:46" ht="18" customHeight="1">
      <c r="C962" s="44"/>
      <c r="D962" s="44"/>
      <c r="E962" s="44"/>
      <c r="F962" s="44"/>
      <c r="G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</row>
    <row r="963" spans="3:46" ht="18" customHeight="1">
      <c r="C963" s="44"/>
      <c r="D963" s="44"/>
      <c r="E963" s="44"/>
      <c r="F963" s="44"/>
      <c r="G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</row>
    <row r="964" spans="3:46" ht="18" customHeight="1">
      <c r="C964" s="44"/>
      <c r="D964" s="44"/>
      <c r="E964" s="44"/>
      <c r="F964" s="44"/>
      <c r="G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</row>
    <row r="965" spans="3:46" ht="18" customHeight="1">
      <c r="C965" s="44"/>
      <c r="D965" s="44"/>
      <c r="E965" s="44"/>
      <c r="F965" s="44"/>
      <c r="G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</row>
    <row r="966" spans="3:46" ht="18" customHeight="1">
      <c r="C966" s="44"/>
      <c r="D966" s="44"/>
      <c r="E966" s="44"/>
      <c r="F966" s="44"/>
      <c r="G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</row>
    <row r="967" spans="3:46" ht="18" customHeight="1">
      <c r="C967" s="44"/>
      <c r="D967" s="44"/>
      <c r="E967" s="44"/>
      <c r="F967" s="44"/>
      <c r="G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</row>
    <row r="968" spans="3:46" ht="18" customHeight="1">
      <c r="C968" s="44"/>
      <c r="D968" s="44"/>
      <c r="E968" s="44"/>
      <c r="F968" s="44"/>
      <c r="G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</row>
    <row r="969" spans="3:46" ht="18" customHeight="1">
      <c r="C969" s="44"/>
      <c r="D969" s="44"/>
      <c r="E969" s="44"/>
      <c r="F969" s="44"/>
      <c r="G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</row>
    <row r="970" spans="3:46" ht="18" customHeight="1">
      <c r="C970" s="44"/>
      <c r="D970" s="44"/>
      <c r="E970" s="44"/>
      <c r="F970" s="44"/>
      <c r="G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</row>
    <row r="971" spans="3:46" ht="18" customHeight="1">
      <c r="C971" s="44"/>
      <c r="D971" s="44"/>
      <c r="E971" s="44"/>
      <c r="F971" s="44"/>
      <c r="G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</row>
    <row r="972" spans="3:46" ht="18" customHeight="1">
      <c r="C972" s="44"/>
      <c r="D972" s="44"/>
      <c r="E972" s="44"/>
      <c r="F972" s="44"/>
      <c r="G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</row>
    <row r="973" spans="3:46" ht="18" customHeight="1">
      <c r="C973" s="44"/>
      <c r="D973" s="44"/>
      <c r="E973" s="44"/>
      <c r="F973" s="44"/>
      <c r="G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</row>
    <row r="974" spans="3:46" ht="18" customHeight="1">
      <c r="C974" s="44"/>
      <c r="D974" s="44"/>
      <c r="E974" s="44"/>
      <c r="F974" s="44"/>
      <c r="G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</row>
    <row r="975" spans="3:46" ht="18" customHeight="1">
      <c r="C975" s="44"/>
      <c r="D975" s="44"/>
      <c r="E975" s="44"/>
      <c r="F975" s="44"/>
      <c r="G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</row>
    <row r="976" spans="3:46" ht="18" customHeight="1">
      <c r="C976" s="44"/>
      <c r="D976" s="44"/>
      <c r="E976" s="44"/>
      <c r="F976" s="44"/>
      <c r="G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</row>
    <row r="977" spans="3:46" ht="18" customHeight="1">
      <c r="C977" s="44"/>
      <c r="D977" s="44"/>
      <c r="E977" s="44"/>
      <c r="F977" s="44"/>
      <c r="G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</row>
    <row r="978" spans="3:46" ht="18" customHeight="1">
      <c r="C978" s="44"/>
      <c r="D978" s="44"/>
      <c r="E978" s="44"/>
      <c r="F978" s="44"/>
      <c r="G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</row>
    <row r="979" spans="3:46" ht="18" customHeight="1">
      <c r="C979" s="44"/>
      <c r="D979" s="44"/>
      <c r="E979" s="44"/>
      <c r="F979" s="44"/>
      <c r="G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</row>
    <row r="980" spans="3:46" ht="18" customHeight="1">
      <c r="C980" s="44"/>
      <c r="D980" s="44"/>
      <c r="E980" s="44"/>
      <c r="F980" s="44"/>
      <c r="G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</row>
    <row r="981" spans="3:46" ht="18" customHeight="1">
      <c r="C981" s="44"/>
      <c r="D981" s="44"/>
      <c r="E981" s="44"/>
      <c r="F981" s="44"/>
      <c r="G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</row>
    <row r="982" spans="3:46" ht="18" customHeight="1">
      <c r="C982" s="44"/>
      <c r="D982" s="44"/>
      <c r="E982" s="44"/>
      <c r="F982" s="44"/>
      <c r="G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</row>
    <row r="983" spans="3:46" ht="18" customHeight="1">
      <c r="C983" s="44"/>
      <c r="D983" s="44"/>
      <c r="E983" s="44"/>
      <c r="F983" s="44"/>
      <c r="G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</row>
    <row r="984" spans="3:46" ht="18" customHeight="1">
      <c r="C984" s="44"/>
      <c r="D984" s="44"/>
      <c r="E984" s="44"/>
      <c r="F984" s="44"/>
      <c r="G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</row>
    <row r="985" spans="3:46" ht="18" customHeight="1">
      <c r="C985" s="44"/>
      <c r="D985" s="44"/>
      <c r="E985" s="44"/>
      <c r="F985" s="44"/>
      <c r="G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</row>
    <row r="986" spans="3:46" ht="18" customHeight="1">
      <c r="C986" s="44"/>
      <c r="D986" s="44"/>
      <c r="E986" s="44"/>
      <c r="F986" s="44"/>
      <c r="G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</row>
    <row r="987" spans="3:46" ht="18" customHeight="1">
      <c r="C987" s="44"/>
      <c r="D987" s="44"/>
      <c r="E987" s="44"/>
      <c r="F987" s="44"/>
      <c r="G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</row>
    <row r="988" spans="3:46" ht="18" customHeight="1">
      <c r="C988" s="44"/>
      <c r="D988" s="44"/>
      <c r="E988" s="44"/>
      <c r="F988" s="44"/>
      <c r="G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</row>
    <row r="989" spans="3:46" ht="18" customHeight="1">
      <c r="C989" s="44"/>
      <c r="D989" s="44"/>
      <c r="E989" s="44"/>
      <c r="F989" s="44"/>
      <c r="G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</row>
    <row r="990" spans="3:46" ht="18" customHeight="1">
      <c r="C990" s="44"/>
      <c r="D990" s="44"/>
      <c r="E990" s="44"/>
      <c r="F990" s="44"/>
      <c r="G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</row>
    <row r="991" spans="3:46" ht="18" customHeight="1">
      <c r="C991" s="44"/>
      <c r="D991" s="44"/>
      <c r="E991" s="44"/>
      <c r="F991" s="44"/>
      <c r="G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</row>
    <row r="992" spans="3:46" ht="18" customHeight="1">
      <c r="C992" s="44"/>
      <c r="D992" s="44"/>
      <c r="E992" s="44"/>
      <c r="F992" s="44"/>
      <c r="G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</row>
    <row r="993" spans="3:46" ht="18" customHeight="1">
      <c r="C993" s="44"/>
      <c r="D993" s="44"/>
      <c r="E993" s="44"/>
      <c r="F993" s="44"/>
      <c r="G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</row>
    <row r="994" spans="3:46" ht="18" customHeight="1">
      <c r="C994" s="44"/>
      <c r="D994" s="44"/>
      <c r="E994" s="44"/>
      <c r="F994" s="44"/>
      <c r="G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</row>
    <row r="995" spans="3:46" ht="18" customHeight="1">
      <c r="C995" s="44"/>
      <c r="D995" s="44"/>
      <c r="E995" s="44"/>
      <c r="F995" s="44"/>
      <c r="G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</row>
    <row r="996" spans="3:46" ht="18" customHeight="1">
      <c r="C996" s="44"/>
      <c r="D996" s="44"/>
      <c r="E996" s="44"/>
      <c r="F996" s="44"/>
      <c r="G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</row>
    <row r="997" spans="3:46" ht="18" customHeight="1">
      <c r="C997" s="44"/>
      <c r="D997" s="44"/>
      <c r="F997" s="44"/>
      <c r="G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</row>
    <row r="998" spans="3:46" ht="18" customHeight="1">
      <c r="C998" s="44"/>
      <c r="D998" s="44"/>
      <c r="F998" s="44"/>
      <c r="G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</row>
    <row r="999" spans="3:46" ht="18" customHeight="1">
      <c r="C999" s="44"/>
      <c r="D999" s="44"/>
      <c r="F999" s="44"/>
      <c r="G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</row>
    <row r="1000" spans="3:46" ht="18" customHeight="1">
      <c r="C1000" s="44"/>
      <c r="D1000" s="44"/>
      <c r="F1000" s="44"/>
      <c r="G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</row>
  </sheetData>
  <mergeCells count="3">
    <mergeCell ref="F2:G2"/>
    <mergeCell ref="I2:AT2"/>
    <mergeCell ref="C2:E2"/>
  </mergeCells>
  <phoneticPr fontId="13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858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bestFit="1" customWidth="1"/>
    <col min="2" max="2" width="5.6640625" bestFit="1" customWidth="1"/>
    <col min="3" max="3" width="11.4140625" bestFit="1" customWidth="1"/>
    <col min="4" max="4" width="12.6640625" bestFit="1" customWidth="1"/>
    <col min="5" max="5" width="11.33203125" bestFit="1" customWidth="1"/>
    <col min="6" max="6" width="14.6640625" customWidth="1"/>
    <col min="7" max="7" width="66.33203125" customWidth="1"/>
  </cols>
  <sheetData>
    <row r="1" spans="1:7" ht="15" customHeight="1">
      <c r="A1" s="111" t="s">
        <v>43</v>
      </c>
      <c r="B1" s="112"/>
      <c r="C1" s="112"/>
      <c r="D1" s="112"/>
      <c r="E1" s="112"/>
      <c r="F1" s="113"/>
      <c r="G1" s="67" t="s">
        <v>86</v>
      </c>
    </row>
    <row r="2" spans="1:7" ht="15" customHeight="1">
      <c r="A2" s="114" t="s">
        <v>87</v>
      </c>
      <c r="B2" s="115"/>
      <c r="C2" s="115"/>
      <c r="D2" s="115"/>
      <c r="E2" s="115"/>
      <c r="F2" s="116"/>
      <c r="G2" s="68"/>
    </row>
    <row r="3" spans="1:7" ht="15" customHeight="1">
      <c r="A3" s="117" t="s">
        <v>83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9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62" t="s">
        <v>89</v>
      </c>
      <c r="C7" s="62" t="s">
        <v>90</v>
      </c>
      <c r="D7" s="62" t="s">
        <v>91</v>
      </c>
      <c r="E7" s="63" t="s">
        <v>92</v>
      </c>
      <c r="F7" s="63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>
        <v>1</v>
      </c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19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7" ht="14.5">
      <c r="A193" s="25">
        <v>44028</v>
      </c>
      <c r="B193" s="26">
        <v>27</v>
      </c>
      <c r="C193" s="22"/>
      <c r="D193" s="22"/>
      <c r="E193" s="22"/>
      <c r="F193" s="22"/>
    </row>
    <row r="194" spans="1:7" ht="14.5">
      <c r="A194" s="25">
        <v>44029</v>
      </c>
      <c r="B194" s="26">
        <v>27</v>
      </c>
      <c r="C194" s="22"/>
      <c r="D194" s="22"/>
      <c r="E194" s="22"/>
      <c r="F194" s="22"/>
    </row>
    <row r="195" spans="1:7" ht="14.5">
      <c r="A195" s="25">
        <v>44030</v>
      </c>
      <c r="B195" s="26">
        <v>27</v>
      </c>
      <c r="C195" s="22"/>
      <c r="D195" s="22"/>
      <c r="E195" s="22"/>
      <c r="F195" s="22"/>
    </row>
    <row r="196" spans="1:7" ht="14.5">
      <c r="A196" s="25">
        <v>44031</v>
      </c>
      <c r="B196" s="26">
        <v>27</v>
      </c>
      <c r="C196" s="22">
        <v>1</v>
      </c>
      <c r="D196" s="22"/>
      <c r="E196" s="22"/>
      <c r="F196" s="22"/>
    </row>
    <row r="197" spans="1:7" ht="14.5">
      <c r="A197" s="25">
        <v>44032</v>
      </c>
      <c r="B197" s="26">
        <v>28</v>
      </c>
      <c r="C197" s="22">
        <v>1</v>
      </c>
      <c r="D197" s="22"/>
      <c r="E197" s="22"/>
      <c r="F197" s="22"/>
    </row>
    <row r="198" spans="1:7" ht="14.5">
      <c r="A198" s="25">
        <v>44033</v>
      </c>
      <c r="B198" s="26">
        <v>28</v>
      </c>
      <c r="C198" s="22"/>
      <c r="D198" s="22"/>
      <c r="E198" s="22"/>
      <c r="F198" s="22"/>
    </row>
    <row r="199" spans="1:7" ht="14.5">
      <c r="A199" s="25">
        <v>44034</v>
      </c>
      <c r="B199" s="26">
        <v>28</v>
      </c>
      <c r="C199" s="22"/>
      <c r="D199" s="22"/>
      <c r="E199" s="22"/>
      <c r="F199" s="22"/>
    </row>
    <row r="200" spans="1:7" ht="14.5">
      <c r="A200" s="25">
        <v>44035</v>
      </c>
      <c r="B200" s="26">
        <v>28</v>
      </c>
      <c r="C200" s="32">
        <v>4</v>
      </c>
      <c r="D200" s="22"/>
      <c r="E200" s="22"/>
      <c r="F200" s="22"/>
      <c r="G200" s="20" t="s">
        <v>94</v>
      </c>
    </row>
    <row r="201" spans="1:7" ht="14.5">
      <c r="A201" s="25">
        <v>44036</v>
      </c>
      <c r="B201" s="26">
        <v>28</v>
      </c>
      <c r="C201" s="22"/>
      <c r="D201" s="22"/>
      <c r="E201" s="22"/>
      <c r="F201" s="22"/>
    </row>
    <row r="202" spans="1:7" ht="14.5">
      <c r="A202" s="25">
        <v>44037</v>
      </c>
      <c r="B202" s="26">
        <v>28</v>
      </c>
      <c r="C202" s="22"/>
      <c r="D202" s="22"/>
      <c r="E202" s="22"/>
      <c r="F202" s="22"/>
    </row>
    <row r="203" spans="1:7" ht="14.5">
      <c r="A203" s="25">
        <v>44038</v>
      </c>
      <c r="B203" s="26">
        <v>28</v>
      </c>
      <c r="C203" s="22"/>
      <c r="D203" s="22"/>
      <c r="E203" s="22"/>
      <c r="F203" s="22"/>
    </row>
    <row r="204" spans="1:7" ht="14.5">
      <c r="A204" s="25">
        <v>44039</v>
      </c>
      <c r="B204" s="26">
        <v>29</v>
      </c>
      <c r="C204" s="22"/>
      <c r="D204" s="22"/>
      <c r="E204" s="22"/>
      <c r="F204" s="22"/>
    </row>
    <row r="205" spans="1:7" ht="14.5">
      <c r="A205" s="25">
        <v>44040</v>
      </c>
      <c r="B205" s="26">
        <v>29</v>
      </c>
      <c r="C205" s="22"/>
      <c r="D205" s="22"/>
      <c r="E205" s="33"/>
      <c r="F205" s="22"/>
    </row>
    <row r="206" spans="1:7" ht="14.5">
      <c r="A206" s="25">
        <v>44041</v>
      </c>
      <c r="B206" s="26">
        <v>29</v>
      </c>
      <c r="C206" s="22"/>
      <c r="D206" s="22"/>
      <c r="E206" s="22"/>
      <c r="F206" s="22"/>
    </row>
    <row r="207" spans="1:7" ht="14.5">
      <c r="A207" s="25">
        <v>44042</v>
      </c>
      <c r="B207" s="26">
        <v>29</v>
      </c>
      <c r="C207" s="22"/>
      <c r="D207" s="22"/>
      <c r="E207" s="22"/>
      <c r="F207" s="22"/>
    </row>
    <row r="208" spans="1:7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33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33"/>
      <c r="F216" s="22"/>
    </row>
    <row r="217" spans="1:6" ht="14.5">
      <c r="A217" s="25">
        <v>44052</v>
      </c>
      <c r="B217" s="26">
        <v>30</v>
      </c>
      <c r="C217" s="22"/>
      <c r="D217" s="22"/>
      <c r="E217" s="33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>
        <v>1</v>
      </c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19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>
        <v>1</v>
      </c>
      <c r="D234" s="22"/>
      <c r="E234" s="22"/>
      <c r="F234" s="22"/>
    </row>
    <row r="235" spans="1:7" ht="14.5">
      <c r="A235" s="25">
        <v>44070</v>
      </c>
      <c r="B235" s="26">
        <v>33</v>
      </c>
      <c r="C235" s="32">
        <v>1</v>
      </c>
      <c r="D235" s="22"/>
      <c r="E235" s="22"/>
      <c r="F235" s="22"/>
      <c r="G235" s="20" t="s">
        <v>95</v>
      </c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33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33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33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33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33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33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33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>
        <v>1</v>
      </c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>
        <v>1</v>
      </c>
      <c r="E352" s="33"/>
      <c r="F352" s="22"/>
    </row>
    <row r="353" spans="1:7" ht="14.5">
      <c r="A353" s="25">
        <v>44188</v>
      </c>
      <c r="B353" s="26">
        <v>50</v>
      </c>
      <c r="C353" s="22"/>
      <c r="D353" s="22">
        <v>1</v>
      </c>
      <c r="E353" s="22"/>
      <c r="F353" s="22"/>
    </row>
    <row r="354" spans="1:7" ht="14.5">
      <c r="A354" s="25">
        <v>44189</v>
      </c>
      <c r="B354" s="26">
        <v>50</v>
      </c>
      <c r="C354" s="22"/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>
        <v>1</v>
      </c>
      <c r="E356" s="22"/>
      <c r="F356" s="22"/>
    </row>
    <row r="357" spans="1:7" ht="14.5">
      <c r="A357" s="25">
        <v>44192</v>
      </c>
      <c r="B357" s="26">
        <v>50</v>
      </c>
      <c r="C357" s="22"/>
      <c r="D357" s="22">
        <v>1</v>
      </c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>
        <v>1</v>
      </c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>
        <v>2</v>
      </c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>
        <v>1</v>
      </c>
      <c r="D363" s="22"/>
      <c r="E363" s="22"/>
      <c r="F363" s="22"/>
    </row>
    <row r="364" spans="1:7" ht="14.5">
      <c r="A364" s="25">
        <v>44199</v>
      </c>
      <c r="B364" s="26">
        <v>51</v>
      </c>
      <c r="C364" s="22">
        <v>1</v>
      </c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10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10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10"/>
    </row>
    <row r="368" spans="1:7" ht="14.5">
      <c r="A368" s="25">
        <v>44203</v>
      </c>
      <c r="B368" s="26">
        <v>1</v>
      </c>
      <c r="C368" s="22">
        <v>1</v>
      </c>
      <c r="D368" s="22"/>
      <c r="E368" s="22"/>
      <c r="F368" s="22"/>
    </row>
    <row r="369" spans="1:7" ht="14.5">
      <c r="A369" s="25">
        <v>44204</v>
      </c>
      <c r="B369" s="26">
        <v>1</v>
      </c>
      <c r="C369" s="22"/>
      <c r="D369" s="22"/>
      <c r="E369" s="22"/>
      <c r="F369" s="22"/>
      <c r="G369" s="110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10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1</v>
      </c>
      <c r="D373" s="22"/>
      <c r="E373" s="22"/>
      <c r="F373" s="33"/>
    </row>
    <row r="374" spans="1:7" ht="14.5">
      <c r="A374" s="25">
        <v>44209</v>
      </c>
      <c r="B374" s="26">
        <v>2</v>
      </c>
      <c r="C374" s="22">
        <v>1</v>
      </c>
      <c r="D374" s="22"/>
      <c r="E374" s="22"/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10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10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33"/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>
        <v>2</v>
      </c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>
        <v>1</v>
      </c>
      <c r="D383" s="22"/>
      <c r="E383" s="33"/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>
        <v>1</v>
      </c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34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>
        <v>1</v>
      </c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>
        <v>1</v>
      </c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33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>
        <v>1</v>
      </c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>
        <v>1</v>
      </c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7" ht="14.5">
      <c r="A449" s="25">
        <v>44284</v>
      </c>
      <c r="B449" s="26">
        <v>13</v>
      </c>
      <c r="C449" s="22"/>
      <c r="D449" s="22">
        <v>1</v>
      </c>
      <c r="E449" s="22"/>
      <c r="F449" s="22"/>
    </row>
    <row r="450" spans="1:7" ht="14.5">
      <c r="A450" s="25">
        <v>44285</v>
      </c>
      <c r="B450" s="26">
        <v>13</v>
      </c>
      <c r="C450" s="22"/>
      <c r="D450" s="22">
        <v>1</v>
      </c>
      <c r="E450" s="22"/>
      <c r="F450" s="22"/>
    </row>
    <row r="451" spans="1:7" ht="14.5">
      <c r="A451" s="25">
        <v>44286</v>
      </c>
      <c r="B451" s="26">
        <v>13</v>
      </c>
      <c r="C451" s="22"/>
      <c r="D451" s="22"/>
      <c r="E451" s="22"/>
      <c r="F451" s="22"/>
    </row>
    <row r="452" spans="1:7" ht="14.5">
      <c r="A452" s="25">
        <v>44287</v>
      </c>
      <c r="B452" s="26">
        <v>13</v>
      </c>
      <c r="C452" s="22"/>
      <c r="D452" s="22"/>
      <c r="E452" s="22"/>
      <c r="F452" s="22"/>
    </row>
    <row r="453" spans="1:7" ht="14.5">
      <c r="A453" s="25">
        <v>44288</v>
      </c>
      <c r="B453" s="26">
        <v>13</v>
      </c>
      <c r="C453" s="22"/>
      <c r="D453" s="22"/>
      <c r="E453" s="33"/>
      <c r="F453" s="22"/>
    </row>
    <row r="454" spans="1:7" ht="14.5">
      <c r="A454" s="25">
        <v>44289</v>
      </c>
      <c r="B454" s="26">
        <v>13</v>
      </c>
      <c r="C454" s="22">
        <v>1</v>
      </c>
      <c r="D454" s="22"/>
      <c r="E454" s="22"/>
      <c r="F454" s="22"/>
    </row>
    <row r="455" spans="1:7" ht="14.5">
      <c r="A455" s="25">
        <v>44290</v>
      </c>
      <c r="B455" s="26">
        <v>13</v>
      </c>
      <c r="C455" s="22"/>
      <c r="D455" s="22"/>
      <c r="E455" s="22"/>
      <c r="F455" s="22"/>
    </row>
    <row r="456" spans="1:7" ht="14.5">
      <c r="A456" s="25">
        <v>44291</v>
      </c>
      <c r="B456" s="26">
        <v>14</v>
      </c>
      <c r="C456" s="22">
        <v>1</v>
      </c>
      <c r="D456" s="22"/>
      <c r="E456" s="22"/>
      <c r="F456" s="22"/>
    </row>
    <row r="457" spans="1:7" ht="14.5">
      <c r="A457" s="25">
        <v>44292</v>
      </c>
      <c r="B457" s="26">
        <v>14</v>
      </c>
      <c r="C457" s="22">
        <v>1.5</v>
      </c>
      <c r="D457" s="22"/>
      <c r="E457" s="22"/>
      <c r="F457" s="22"/>
    </row>
    <row r="458" spans="1:7" ht="14.5">
      <c r="A458" s="25">
        <v>44293</v>
      </c>
      <c r="B458" s="26">
        <v>14</v>
      </c>
      <c r="C458" s="32">
        <v>4</v>
      </c>
      <c r="D458" s="22"/>
      <c r="E458" s="22"/>
      <c r="F458" s="22"/>
      <c r="G458" s="20" t="s">
        <v>96</v>
      </c>
    </row>
    <row r="459" spans="1:7" ht="14.5">
      <c r="A459" s="25">
        <v>44294</v>
      </c>
      <c r="B459" s="26">
        <v>14</v>
      </c>
      <c r="C459" s="22">
        <v>1.5</v>
      </c>
      <c r="D459" s="22"/>
      <c r="E459" s="22"/>
      <c r="F459" s="22"/>
    </row>
    <row r="460" spans="1:7" ht="14.5">
      <c r="A460" s="25">
        <v>44295</v>
      </c>
      <c r="B460" s="26">
        <v>14</v>
      </c>
      <c r="C460" s="32">
        <v>2</v>
      </c>
      <c r="D460" s="22"/>
      <c r="E460" s="33"/>
      <c r="F460" s="22"/>
      <c r="G460" s="20" t="s">
        <v>97</v>
      </c>
    </row>
    <row r="461" spans="1:7" ht="14.5">
      <c r="A461" s="25">
        <v>44296</v>
      </c>
      <c r="B461" s="26">
        <v>14</v>
      </c>
      <c r="C461" s="22"/>
      <c r="D461" s="22"/>
      <c r="E461" s="22"/>
      <c r="F461" s="22"/>
    </row>
    <row r="462" spans="1:7" ht="14.5">
      <c r="A462" s="25">
        <v>44297</v>
      </c>
      <c r="B462" s="26">
        <v>14</v>
      </c>
      <c r="C462" s="22">
        <v>1</v>
      </c>
      <c r="D462" s="22"/>
      <c r="E462" s="22"/>
      <c r="F462" s="22"/>
    </row>
    <row r="463" spans="1:7" ht="14.5">
      <c r="A463" s="25">
        <v>44298</v>
      </c>
      <c r="B463" s="26">
        <v>15</v>
      </c>
      <c r="C463" s="22"/>
      <c r="D463" s="22"/>
      <c r="E463" s="22"/>
      <c r="F463" s="22"/>
    </row>
    <row r="464" spans="1:7" ht="14.5">
      <c r="A464" s="25">
        <v>44299</v>
      </c>
      <c r="B464" s="26">
        <v>15</v>
      </c>
      <c r="C464" s="22">
        <v>1.5</v>
      </c>
      <c r="D464" s="22"/>
      <c r="E464" s="22"/>
      <c r="F464" s="22"/>
    </row>
    <row r="465" spans="1:7" ht="14.5">
      <c r="A465" s="25">
        <v>44300</v>
      </c>
      <c r="B465" s="26">
        <v>15</v>
      </c>
      <c r="C465" s="22">
        <v>2.5</v>
      </c>
      <c r="D465" s="22"/>
      <c r="E465" s="22"/>
      <c r="F465" s="22"/>
    </row>
    <row r="466" spans="1:7" ht="14.5">
      <c r="A466" s="25">
        <v>44301</v>
      </c>
      <c r="B466" s="26">
        <v>15</v>
      </c>
      <c r="C466" s="22">
        <v>1</v>
      </c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  <c r="G470" s="110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10"/>
    </row>
    <row r="472" spans="1:7" ht="14.5">
      <c r="A472" s="25">
        <v>44307</v>
      </c>
      <c r="B472" s="26">
        <v>16</v>
      </c>
      <c r="C472" s="22">
        <v>1</v>
      </c>
      <c r="D472" s="22"/>
      <c r="E472" s="22"/>
      <c r="F472" s="22"/>
    </row>
    <row r="473" spans="1:7" ht="14.5">
      <c r="A473" s="25">
        <v>44308</v>
      </c>
      <c r="B473" s="26">
        <v>16</v>
      </c>
      <c r="C473" s="22">
        <v>1</v>
      </c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>
        <v>1</v>
      </c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>
        <f t="shared" ref="C478:C481" si="0">5/4</f>
        <v>1.25</v>
      </c>
      <c r="D478" s="22"/>
      <c r="E478" s="22"/>
      <c r="F478" s="22"/>
    </row>
    <row r="479" spans="1:7" ht="14.5">
      <c r="A479" s="25">
        <v>44314</v>
      </c>
      <c r="B479" s="26">
        <v>17</v>
      </c>
      <c r="C479" s="22">
        <f t="shared" si="0"/>
        <v>1.25</v>
      </c>
      <c r="D479" s="22"/>
      <c r="E479" s="22"/>
      <c r="F479" s="22"/>
    </row>
    <row r="480" spans="1:7" ht="14.5">
      <c r="A480" s="25">
        <v>44315</v>
      </c>
      <c r="B480" s="26">
        <v>17</v>
      </c>
      <c r="C480" s="22">
        <f t="shared" si="0"/>
        <v>1.25</v>
      </c>
      <c r="D480" s="22"/>
      <c r="E480" s="22"/>
      <c r="F480" s="22"/>
    </row>
    <row r="481" spans="1:7" ht="14.5">
      <c r="A481" s="25">
        <v>44316</v>
      </c>
      <c r="B481" s="26">
        <v>17</v>
      </c>
      <c r="C481" s="22">
        <f t="shared" si="0"/>
        <v>1.25</v>
      </c>
      <c r="D481" s="22"/>
      <c r="E481" s="22"/>
      <c r="F481" s="22"/>
    </row>
    <row r="482" spans="1:7" ht="14.5">
      <c r="A482" s="25">
        <v>44317</v>
      </c>
      <c r="B482" s="26">
        <v>17</v>
      </c>
      <c r="C482" s="22"/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33"/>
      <c r="F487" s="22"/>
    </row>
    <row r="488" spans="1:7" ht="14.5">
      <c r="A488" s="25">
        <v>44323</v>
      </c>
      <c r="B488" s="26">
        <v>18</v>
      </c>
      <c r="C488" s="22"/>
      <c r="D488" s="22"/>
      <c r="E488" s="33"/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>
        <v>2</v>
      </c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/>
      <c r="E493" s="33"/>
      <c r="F493" s="22"/>
    </row>
    <row r="494" spans="1:7" ht="14.5">
      <c r="A494" s="25">
        <v>44329</v>
      </c>
      <c r="B494" s="26">
        <v>19</v>
      </c>
      <c r="C494" s="22"/>
      <c r="D494" s="22"/>
      <c r="E494" s="33"/>
      <c r="F494" s="22"/>
    </row>
    <row r="495" spans="1:7" ht="14.5">
      <c r="A495" s="25">
        <v>44330</v>
      </c>
      <c r="B495" s="26">
        <v>19</v>
      </c>
      <c r="C495" s="22">
        <v>2</v>
      </c>
      <c r="D495" s="22"/>
      <c r="E495" s="33"/>
      <c r="F495" s="22"/>
    </row>
    <row r="496" spans="1:7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/>
      <c r="E499" s="33"/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>
        <f t="shared" ref="C503:C505" si="1">6/3</f>
        <v>2</v>
      </c>
      <c r="D503" s="22"/>
      <c r="E503" s="22"/>
      <c r="F503" s="22"/>
    </row>
    <row r="504" spans="1:6" ht="14.5">
      <c r="A504" s="25">
        <v>44339</v>
      </c>
      <c r="B504" s="26">
        <v>20</v>
      </c>
      <c r="C504" s="22">
        <f t="shared" si="1"/>
        <v>2</v>
      </c>
      <c r="D504" s="22"/>
      <c r="E504" s="22"/>
      <c r="F504" s="22"/>
    </row>
    <row r="505" spans="1:6" ht="14.5">
      <c r="A505" s="25">
        <v>44340</v>
      </c>
      <c r="B505" s="26">
        <v>21</v>
      </c>
      <c r="C505" s="22">
        <f t="shared" si="1"/>
        <v>2</v>
      </c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/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>
        <v>1</v>
      </c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33"/>
      <c r="F512" s="22"/>
    </row>
    <row r="513" spans="1:6" ht="14.5">
      <c r="A513" s="25">
        <v>44348</v>
      </c>
      <c r="B513" s="26">
        <v>22</v>
      </c>
      <c r="C513" s="22">
        <v>2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>
        <v>2</v>
      </c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>
        <v>1</v>
      </c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33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>
        <v>1</v>
      </c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33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>
        <v>1</v>
      </c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>
        <v>1</v>
      </c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>
        <v>1</v>
      </c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>
        <v>1</v>
      </c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>
        <v>1.5</v>
      </c>
      <c r="D556" s="22"/>
      <c r="E556" s="22"/>
      <c r="F556" s="22"/>
    </row>
    <row r="557" spans="1:6" ht="14.5">
      <c r="A557" s="25">
        <v>44392</v>
      </c>
      <c r="B557" s="26">
        <v>28</v>
      </c>
      <c r="C557" s="22">
        <v>1.5</v>
      </c>
      <c r="D557" s="22"/>
      <c r="E557" s="22"/>
      <c r="F557" s="22"/>
    </row>
    <row r="558" spans="1:6" ht="14.5">
      <c r="A558" s="25">
        <v>44393</v>
      </c>
      <c r="B558" s="26">
        <v>28</v>
      </c>
      <c r="C558" s="22">
        <v>1</v>
      </c>
      <c r="D558" s="22">
        <v>0.5</v>
      </c>
      <c r="E558" s="22"/>
      <c r="F558" s="22"/>
    </row>
    <row r="559" spans="1:6" ht="14.5">
      <c r="A559" s="25">
        <v>44394</v>
      </c>
      <c r="B559" s="26">
        <v>28</v>
      </c>
      <c r="C559" s="22">
        <v>1</v>
      </c>
      <c r="D559" s="22">
        <v>0.5</v>
      </c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>
        <v>1</v>
      </c>
      <c r="D562" s="22">
        <v>1</v>
      </c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>
        <f>(5/8)+1</f>
        <v>1.625</v>
      </c>
      <c r="D568" s="22">
        <f>1/8</f>
        <v>0.125</v>
      </c>
      <c r="E568" s="35"/>
      <c r="F568" s="22"/>
    </row>
    <row r="569" spans="1:6" ht="14.5">
      <c r="A569" s="25">
        <v>44404</v>
      </c>
      <c r="B569" s="26">
        <v>30</v>
      </c>
      <c r="C569" s="22">
        <f>5/8</f>
        <v>0.625</v>
      </c>
      <c r="D569" s="22">
        <f t="shared" ref="D569:D575" si="2">1/8</f>
        <v>0.125</v>
      </c>
      <c r="E569" s="22"/>
      <c r="F569" s="22"/>
    </row>
    <row r="570" spans="1:6" ht="14.5">
      <c r="A570" s="28">
        <v>44405</v>
      </c>
      <c r="B570" s="22">
        <v>30</v>
      </c>
      <c r="C570" s="22">
        <f t="shared" ref="C570:C575" si="3">5/8</f>
        <v>0.625</v>
      </c>
      <c r="D570" s="22">
        <f t="shared" si="2"/>
        <v>0.125</v>
      </c>
      <c r="E570" s="22"/>
      <c r="F570" s="22"/>
    </row>
    <row r="571" spans="1:6" ht="14.5">
      <c r="A571" s="28">
        <v>44406</v>
      </c>
      <c r="B571" s="22">
        <v>30</v>
      </c>
      <c r="C571" s="22">
        <f t="shared" si="3"/>
        <v>0.625</v>
      </c>
      <c r="D571" s="22">
        <f t="shared" si="2"/>
        <v>0.125</v>
      </c>
      <c r="E571" s="22"/>
      <c r="F571" s="22"/>
    </row>
    <row r="572" spans="1:6" ht="14.5">
      <c r="A572" s="28">
        <v>44407</v>
      </c>
      <c r="B572" s="22">
        <v>30</v>
      </c>
      <c r="C572" s="22">
        <f t="shared" si="3"/>
        <v>0.625</v>
      </c>
      <c r="D572" s="22">
        <f t="shared" si="2"/>
        <v>0.125</v>
      </c>
      <c r="E572" s="22"/>
      <c r="F572" s="22"/>
    </row>
    <row r="573" spans="1:6" ht="14.5">
      <c r="A573" s="28">
        <v>44408</v>
      </c>
      <c r="B573" s="22">
        <v>30</v>
      </c>
      <c r="C573" s="22">
        <f t="shared" si="3"/>
        <v>0.625</v>
      </c>
      <c r="D573" s="22">
        <f t="shared" si="2"/>
        <v>0.125</v>
      </c>
      <c r="E573" s="22"/>
      <c r="F573" s="22"/>
    </row>
    <row r="574" spans="1:6" ht="14.5">
      <c r="A574" s="28">
        <v>44409</v>
      </c>
      <c r="B574" s="22">
        <v>30</v>
      </c>
      <c r="C574" s="22">
        <f t="shared" si="3"/>
        <v>0.625</v>
      </c>
      <c r="D574" s="22">
        <f t="shared" si="2"/>
        <v>0.125</v>
      </c>
      <c r="E574" s="22"/>
      <c r="F574" s="22"/>
    </row>
    <row r="575" spans="1:6" ht="14.5">
      <c r="A575" s="28">
        <v>44410</v>
      </c>
      <c r="B575" s="22">
        <v>31</v>
      </c>
      <c r="C575" s="22">
        <f t="shared" si="3"/>
        <v>0.625</v>
      </c>
      <c r="D575" s="22">
        <f t="shared" si="2"/>
        <v>0.125</v>
      </c>
      <c r="E575" s="22"/>
      <c r="F575" s="22"/>
    </row>
    <row r="576" spans="1:6" ht="14.5">
      <c r="A576" s="28">
        <v>44411</v>
      </c>
      <c r="B576" s="22">
        <v>31</v>
      </c>
      <c r="C576" s="22">
        <f>3/2</f>
        <v>1.5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(3/2)+(4/6)</f>
        <v>2.1666666666666665</v>
      </c>
      <c r="D577" s="22">
        <f t="shared" ref="D577:D581" si="4">1/6</f>
        <v>0.16666666666666666</v>
      </c>
      <c r="E577" s="22"/>
      <c r="F577" s="22"/>
    </row>
    <row r="578" spans="1:6" ht="14.5">
      <c r="A578" s="28">
        <v>44413</v>
      </c>
      <c r="B578" s="22">
        <v>31</v>
      </c>
      <c r="C578" s="22">
        <f t="shared" ref="C578:C581" si="5">4/6</f>
        <v>0.66666666666666663</v>
      </c>
      <c r="D578" s="22">
        <f t="shared" si="4"/>
        <v>0.16666666666666666</v>
      </c>
      <c r="E578" s="22"/>
      <c r="F578" s="22"/>
    </row>
    <row r="579" spans="1:6" ht="14.5">
      <c r="A579" s="28">
        <v>44414</v>
      </c>
      <c r="B579" s="22">
        <v>31</v>
      </c>
      <c r="C579" s="22">
        <f t="shared" si="5"/>
        <v>0.66666666666666663</v>
      </c>
      <c r="D579" s="22">
        <f t="shared" si="4"/>
        <v>0.16666666666666666</v>
      </c>
      <c r="E579" s="22"/>
      <c r="F579" s="22"/>
    </row>
    <row r="580" spans="1:6" ht="14.5">
      <c r="A580" s="28">
        <v>44415</v>
      </c>
      <c r="B580" s="22">
        <v>31</v>
      </c>
      <c r="C580" s="22">
        <f t="shared" si="5"/>
        <v>0.66666666666666663</v>
      </c>
      <c r="D580" s="22">
        <f t="shared" si="4"/>
        <v>0.16666666666666666</v>
      </c>
      <c r="E580" s="22"/>
      <c r="F580" s="22"/>
    </row>
    <row r="581" spans="1:6" ht="14.5">
      <c r="A581" s="28">
        <v>44416</v>
      </c>
      <c r="B581" s="22">
        <v>31</v>
      </c>
      <c r="C581" s="22">
        <f t="shared" si="5"/>
        <v>0.66666666666666663</v>
      </c>
      <c r="D581" s="22">
        <f t="shared" si="4"/>
        <v>0.16666666666666666</v>
      </c>
      <c r="E581" s="22"/>
      <c r="F581" s="22"/>
    </row>
    <row r="582" spans="1:6" ht="14.5">
      <c r="A582" s="28">
        <v>44417</v>
      </c>
      <c r="B582" s="22">
        <v>32</v>
      </c>
      <c r="C582" s="22">
        <f>(4/6)+(10/10)</f>
        <v>1.6666666666666665</v>
      </c>
      <c r="D582" s="22">
        <f>(1/6)+(10/10)</f>
        <v>1.1666666666666667</v>
      </c>
      <c r="E582" s="22"/>
      <c r="F582" s="22"/>
    </row>
    <row r="583" spans="1:6" ht="14.5">
      <c r="A583" s="28">
        <v>44418</v>
      </c>
      <c r="B583" s="22">
        <v>32</v>
      </c>
      <c r="C583" s="22">
        <f t="shared" ref="C583:C589" si="6">10/10</f>
        <v>1</v>
      </c>
      <c r="D583" s="22">
        <f t="shared" ref="D583:D589" si="7">3/10</f>
        <v>0.3</v>
      </c>
      <c r="E583" s="22"/>
      <c r="F583" s="22"/>
    </row>
    <row r="584" spans="1:6" ht="14.5">
      <c r="A584" s="28">
        <v>44419</v>
      </c>
      <c r="B584" s="22">
        <v>32</v>
      </c>
      <c r="C584" s="22">
        <f t="shared" si="6"/>
        <v>1</v>
      </c>
      <c r="D584" s="22">
        <f t="shared" si="7"/>
        <v>0.3</v>
      </c>
      <c r="E584" s="22"/>
      <c r="F584" s="22"/>
    </row>
    <row r="585" spans="1:6" ht="14.5">
      <c r="A585" s="28">
        <v>44420</v>
      </c>
      <c r="B585" s="22">
        <v>32</v>
      </c>
      <c r="C585" s="22">
        <f t="shared" si="6"/>
        <v>1</v>
      </c>
      <c r="D585" s="22">
        <f t="shared" si="7"/>
        <v>0.3</v>
      </c>
      <c r="E585" s="22"/>
      <c r="F585" s="22"/>
    </row>
    <row r="586" spans="1:6" ht="14.5">
      <c r="A586" s="28">
        <v>44421</v>
      </c>
      <c r="B586" s="22">
        <v>32</v>
      </c>
      <c r="C586" s="22">
        <f t="shared" si="6"/>
        <v>1</v>
      </c>
      <c r="D586" s="22">
        <f t="shared" si="7"/>
        <v>0.3</v>
      </c>
      <c r="E586" s="22"/>
      <c r="F586" s="22"/>
    </row>
    <row r="587" spans="1:6" ht="14.5">
      <c r="A587" s="28">
        <v>44422</v>
      </c>
      <c r="B587" s="22">
        <v>32</v>
      </c>
      <c r="C587" s="22">
        <f t="shared" si="6"/>
        <v>1</v>
      </c>
      <c r="D587" s="22">
        <f t="shared" si="7"/>
        <v>0.3</v>
      </c>
      <c r="E587" s="22"/>
      <c r="F587" s="22"/>
    </row>
    <row r="588" spans="1:6" ht="14.5">
      <c r="A588" s="28">
        <v>44423</v>
      </c>
      <c r="B588" s="22">
        <v>32</v>
      </c>
      <c r="C588" s="22">
        <f t="shared" si="6"/>
        <v>1</v>
      </c>
      <c r="D588" s="22">
        <f t="shared" si="7"/>
        <v>0.3</v>
      </c>
      <c r="E588" s="22"/>
      <c r="F588" s="22"/>
    </row>
    <row r="589" spans="1:6" ht="14.5">
      <c r="A589" s="28">
        <v>44424</v>
      </c>
      <c r="B589" s="22">
        <v>33</v>
      </c>
      <c r="C589" s="22">
        <f t="shared" si="6"/>
        <v>1</v>
      </c>
      <c r="D589" s="22">
        <f t="shared" si="7"/>
        <v>0.3</v>
      </c>
      <c r="E589" s="22"/>
      <c r="F589" s="22"/>
    </row>
    <row r="590" spans="1:6" ht="14.5">
      <c r="A590" s="28">
        <v>44425</v>
      </c>
      <c r="B590" s="22">
        <v>33</v>
      </c>
      <c r="C590" s="22">
        <f>(10/10)+(9/9)</f>
        <v>2</v>
      </c>
      <c r="D590" s="22">
        <f>(3/10)+(2/9)</f>
        <v>0.52222222222222214</v>
      </c>
      <c r="E590" s="22"/>
      <c r="F590" s="22"/>
    </row>
    <row r="591" spans="1:6" ht="14.5">
      <c r="A591" s="28">
        <v>44426</v>
      </c>
      <c r="B591" s="22">
        <v>33</v>
      </c>
      <c r="C591" s="22">
        <f>(10/10)+(9/9)</f>
        <v>2</v>
      </c>
      <c r="D591" s="22">
        <f>(3/10)+(2/9)</f>
        <v>0.52222222222222214</v>
      </c>
      <c r="E591" s="22"/>
      <c r="F591" s="22"/>
    </row>
    <row r="592" spans="1:6" ht="14.5">
      <c r="A592" s="28">
        <v>44427</v>
      </c>
      <c r="B592" s="22">
        <v>33</v>
      </c>
      <c r="C592" s="22">
        <f t="shared" ref="C592:C597" si="8">9/9</f>
        <v>1</v>
      </c>
      <c r="D592" s="22">
        <f t="shared" ref="D592:D597" si="9">2/9</f>
        <v>0.22222222222222221</v>
      </c>
      <c r="E592" s="22"/>
      <c r="F592" s="22"/>
    </row>
    <row r="593" spans="1:6" ht="14.5">
      <c r="A593" s="28">
        <v>44428</v>
      </c>
      <c r="B593" s="22">
        <v>33</v>
      </c>
      <c r="C593" s="22">
        <f t="shared" si="8"/>
        <v>1</v>
      </c>
      <c r="D593" s="22">
        <f t="shared" si="9"/>
        <v>0.22222222222222221</v>
      </c>
      <c r="E593" s="22"/>
      <c r="F593" s="22"/>
    </row>
    <row r="594" spans="1:6" ht="14.5">
      <c r="A594" s="28">
        <v>44429</v>
      </c>
      <c r="B594" s="22">
        <v>33</v>
      </c>
      <c r="C594" s="22">
        <f t="shared" si="8"/>
        <v>1</v>
      </c>
      <c r="D594" s="22">
        <f t="shared" si="9"/>
        <v>0.22222222222222221</v>
      </c>
      <c r="E594" s="22"/>
      <c r="F594" s="22"/>
    </row>
    <row r="595" spans="1:6" ht="14.5">
      <c r="A595" s="28">
        <v>44430</v>
      </c>
      <c r="B595" s="22">
        <v>33</v>
      </c>
      <c r="C595" s="22">
        <f t="shared" si="8"/>
        <v>1</v>
      </c>
      <c r="D595" s="22">
        <f t="shared" si="9"/>
        <v>0.22222222222222221</v>
      </c>
      <c r="E595" s="22"/>
      <c r="F595" s="22"/>
    </row>
    <row r="596" spans="1:6" ht="14.5">
      <c r="A596" s="28">
        <v>44431</v>
      </c>
      <c r="B596" s="22">
        <v>34</v>
      </c>
      <c r="C596" s="22">
        <f t="shared" si="8"/>
        <v>1</v>
      </c>
      <c r="D596" s="22">
        <f t="shared" si="9"/>
        <v>0.22222222222222221</v>
      </c>
      <c r="E596" s="22"/>
      <c r="F596" s="22"/>
    </row>
    <row r="597" spans="1:6" ht="14.5">
      <c r="A597" s="28">
        <v>44432</v>
      </c>
      <c r="B597" s="22">
        <v>34</v>
      </c>
      <c r="C597" s="22">
        <f t="shared" si="8"/>
        <v>1</v>
      </c>
      <c r="D597" s="22">
        <f t="shared" si="9"/>
        <v>0.22222222222222221</v>
      </c>
      <c r="E597" s="22"/>
      <c r="F597" s="22"/>
    </row>
    <row r="598" spans="1:6" ht="14.5">
      <c r="A598" s="28">
        <v>44433</v>
      </c>
      <c r="B598" s="22">
        <v>34</v>
      </c>
      <c r="C598" s="22">
        <f>9/9</f>
        <v>1</v>
      </c>
      <c r="D598" s="22">
        <f>2/9</f>
        <v>0.22222222222222221</v>
      </c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>3/7</f>
        <v>0.42857142857142855</v>
      </c>
      <c r="D604" s="22">
        <f>2/7</f>
        <v>0.2857142857142857</v>
      </c>
      <c r="E604" s="22"/>
      <c r="F604" s="22"/>
    </row>
    <row r="605" spans="1:6" ht="14.5">
      <c r="A605" s="28">
        <v>44440</v>
      </c>
      <c r="B605" s="22">
        <v>35</v>
      </c>
      <c r="C605" s="22">
        <f t="shared" ref="C605:C610" si="10">3/7</f>
        <v>0.42857142857142855</v>
      </c>
      <c r="D605" s="22">
        <f t="shared" ref="D605:D610" si="11">2/7</f>
        <v>0.2857142857142857</v>
      </c>
      <c r="E605" s="22"/>
      <c r="F605" s="22"/>
    </row>
    <row r="606" spans="1:6" ht="14.5">
      <c r="A606" s="28">
        <v>44441</v>
      </c>
      <c r="B606" s="22">
        <v>35</v>
      </c>
      <c r="C606" s="22">
        <f t="shared" si="10"/>
        <v>0.42857142857142855</v>
      </c>
      <c r="D606" s="22">
        <f t="shared" si="11"/>
        <v>0.2857142857142857</v>
      </c>
      <c r="E606" s="22"/>
      <c r="F606" s="22"/>
    </row>
    <row r="607" spans="1:6" ht="14.5">
      <c r="A607" s="28">
        <v>44442</v>
      </c>
      <c r="B607" s="22">
        <v>35</v>
      </c>
      <c r="C607" s="22">
        <f t="shared" si="10"/>
        <v>0.42857142857142855</v>
      </c>
      <c r="D607" s="22">
        <f t="shared" si="11"/>
        <v>0.2857142857142857</v>
      </c>
      <c r="E607" s="22"/>
      <c r="F607" s="22"/>
    </row>
    <row r="608" spans="1:6" ht="14.5">
      <c r="A608" s="28">
        <v>44443</v>
      </c>
      <c r="B608" s="22">
        <v>35</v>
      </c>
      <c r="C608" s="22">
        <f t="shared" si="10"/>
        <v>0.42857142857142855</v>
      </c>
      <c r="D608" s="22">
        <f t="shared" si="11"/>
        <v>0.2857142857142857</v>
      </c>
      <c r="E608" s="22"/>
      <c r="F608" s="22"/>
    </row>
    <row r="609" spans="1:6" ht="14.5">
      <c r="A609" s="28">
        <v>44444</v>
      </c>
      <c r="B609" s="22">
        <v>35</v>
      </c>
      <c r="C609" s="22">
        <f t="shared" si="10"/>
        <v>0.42857142857142855</v>
      </c>
      <c r="D609" s="22">
        <f t="shared" si="11"/>
        <v>0.2857142857142857</v>
      </c>
      <c r="E609" s="22"/>
      <c r="F609" s="22"/>
    </row>
    <row r="610" spans="1:6" ht="14.5">
      <c r="A610" s="28">
        <v>44445</v>
      </c>
      <c r="B610" s="22">
        <v>36</v>
      </c>
      <c r="C610" s="22">
        <f t="shared" si="10"/>
        <v>0.42857142857142855</v>
      </c>
      <c r="D610" s="22">
        <f t="shared" si="11"/>
        <v>0.2857142857142857</v>
      </c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v>1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f>2/3</f>
        <v>0.66666666666666663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>
        <f t="shared" ref="C627:C628" si="12">2/3</f>
        <v>0.66666666666666663</v>
      </c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 t="shared" si="12"/>
        <v>0.66666666666666663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>
        <f>3/6</f>
        <v>0.5</v>
      </c>
      <c r="D629" s="22"/>
      <c r="E629" s="22"/>
      <c r="F629" s="22"/>
    </row>
    <row r="630" spans="1:6" ht="14.5">
      <c r="A630" s="28">
        <v>44465</v>
      </c>
      <c r="B630" s="22">
        <v>38</v>
      </c>
      <c r="C630" s="22">
        <f t="shared" ref="C630:C634" si="13">3/6</f>
        <v>0.5</v>
      </c>
      <c r="D630" s="22"/>
      <c r="E630" s="22"/>
      <c r="F630" s="22"/>
    </row>
    <row r="631" spans="1:6" ht="14.5">
      <c r="A631" s="28">
        <v>44466</v>
      </c>
      <c r="B631" s="22">
        <v>39</v>
      </c>
      <c r="C631" s="22">
        <f t="shared" si="13"/>
        <v>0.5</v>
      </c>
      <c r="D631" s="22"/>
      <c r="E631" s="22"/>
      <c r="F631" s="22"/>
    </row>
    <row r="632" spans="1:6" ht="14.5">
      <c r="A632" s="28">
        <v>44467</v>
      </c>
      <c r="B632" s="22">
        <v>39</v>
      </c>
      <c r="C632" s="22">
        <f t="shared" si="13"/>
        <v>0.5</v>
      </c>
      <c r="D632" s="22"/>
      <c r="E632" s="22"/>
      <c r="F632" s="22"/>
    </row>
    <row r="633" spans="1:6" ht="14.5">
      <c r="A633" s="28">
        <v>44468</v>
      </c>
      <c r="B633" s="22">
        <v>39</v>
      </c>
      <c r="C633" s="22">
        <f t="shared" si="13"/>
        <v>0.5</v>
      </c>
      <c r="D633" s="22"/>
      <c r="E633" s="22"/>
      <c r="F633" s="22"/>
    </row>
    <row r="634" spans="1:6" ht="14.5">
      <c r="A634" s="28">
        <v>44469</v>
      </c>
      <c r="B634" s="22">
        <v>39</v>
      </c>
      <c r="C634" s="22">
        <f t="shared" si="13"/>
        <v>0.5</v>
      </c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>
        <v>1</v>
      </c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8/5</f>
        <v>1.6</v>
      </c>
      <c r="D734" s="22">
        <f>2/5</f>
        <v>0.4</v>
      </c>
      <c r="E734" s="22"/>
      <c r="F734" s="22"/>
    </row>
    <row r="735" spans="1:6" ht="14.5">
      <c r="A735" s="28">
        <v>44570</v>
      </c>
      <c r="B735" s="22">
        <v>1</v>
      </c>
      <c r="C735" s="22">
        <f>(8/5)+(28/9)</f>
        <v>4.7111111111111112</v>
      </c>
      <c r="D735" s="22">
        <f>(2/5)+(2/9)</f>
        <v>0.62222222222222223</v>
      </c>
      <c r="E735" s="22"/>
      <c r="F735" s="22"/>
    </row>
    <row r="736" spans="1:6" ht="14.5">
      <c r="A736" s="28">
        <v>44571</v>
      </c>
      <c r="B736" s="22">
        <v>2</v>
      </c>
      <c r="C736" s="22">
        <f t="shared" ref="C736:C738" si="14">(8/5)+(28/9)</f>
        <v>4.7111111111111112</v>
      </c>
      <c r="D736" s="22">
        <f t="shared" ref="D736:D738" si="15">(2/5)+(2/9)</f>
        <v>0.62222222222222223</v>
      </c>
      <c r="E736" s="22"/>
      <c r="F736" s="22"/>
    </row>
    <row r="737" spans="1:7" ht="14.5">
      <c r="A737" s="28">
        <v>44572</v>
      </c>
      <c r="B737" s="22">
        <v>2</v>
      </c>
      <c r="C737" s="22">
        <f t="shared" si="14"/>
        <v>4.7111111111111112</v>
      </c>
      <c r="D737" s="22">
        <f t="shared" si="15"/>
        <v>0.62222222222222223</v>
      </c>
      <c r="E737" s="22"/>
      <c r="F737" s="22"/>
    </row>
    <row r="738" spans="1:7" ht="14.5">
      <c r="A738" s="28">
        <v>44573</v>
      </c>
      <c r="B738" s="22">
        <v>2</v>
      </c>
      <c r="C738" s="22">
        <f t="shared" si="14"/>
        <v>4.7111111111111112</v>
      </c>
      <c r="D738" s="22">
        <f t="shared" si="15"/>
        <v>0.62222222222222223</v>
      </c>
      <c r="E738" s="22"/>
      <c r="F738" s="22"/>
    </row>
    <row r="739" spans="1:7" ht="14.5">
      <c r="A739" s="28">
        <v>44574</v>
      </c>
      <c r="B739" s="22">
        <v>2</v>
      </c>
      <c r="C739" s="22">
        <f>(28/9)+(42/12)</f>
        <v>6.6111111111111107</v>
      </c>
      <c r="D739" s="22">
        <f>(2/9)+(6/12)</f>
        <v>0.72222222222222221</v>
      </c>
      <c r="E739" s="22"/>
      <c r="F739" s="22"/>
    </row>
    <row r="740" spans="1:7" ht="14.5">
      <c r="A740" s="28">
        <v>44575</v>
      </c>
      <c r="B740" s="22">
        <v>2</v>
      </c>
      <c r="C740" s="22">
        <f>(28/9)+(42/12)</f>
        <v>6.6111111111111107</v>
      </c>
      <c r="D740" s="22">
        <f>(2/9)+(6/12)</f>
        <v>0.72222222222222221</v>
      </c>
      <c r="E740" s="22"/>
      <c r="F740" s="22"/>
    </row>
    <row r="741" spans="1:7" ht="14.5">
      <c r="A741" s="28">
        <v>44576</v>
      </c>
      <c r="B741" s="22">
        <v>2</v>
      </c>
      <c r="C741" s="22">
        <f>(28/9)+(42/12)</f>
        <v>6.6111111111111107</v>
      </c>
      <c r="D741" s="22">
        <f>(2/9)+(6/12)</f>
        <v>0.72222222222222221</v>
      </c>
      <c r="E741" s="22"/>
      <c r="F741" s="22"/>
    </row>
    <row r="742" spans="1:7" ht="14.5">
      <c r="A742" s="28">
        <v>44577</v>
      </c>
      <c r="B742" s="22">
        <v>2</v>
      </c>
      <c r="C742" s="22">
        <f>(28/9)+(42/12)</f>
        <v>6.6111111111111107</v>
      </c>
      <c r="D742" s="22">
        <f>(2/9)+(6/12)</f>
        <v>0.72222222222222221</v>
      </c>
      <c r="E742" s="22"/>
      <c r="F742" s="22"/>
    </row>
    <row r="743" spans="1:7" ht="14.5">
      <c r="A743" s="28">
        <v>44578</v>
      </c>
      <c r="B743" s="22">
        <v>3</v>
      </c>
      <c r="C743" s="22">
        <f>(28/9)+(42/12)</f>
        <v>6.6111111111111107</v>
      </c>
      <c r="D743" s="22">
        <f>(2/9)+(6/12)</f>
        <v>0.72222222222222221</v>
      </c>
      <c r="E743" s="22"/>
      <c r="F743" s="22"/>
    </row>
    <row r="744" spans="1:7" ht="14.5">
      <c r="A744" s="28">
        <v>44579</v>
      </c>
      <c r="B744" s="22">
        <v>3</v>
      </c>
      <c r="C744" s="22">
        <f>(42/12)</f>
        <v>3.5</v>
      </c>
      <c r="D744" s="22">
        <f>(6/12)</f>
        <v>0.5</v>
      </c>
      <c r="E744" s="22"/>
      <c r="F744" s="22"/>
    </row>
    <row r="745" spans="1:7" ht="14.5">
      <c r="A745" s="28">
        <v>44580</v>
      </c>
      <c r="B745" s="22">
        <v>3</v>
      </c>
      <c r="C745" s="22">
        <f t="shared" ref="C745:C750" si="16">(42/12)+(51/13)</f>
        <v>7.4230769230769234</v>
      </c>
      <c r="D745" s="22">
        <f t="shared" ref="D745:D750" si="17">(6/12)+(20/13)</f>
        <v>2.0384615384615383</v>
      </c>
      <c r="E745" s="22"/>
      <c r="F745" s="22"/>
      <c r="G745" s="24"/>
    </row>
    <row r="746" spans="1:7" ht="14.5">
      <c r="A746" s="28">
        <v>44581</v>
      </c>
      <c r="B746" s="22">
        <v>3</v>
      </c>
      <c r="C746" s="22">
        <f t="shared" si="16"/>
        <v>7.4230769230769234</v>
      </c>
      <c r="D746" s="22">
        <f t="shared" si="17"/>
        <v>2.0384615384615383</v>
      </c>
      <c r="E746" s="22"/>
      <c r="F746" s="22"/>
    </row>
    <row r="747" spans="1:7" ht="14.5">
      <c r="A747" s="28">
        <v>44582</v>
      </c>
      <c r="B747" s="22">
        <v>3</v>
      </c>
      <c r="C747" s="22">
        <f t="shared" si="16"/>
        <v>7.4230769230769234</v>
      </c>
      <c r="D747" s="22">
        <f t="shared" si="17"/>
        <v>2.0384615384615383</v>
      </c>
      <c r="E747" s="22"/>
      <c r="F747" s="22"/>
    </row>
    <row r="748" spans="1:7" ht="14.5">
      <c r="A748" s="28">
        <v>44583</v>
      </c>
      <c r="B748" s="22">
        <v>3</v>
      </c>
      <c r="C748" s="22">
        <f t="shared" si="16"/>
        <v>7.4230769230769234</v>
      </c>
      <c r="D748" s="22">
        <f t="shared" si="17"/>
        <v>2.0384615384615383</v>
      </c>
      <c r="E748" s="22"/>
      <c r="F748" s="22"/>
    </row>
    <row r="749" spans="1:7" ht="14.5">
      <c r="A749" s="28">
        <v>44584</v>
      </c>
      <c r="B749" s="22">
        <v>3</v>
      </c>
      <c r="C749" s="22">
        <f t="shared" si="16"/>
        <v>7.4230769230769234</v>
      </c>
      <c r="D749" s="22">
        <f t="shared" si="17"/>
        <v>2.0384615384615383</v>
      </c>
      <c r="E749" s="22"/>
      <c r="F749" s="22"/>
    </row>
    <row r="750" spans="1:7" ht="14.5">
      <c r="A750" s="28">
        <v>44585</v>
      </c>
      <c r="B750" s="22">
        <v>4</v>
      </c>
      <c r="C750" s="22">
        <f t="shared" si="16"/>
        <v>7.4230769230769234</v>
      </c>
      <c r="D750" s="22">
        <f t="shared" si="17"/>
        <v>2.0384615384615383</v>
      </c>
      <c r="E750" s="22"/>
      <c r="F750" s="22"/>
    </row>
    <row r="751" spans="1:7" ht="14.5">
      <c r="A751" s="28">
        <v>44586</v>
      </c>
      <c r="B751" s="22">
        <v>4</v>
      </c>
      <c r="C751" s="22">
        <f>(51/13)+(30/14)</f>
        <v>6.0659340659340657</v>
      </c>
      <c r="D751" s="22">
        <f>(20/13)+(17/14)</f>
        <v>2.7527472527472527</v>
      </c>
      <c r="E751" s="22"/>
      <c r="F751" s="22"/>
    </row>
    <row r="752" spans="1:7" ht="14.5">
      <c r="A752" s="28">
        <v>44587</v>
      </c>
      <c r="B752" s="22">
        <v>4</v>
      </c>
      <c r="C752" s="22">
        <f t="shared" ref="C752:C757" si="18">(51/13)+(30/14)+(17/20)</f>
        <v>6.9159340659340653</v>
      </c>
      <c r="D752" s="22">
        <f t="shared" ref="D752:D757" si="19">(20/13)+(17/14)+(9/20)</f>
        <v>3.2027472527472529</v>
      </c>
      <c r="E752" s="22"/>
      <c r="F752" s="22"/>
    </row>
    <row r="753" spans="1:6" ht="14.5">
      <c r="A753" s="28">
        <v>44588</v>
      </c>
      <c r="B753" s="22">
        <v>4</v>
      </c>
      <c r="C753" s="22">
        <f t="shared" si="18"/>
        <v>6.9159340659340653</v>
      </c>
      <c r="D753" s="22">
        <f t="shared" si="19"/>
        <v>3.2027472527472529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si="18"/>
        <v>6.9159340659340653</v>
      </c>
      <c r="D754" s="22">
        <f t="shared" si="19"/>
        <v>3.2027472527472529</v>
      </c>
      <c r="E754" s="22"/>
      <c r="F754" s="22"/>
    </row>
    <row r="755" spans="1:6" ht="14.5">
      <c r="A755" s="28">
        <v>44590</v>
      </c>
      <c r="B755" s="22">
        <v>4</v>
      </c>
      <c r="C755" s="22">
        <f t="shared" si="18"/>
        <v>6.9159340659340653</v>
      </c>
      <c r="D755" s="22">
        <f t="shared" si="19"/>
        <v>3.2027472527472529</v>
      </c>
      <c r="E755" s="22"/>
      <c r="F755" s="22"/>
    </row>
    <row r="756" spans="1:6" ht="14.5">
      <c r="A756" s="28">
        <v>44591</v>
      </c>
      <c r="B756" s="22">
        <v>4</v>
      </c>
      <c r="C756" s="22">
        <f t="shared" si="18"/>
        <v>6.9159340659340653</v>
      </c>
      <c r="D756" s="22">
        <f t="shared" si="19"/>
        <v>3.2027472527472529</v>
      </c>
      <c r="E756" s="22"/>
      <c r="F756" s="22"/>
    </row>
    <row r="757" spans="1:6" ht="14.5">
      <c r="A757" s="28">
        <v>44592</v>
      </c>
      <c r="B757" s="22">
        <v>5</v>
      </c>
      <c r="C757" s="22">
        <f t="shared" si="18"/>
        <v>6.9159340659340653</v>
      </c>
      <c r="D757" s="22">
        <f t="shared" si="19"/>
        <v>3.2027472527472529</v>
      </c>
      <c r="E757" s="22"/>
      <c r="F757" s="22"/>
    </row>
    <row r="758" spans="1:6" ht="14.5">
      <c r="A758" s="49">
        <v>44593</v>
      </c>
      <c r="B758" s="52">
        <v>5</v>
      </c>
      <c r="C758" s="52">
        <f t="shared" ref="C758:C764" si="20">(30/14)+(17/20)+(26/22)</f>
        <v>4.1746753246753245</v>
      </c>
      <c r="D758" s="52">
        <f t="shared" ref="D758:D764" si="21">(17/14)+(9/20)+(17/22)</f>
        <v>2.4370129870129871</v>
      </c>
      <c r="E758" s="52"/>
      <c r="F758" s="52"/>
    </row>
    <row r="759" spans="1:6" ht="14.5">
      <c r="A759" s="49">
        <v>44594</v>
      </c>
      <c r="B759" s="52">
        <v>5</v>
      </c>
      <c r="C759" s="52">
        <f t="shared" si="20"/>
        <v>4.1746753246753245</v>
      </c>
      <c r="D759" s="52">
        <f t="shared" si="21"/>
        <v>2.4370129870129871</v>
      </c>
      <c r="E759" s="52"/>
      <c r="F759" s="52"/>
    </row>
    <row r="760" spans="1:6" ht="14.5">
      <c r="A760" s="49">
        <v>44595</v>
      </c>
      <c r="B760" s="52">
        <v>5</v>
      </c>
      <c r="C760" s="52">
        <f t="shared" si="20"/>
        <v>4.1746753246753245</v>
      </c>
      <c r="D760" s="52">
        <f t="shared" si="21"/>
        <v>2.4370129870129871</v>
      </c>
      <c r="E760" s="52"/>
      <c r="F760" s="52"/>
    </row>
    <row r="761" spans="1:6" ht="14.5">
      <c r="A761" s="49">
        <v>44596</v>
      </c>
      <c r="B761" s="52">
        <v>5</v>
      </c>
      <c r="C761" s="52">
        <f t="shared" si="20"/>
        <v>4.1746753246753245</v>
      </c>
      <c r="D761" s="52">
        <f t="shared" si="21"/>
        <v>2.4370129870129871</v>
      </c>
      <c r="E761" s="52"/>
      <c r="F761" s="52"/>
    </row>
    <row r="762" spans="1:6" ht="14.5">
      <c r="A762" s="49">
        <v>44597</v>
      </c>
      <c r="B762" s="52">
        <v>5</v>
      </c>
      <c r="C762" s="52">
        <f t="shared" si="20"/>
        <v>4.1746753246753245</v>
      </c>
      <c r="D762" s="52">
        <f t="shared" si="21"/>
        <v>2.4370129870129871</v>
      </c>
      <c r="E762" s="52"/>
      <c r="F762" s="52"/>
    </row>
    <row r="763" spans="1:6" ht="14.5">
      <c r="A763" s="49">
        <v>44598</v>
      </c>
      <c r="B763" s="52">
        <v>5</v>
      </c>
      <c r="C763" s="52">
        <f t="shared" si="20"/>
        <v>4.1746753246753245</v>
      </c>
      <c r="D763" s="52">
        <f t="shared" si="21"/>
        <v>2.4370129870129871</v>
      </c>
      <c r="E763" s="52"/>
      <c r="F763" s="52"/>
    </row>
    <row r="764" spans="1:6" ht="14.5">
      <c r="A764" s="49">
        <v>44599</v>
      </c>
      <c r="B764" s="52">
        <v>6</v>
      </c>
      <c r="C764" s="52">
        <f t="shared" si="20"/>
        <v>4.1746753246753245</v>
      </c>
      <c r="D764" s="52">
        <f t="shared" si="21"/>
        <v>2.4370129870129871</v>
      </c>
      <c r="E764" s="52"/>
      <c r="F764" s="52"/>
    </row>
    <row r="765" spans="1:6" ht="14.5">
      <c r="A765" s="49">
        <v>44600</v>
      </c>
      <c r="B765" s="52">
        <v>6</v>
      </c>
      <c r="C765" s="52">
        <f t="shared" ref="C765:C771" si="22">(17/20)+(26/22)+(5/19)</f>
        <v>2.2949760765550238</v>
      </c>
      <c r="D765" s="52">
        <f t="shared" ref="D765:D771" si="23">(9/20)+(17/22)+(7/19)</f>
        <v>1.5911483253588516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si="22"/>
        <v>2.2949760765550238</v>
      </c>
      <c r="D766" s="52">
        <f t="shared" si="23"/>
        <v>1.5911483253588516</v>
      </c>
      <c r="E766" s="52"/>
      <c r="F766" s="52"/>
    </row>
    <row r="767" spans="1:6" ht="14.5">
      <c r="A767" s="49">
        <v>44602</v>
      </c>
      <c r="B767" s="52">
        <v>6</v>
      </c>
      <c r="C767" s="52">
        <f t="shared" si="22"/>
        <v>2.2949760765550238</v>
      </c>
      <c r="D767" s="52">
        <f t="shared" si="23"/>
        <v>1.5911483253588516</v>
      </c>
      <c r="E767" s="52"/>
      <c r="F767" s="52"/>
    </row>
    <row r="768" spans="1:6" ht="14.5">
      <c r="A768" s="49">
        <v>44603</v>
      </c>
      <c r="B768" s="52">
        <v>6</v>
      </c>
      <c r="C768" s="52">
        <f t="shared" si="22"/>
        <v>2.2949760765550238</v>
      </c>
      <c r="D768" s="52">
        <f t="shared" si="23"/>
        <v>1.5911483253588516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22"/>
        <v>2.2949760765550238</v>
      </c>
      <c r="D769" s="52">
        <f t="shared" si="23"/>
        <v>1.5911483253588516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22"/>
        <v>2.2949760765550238</v>
      </c>
      <c r="D770" s="52">
        <f t="shared" si="23"/>
        <v>1.5911483253588516</v>
      </c>
      <c r="E770" s="52"/>
      <c r="F770" s="52"/>
    </row>
    <row r="771" spans="1:6" ht="14.5">
      <c r="A771" s="49">
        <v>44606</v>
      </c>
      <c r="B771" s="52">
        <v>7</v>
      </c>
      <c r="C771" s="52">
        <f t="shared" si="22"/>
        <v>2.2949760765550238</v>
      </c>
      <c r="D771" s="52">
        <f t="shared" si="23"/>
        <v>1.5911483253588516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ref="C772:C779" si="24">(26/22)+(5/19)</f>
        <v>1.4449760765550239</v>
      </c>
      <c r="D772" s="52">
        <f t="shared" ref="D772:D779" si="25">(17/22)+(7/19)</f>
        <v>1.1411483253588517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24"/>
        <v>1.4449760765550239</v>
      </c>
      <c r="D773" s="52">
        <f t="shared" si="25"/>
        <v>1.1411483253588517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24"/>
        <v>1.4449760765550239</v>
      </c>
      <c r="D774" s="52">
        <f t="shared" si="25"/>
        <v>1.1411483253588517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24"/>
        <v>1.4449760765550239</v>
      </c>
      <c r="D775" s="52">
        <f t="shared" si="25"/>
        <v>1.1411483253588517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24"/>
        <v>1.4449760765550239</v>
      </c>
      <c r="D776" s="52">
        <f t="shared" si="25"/>
        <v>1.1411483253588517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24"/>
        <v>1.4449760765550239</v>
      </c>
      <c r="D777" s="52">
        <f t="shared" si="25"/>
        <v>1.1411483253588517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24"/>
        <v>1.4449760765550239</v>
      </c>
      <c r="D778" s="52">
        <f t="shared" si="25"/>
        <v>1.1411483253588517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si="24"/>
        <v>1.4449760765550239</v>
      </c>
      <c r="D779" s="52">
        <f t="shared" si="25"/>
        <v>1.1411483253588517</v>
      </c>
      <c r="E779" s="52"/>
      <c r="F779" s="52"/>
    </row>
    <row r="780" spans="1:6" ht="14.5">
      <c r="A780" s="49">
        <v>44615</v>
      </c>
      <c r="B780" s="52">
        <v>8</v>
      </c>
      <c r="C780" s="52">
        <f>(5/19)</f>
        <v>0.26315789473684209</v>
      </c>
      <c r="D780" s="52">
        <f>(7/19)</f>
        <v>0.36842105263157893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ref="C781" si="26">(5/19)</f>
        <v>0.26315789473684209</v>
      </c>
      <c r="D781" s="52">
        <f t="shared" ref="D781" si="27">(7/19)</f>
        <v>0.36842105263157893</v>
      </c>
      <c r="E781" s="52"/>
      <c r="F781" s="52"/>
    </row>
    <row r="782" spans="1:6" ht="14.5">
      <c r="A782" s="49">
        <v>44617</v>
      </c>
      <c r="B782" s="52">
        <v>8</v>
      </c>
      <c r="C782" s="52">
        <f>(5/19)+(9/11)</f>
        <v>1.0813397129186604</v>
      </c>
      <c r="D782" s="52">
        <f>(7/19)+(7/11)</f>
        <v>1.0047846889952152</v>
      </c>
      <c r="E782" s="52"/>
      <c r="F782" s="52"/>
    </row>
    <row r="783" spans="1:6" ht="14.5">
      <c r="A783" s="49">
        <v>44618</v>
      </c>
      <c r="B783" s="52">
        <v>8</v>
      </c>
      <c r="C783" s="52">
        <f>(5/19)+(9/11)</f>
        <v>1.0813397129186604</v>
      </c>
      <c r="D783" s="52">
        <f>(7/19)+(7/11)</f>
        <v>1.0047846889952152</v>
      </c>
      <c r="E783" s="52"/>
      <c r="F783" s="52"/>
    </row>
    <row r="784" spans="1:6" ht="14.5">
      <c r="A784" s="49">
        <v>44619</v>
      </c>
      <c r="B784" s="52">
        <v>8</v>
      </c>
      <c r="C784" s="52">
        <f>(9/11)</f>
        <v>0.81818181818181823</v>
      </c>
      <c r="D784" s="52">
        <f>(7/11)</f>
        <v>0.63636363636363635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ref="C785:C792" si="28">(9/11)</f>
        <v>0.81818181818181823</v>
      </c>
      <c r="D785" s="52">
        <f t="shared" ref="D785:D792" si="29">(7/11)</f>
        <v>0.63636363636363635</v>
      </c>
      <c r="E785" s="52"/>
      <c r="F785" s="52"/>
    </row>
    <row r="786" spans="1:6" ht="14.5">
      <c r="A786" s="64">
        <v>44621</v>
      </c>
      <c r="B786" s="52">
        <v>9</v>
      </c>
      <c r="C786" s="52">
        <f t="shared" si="28"/>
        <v>0.81818181818181823</v>
      </c>
      <c r="D786" s="52">
        <f t="shared" si="29"/>
        <v>0.63636363636363635</v>
      </c>
      <c r="E786" s="52"/>
      <c r="F786" s="52"/>
    </row>
    <row r="787" spans="1:6" ht="14.5">
      <c r="A787" s="64">
        <v>44622</v>
      </c>
      <c r="B787" s="52">
        <v>9</v>
      </c>
      <c r="C787" s="52">
        <f t="shared" si="28"/>
        <v>0.81818181818181823</v>
      </c>
      <c r="D787" s="52">
        <f t="shared" si="29"/>
        <v>0.63636363636363635</v>
      </c>
      <c r="E787" s="52"/>
      <c r="F787" s="52"/>
    </row>
    <row r="788" spans="1:6" ht="14.5">
      <c r="A788" s="64">
        <v>44623</v>
      </c>
      <c r="B788" s="52">
        <v>9</v>
      </c>
      <c r="C788" s="52">
        <f t="shared" si="28"/>
        <v>0.81818181818181823</v>
      </c>
      <c r="D788" s="52">
        <f t="shared" si="29"/>
        <v>0.63636363636363635</v>
      </c>
      <c r="E788" s="52"/>
      <c r="F788" s="52"/>
    </row>
    <row r="789" spans="1:6" ht="14.5">
      <c r="A789" s="64">
        <v>44624</v>
      </c>
      <c r="B789" s="52">
        <v>9</v>
      </c>
      <c r="C789" s="52">
        <f t="shared" si="28"/>
        <v>0.81818181818181823</v>
      </c>
      <c r="D789" s="52">
        <f t="shared" si="29"/>
        <v>0.63636363636363635</v>
      </c>
      <c r="E789" s="52"/>
      <c r="F789" s="52"/>
    </row>
    <row r="790" spans="1:6" ht="14.5">
      <c r="A790" s="64">
        <v>44625</v>
      </c>
      <c r="B790" s="52">
        <v>9</v>
      </c>
      <c r="C790" s="52">
        <f t="shared" si="28"/>
        <v>0.81818181818181823</v>
      </c>
      <c r="D790" s="52">
        <f t="shared" si="29"/>
        <v>0.63636363636363635</v>
      </c>
      <c r="E790" s="52"/>
      <c r="F790" s="52"/>
    </row>
    <row r="791" spans="1:6" ht="14.5">
      <c r="A791" s="64">
        <v>44626</v>
      </c>
      <c r="B791" s="52">
        <v>9</v>
      </c>
      <c r="C791" s="52">
        <f t="shared" si="28"/>
        <v>0.81818181818181823</v>
      </c>
      <c r="D791" s="52">
        <f t="shared" si="29"/>
        <v>0.63636363636363635</v>
      </c>
      <c r="E791" s="52"/>
      <c r="F791" s="52"/>
    </row>
    <row r="792" spans="1:6" ht="14.5">
      <c r="A792" s="64">
        <v>44627</v>
      </c>
      <c r="B792" s="52">
        <v>10</v>
      </c>
      <c r="C792" s="52">
        <f t="shared" si="28"/>
        <v>0.81818181818181823</v>
      </c>
      <c r="D792" s="52">
        <f t="shared" si="29"/>
        <v>0.63636363636363635</v>
      </c>
      <c r="E792" s="52"/>
      <c r="F792" s="52"/>
    </row>
    <row r="793" spans="1:6" ht="14.5">
      <c r="C793" s="3"/>
      <c r="D793" s="3"/>
      <c r="E793" s="3"/>
      <c r="F793" s="3"/>
    </row>
    <row r="794" spans="1:6" ht="14.5">
      <c r="C794" s="3"/>
      <c r="D794" s="3"/>
      <c r="E794" s="3"/>
      <c r="F794" s="3"/>
    </row>
    <row r="795" spans="1:6" ht="14.5">
      <c r="C795" s="3"/>
      <c r="D795" s="3"/>
      <c r="E795" s="3"/>
      <c r="F795" s="3"/>
    </row>
    <row r="796" spans="1:6" ht="14.5">
      <c r="C796" s="3"/>
      <c r="D796" s="3"/>
      <c r="E796" s="3"/>
      <c r="F796" s="3"/>
    </row>
    <row r="797" spans="1:6" ht="14.5">
      <c r="C797" s="3"/>
      <c r="D797" s="3"/>
      <c r="E797" s="3"/>
      <c r="F797" s="3"/>
    </row>
    <row r="798" spans="1:6" ht="14.5">
      <c r="C798" s="3"/>
      <c r="D798" s="3"/>
      <c r="E798" s="3"/>
      <c r="F798" s="3"/>
    </row>
    <row r="799" spans="1:6" ht="14.5">
      <c r="C799" s="3"/>
      <c r="D799" s="3"/>
      <c r="E799" s="3"/>
      <c r="F799" s="3"/>
    </row>
    <row r="800" spans="1:6" ht="14.5">
      <c r="C800" s="3"/>
      <c r="D800" s="3"/>
      <c r="E800" s="3"/>
      <c r="F800" s="3"/>
    </row>
    <row r="801" spans="3:6" ht="14.5">
      <c r="C801" s="3"/>
      <c r="D801" s="3"/>
      <c r="E801" s="3"/>
      <c r="F801" s="3"/>
    </row>
    <row r="802" spans="3:6" ht="14.5">
      <c r="C802" s="3"/>
      <c r="D802" s="3"/>
      <c r="E802" s="3"/>
      <c r="F802" s="3"/>
    </row>
    <row r="803" spans="3:6" ht="14.5">
      <c r="C803" s="3"/>
      <c r="D803" s="3"/>
      <c r="E803" s="3"/>
      <c r="F803" s="3"/>
    </row>
    <row r="804" spans="3:6" ht="14.5">
      <c r="C804" s="3"/>
      <c r="D804" s="3"/>
      <c r="E804" s="3"/>
      <c r="F804" s="3"/>
    </row>
    <row r="805" spans="3:6" ht="14.5">
      <c r="C805" s="3"/>
      <c r="D805" s="3"/>
      <c r="E805" s="3"/>
      <c r="F805" s="3"/>
    </row>
    <row r="806" spans="3:6" ht="14.5">
      <c r="C806" s="3"/>
      <c r="D806" s="3"/>
      <c r="E806" s="3"/>
      <c r="F806" s="3"/>
    </row>
    <row r="807" spans="3:6" ht="14.5">
      <c r="C807" s="3"/>
      <c r="D807" s="3"/>
      <c r="E807" s="3"/>
      <c r="F807" s="3"/>
    </row>
    <row r="808" spans="3:6" ht="14.5">
      <c r="C808" s="3"/>
      <c r="D808" s="3"/>
      <c r="E808" s="3"/>
      <c r="F808" s="3"/>
    </row>
    <row r="809" spans="3:6" ht="14.5">
      <c r="C809" s="3"/>
      <c r="D809" s="3"/>
      <c r="E809" s="3"/>
      <c r="F809" s="3"/>
    </row>
    <row r="810" spans="3:6" ht="14.5">
      <c r="C810" s="3"/>
      <c r="D810" s="3"/>
      <c r="E810" s="3"/>
      <c r="F810" s="3"/>
    </row>
    <row r="811" spans="3:6" ht="14.5">
      <c r="C811" s="3"/>
      <c r="D811" s="3"/>
      <c r="E811" s="3"/>
      <c r="F811" s="3"/>
    </row>
    <row r="812" spans="3:6" ht="14.5">
      <c r="C812" s="3"/>
      <c r="D812" s="3"/>
      <c r="E812" s="3"/>
      <c r="F812" s="3"/>
    </row>
    <row r="813" spans="3:6" ht="14.5">
      <c r="C813" s="3"/>
      <c r="D813" s="3"/>
      <c r="E813" s="3"/>
      <c r="F813" s="3"/>
    </row>
    <row r="814" spans="3:6" ht="14.5">
      <c r="C814" s="3"/>
      <c r="D814" s="3"/>
      <c r="E814" s="3"/>
      <c r="F814" s="3"/>
    </row>
    <row r="815" spans="3:6" ht="14.5">
      <c r="C815" s="3"/>
      <c r="D815" s="3"/>
      <c r="E815" s="3"/>
      <c r="F815" s="3"/>
    </row>
    <row r="816" spans="3:6" ht="14.5">
      <c r="C816" s="3"/>
      <c r="D816" s="3"/>
      <c r="E816" s="3"/>
      <c r="F816" s="3"/>
    </row>
    <row r="817" spans="3:6" ht="14.5">
      <c r="C817" s="3"/>
      <c r="D817" s="3"/>
      <c r="E817" s="3"/>
      <c r="F817" s="3"/>
    </row>
    <row r="818" spans="3:6" ht="14.5">
      <c r="C818" s="3"/>
      <c r="D818" s="3"/>
      <c r="E818" s="3"/>
      <c r="F818" s="3"/>
    </row>
    <row r="819" spans="3:6" ht="14.5">
      <c r="C819" s="3"/>
      <c r="D819" s="3"/>
      <c r="E819" s="3"/>
      <c r="F819" s="3"/>
    </row>
    <row r="820" spans="3:6" ht="14.5">
      <c r="C820" s="3"/>
      <c r="D820" s="3"/>
      <c r="E820" s="3"/>
      <c r="F820" s="3"/>
    </row>
    <row r="821" spans="3:6" ht="14.5">
      <c r="C821" s="3"/>
      <c r="D821" s="3"/>
      <c r="E821" s="3"/>
      <c r="F821" s="3"/>
    </row>
    <row r="822" spans="3:6" ht="14.5">
      <c r="C822" s="3"/>
      <c r="D822" s="3"/>
      <c r="E822" s="3"/>
      <c r="F822" s="3"/>
    </row>
    <row r="823" spans="3:6" ht="14.5">
      <c r="C823" s="3"/>
      <c r="D823" s="3"/>
      <c r="E823" s="3"/>
      <c r="F823" s="3"/>
    </row>
    <row r="824" spans="3:6" ht="14.5">
      <c r="C824" s="3"/>
      <c r="D824" s="3"/>
      <c r="E824" s="3"/>
      <c r="F824" s="3"/>
    </row>
    <row r="825" spans="3:6" ht="14.5">
      <c r="C825" s="3"/>
      <c r="D825" s="3"/>
      <c r="E825" s="3"/>
      <c r="F825" s="3"/>
    </row>
    <row r="826" spans="3:6" ht="14.5">
      <c r="C826" s="3"/>
      <c r="D826" s="3"/>
      <c r="E826" s="3"/>
      <c r="F826" s="3"/>
    </row>
    <row r="827" spans="3:6" ht="14.5">
      <c r="C827" s="3"/>
      <c r="D827" s="3"/>
      <c r="E827" s="3"/>
      <c r="F827" s="3"/>
    </row>
    <row r="828" spans="3:6" ht="14.5">
      <c r="C828" s="3"/>
      <c r="D828" s="3"/>
      <c r="E828" s="3"/>
      <c r="F828" s="3"/>
    </row>
    <row r="829" spans="3:6" ht="14.5">
      <c r="C829" s="3"/>
      <c r="D829" s="3"/>
      <c r="E829" s="3"/>
      <c r="F829" s="3"/>
    </row>
    <row r="830" spans="3:6" ht="14.5">
      <c r="C830" s="3"/>
      <c r="D830" s="3"/>
      <c r="E830" s="3"/>
      <c r="F830" s="3"/>
    </row>
    <row r="831" spans="3:6" ht="14.5">
      <c r="C831" s="3"/>
      <c r="D831" s="3"/>
      <c r="E831" s="3"/>
      <c r="F831" s="3"/>
    </row>
    <row r="832" spans="3:6" ht="14.5">
      <c r="C832" s="3"/>
      <c r="D832" s="3"/>
      <c r="E832" s="3"/>
      <c r="F832" s="3"/>
    </row>
    <row r="833" spans="3:6" ht="14.5">
      <c r="C833" s="3"/>
      <c r="D833" s="3"/>
      <c r="E833" s="3"/>
      <c r="F833" s="3"/>
    </row>
    <row r="834" spans="3:6" ht="14.5">
      <c r="C834" s="3"/>
      <c r="D834" s="3"/>
      <c r="E834" s="3"/>
      <c r="F834" s="3"/>
    </row>
    <row r="835" spans="3:6" ht="14.5">
      <c r="C835" s="3"/>
      <c r="D835" s="3"/>
      <c r="E835" s="3"/>
      <c r="F835" s="3"/>
    </row>
    <row r="836" spans="3:6" ht="14.5">
      <c r="C836" s="3"/>
      <c r="D836" s="3"/>
      <c r="E836" s="3"/>
      <c r="F836" s="3"/>
    </row>
    <row r="837" spans="3:6" ht="14.5">
      <c r="C837" s="3"/>
      <c r="D837" s="3"/>
      <c r="E837" s="3"/>
      <c r="F837" s="3"/>
    </row>
    <row r="838" spans="3:6" ht="14.5">
      <c r="C838" s="3"/>
      <c r="D838" s="3"/>
      <c r="E838" s="3"/>
      <c r="F838" s="3"/>
    </row>
    <row r="839" spans="3:6" ht="14.5">
      <c r="C839" s="3"/>
      <c r="D839" s="3"/>
      <c r="E839" s="3"/>
      <c r="F839" s="3"/>
    </row>
    <row r="840" spans="3:6" ht="14.5">
      <c r="C840" s="3"/>
      <c r="D840" s="3"/>
      <c r="E840" s="3"/>
      <c r="F840" s="3"/>
    </row>
    <row r="841" spans="3:6" ht="14.5">
      <c r="C841" s="3"/>
      <c r="D841" s="3"/>
      <c r="E841" s="3"/>
      <c r="F841" s="3"/>
    </row>
    <row r="842" spans="3:6" ht="14.5">
      <c r="C842" s="3"/>
      <c r="D842" s="3"/>
      <c r="E842" s="3"/>
      <c r="F842" s="3"/>
    </row>
    <row r="843" spans="3:6" ht="14.5">
      <c r="C843" s="3"/>
      <c r="D843" s="3"/>
      <c r="E843" s="3"/>
      <c r="F843" s="3"/>
    </row>
    <row r="844" spans="3:6" ht="14.5">
      <c r="C844" s="3"/>
      <c r="D844" s="3"/>
      <c r="E844" s="3"/>
      <c r="F844" s="3"/>
    </row>
    <row r="845" spans="3:6" ht="14.5">
      <c r="C845" s="3"/>
      <c r="D845" s="3"/>
      <c r="E845" s="3"/>
      <c r="F845" s="3"/>
    </row>
    <row r="846" spans="3:6" ht="14.5">
      <c r="C846" s="3"/>
      <c r="D846" s="3"/>
      <c r="E846" s="3"/>
      <c r="F846" s="3"/>
    </row>
    <row r="847" spans="3:6" ht="14.5">
      <c r="C847" s="3"/>
      <c r="D847" s="3"/>
      <c r="E847" s="3"/>
      <c r="F847" s="3"/>
    </row>
    <row r="848" spans="3:6" ht="14.5">
      <c r="C848" s="3"/>
      <c r="D848" s="3"/>
      <c r="E848" s="3"/>
      <c r="F848" s="3"/>
    </row>
    <row r="849" spans="3:6" ht="14.5">
      <c r="C849" s="3"/>
      <c r="D849" s="3"/>
      <c r="E849" s="3"/>
      <c r="F849" s="3"/>
    </row>
    <row r="850" spans="3:6" ht="14.5">
      <c r="C850" s="3"/>
      <c r="D850" s="3"/>
      <c r="E850" s="3"/>
      <c r="F850" s="3"/>
    </row>
    <row r="851" spans="3:6" ht="14.5">
      <c r="C851" s="3"/>
      <c r="D851" s="3"/>
      <c r="E851" s="3"/>
      <c r="F851" s="3"/>
    </row>
    <row r="852" spans="3:6" ht="14.5">
      <c r="C852" s="3"/>
      <c r="D852" s="3"/>
      <c r="E852" s="3"/>
      <c r="F852" s="3"/>
    </row>
    <row r="853" spans="3:6" ht="14.5">
      <c r="C853" s="3"/>
      <c r="D853" s="3"/>
      <c r="E853" s="3"/>
      <c r="F853" s="3"/>
    </row>
    <row r="854" spans="3:6" ht="14.5">
      <c r="C854" s="3"/>
      <c r="D854" s="3"/>
      <c r="E854" s="3"/>
      <c r="F854" s="3"/>
    </row>
    <row r="855" spans="3:6" ht="14.5">
      <c r="C855" s="3"/>
      <c r="D855" s="3"/>
      <c r="E855" s="3"/>
      <c r="F855" s="3"/>
    </row>
    <row r="856" spans="3:6" ht="14.5">
      <c r="C856" s="3"/>
      <c r="D856" s="3"/>
      <c r="E856" s="3"/>
      <c r="F856" s="3"/>
    </row>
    <row r="857" spans="3:6" ht="14.5">
      <c r="C857" s="3"/>
      <c r="D857" s="3"/>
      <c r="E857" s="3"/>
      <c r="F857" s="3"/>
    </row>
    <row r="858" spans="3:6" ht="14.5">
      <c r="C858" s="3"/>
      <c r="D858" s="3"/>
      <c r="E858" s="3"/>
      <c r="F858" s="3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xr:uid="{00000000-0004-0000-0F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858"/>
  <sheetViews>
    <sheetView workbookViewId="0">
      <pane ySplit="7" topLeftCell="A467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2.58203125" style="55"/>
    <col min="6" max="6" width="16.33203125" style="55" customWidth="1"/>
    <col min="7" max="7" width="66.33203125" style="55" customWidth="1"/>
    <col min="8" max="16384" width="12.58203125" style="55"/>
  </cols>
  <sheetData>
    <row r="1" spans="1:7" ht="15" customHeight="1">
      <c r="A1" s="120" t="s">
        <v>44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21" t="s">
        <v>99</v>
      </c>
      <c r="B2" s="115"/>
      <c r="C2" s="115"/>
      <c r="D2" s="115"/>
      <c r="E2" s="115"/>
      <c r="F2" s="116"/>
      <c r="G2" s="68" t="s">
        <v>98</v>
      </c>
    </row>
    <row r="3" spans="1:7" ht="15" customHeight="1">
      <c r="A3" s="118" t="s">
        <v>139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>
        <v>1</v>
      </c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>
        <v>1</v>
      </c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>
        <v>1</v>
      </c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>
        <v>1</v>
      </c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>
        <v>1</v>
      </c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>
        <v>1</v>
      </c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/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/>
      <c r="D233" s="22"/>
      <c r="E233" s="22"/>
      <c r="F233" s="22"/>
    </row>
    <row r="234" spans="1:6" ht="14.5">
      <c r="A234" s="25">
        <v>44069</v>
      </c>
      <c r="B234" s="26">
        <v>33</v>
      </c>
      <c r="C234" s="22">
        <v>1</v>
      </c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>
        <v>1</v>
      </c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>
        <v>1</v>
      </c>
      <c r="D243" s="22"/>
      <c r="E243" s="22"/>
      <c r="F243" s="22"/>
    </row>
    <row r="244" spans="1:6" ht="14.5">
      <c r="A244" s="25">
        <v>44079</v>
      </c>
      <c r="B244" s="26">
        <v>34</v>
      </c>
      <c r="C244" s="22">
        <v>1</v>
      </c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>
        <v>1</v>
      </c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>
        <v>1</v>
      </c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>
        <v>1</v>
      </c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>
        <v>1</v>
      </c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>
        <v>1</v>
      </c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>
        <v>2</v>
      </c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>
        <v>2</v>
      </c>
      <c r="D309" s="22"/>
      <c r="E309" s="22"/>
      <c r="F309" s="22"/>
    </row>
    <row r="310" spans="1:6" ht="14.5">
      <c r="A310" s="25">
        <v>44145</v>
      </c>
      <c r="B310" s="26">
        <v>44</v>
      </c>
      <c r="C310" s="22">
        <v>12</v>
      </c>
      <c r="D310" s="22"/>
      <c r="E310" s="22"/>
      <c r="F310" s="22"/>
    </row>
    <row r="311" spans="1:6" ht="14.5">
      <c r="A311" s="25">
        <v>44146</v>
      </c>
      <c r="B311" s="26">
        <v>44</v>
      </c>
      <c r="C311" s="22">
        <v>2</v>
      </c>
      <c r="D311" s="22"/>
      <c r="E311" s="22"/>
      <c r="F311" s="22"/>
    </row>
    <row r="312" spans="1:6" ht="14.5">
      <c r="A312" s="25">
        <v>44147</v>
      </c>
      <c r="B312" s="26">
        <v>44</v>
      </c>
      <c r="C312" s="22">
        <v>1</v>
      </c>
      <c r="D312" s="22"/>
      <c r="E312" s="22"/>
      <c r="F312" s="22"/>
    </row>
    <row r="313" spans="1:6" ht="14.5">
      <c r="A313" s="25">
        <v>44148</v>
      </c>
      <c r="B313" s="26">
        <v>44</v>
      </c>
      <c r="C313" s="22">
        <v>3</v>
      </c>
      <c r="D313" s="22"/>
      <c r="E313" s="22"/>
      <c r="F313" s="22"/>
    </row>
    <row r="314" spans="1:6" ht="14.5">
      <c r="A314" s="25">
        <v>44149</v>
      </c>
      <c r="B314" s="26">
        <v>44</v>
      </c>
      <c r="C314" s="22">
        <v>4</v>
      </c>
      <c r="D314" s="22"/>
      <c r="E314" s="22"/>
      <c r="F314" s="22"/>
    </row>
    <row r="315" spans="1:6" ht="14.5">
      <c r="A315" s="25">
        <v>44150</v>
      </c>
      <c r="B315" s="26">
        <v>44</v>
      </c>
      <c r="C315" s="22">
        <v>1</v>
      </c>
      <c r="D315" s="22"/>
      <c r="E315" s="22"/>
      <c r="F315" s="22"/>
    </row>
    <row r="316" spans="1:6" ht="14.5">
      <c r="A316" s="25">
        <v>44151</v>
      </c>
      <c r="B316" s="26">
        <v>45</v>
      </c>
      <c r="C316" s="22">
        <v>1</v>
      </c>
      <c r="D316" s="22"/>
      <c r="E316" s="22"/>
      <c r="F316" s="22"/>
    </row>
    <row r="317" spans="1:6" ht="14.5">
      <c r="A317" s="25">
        <v>44152</v>
      </c>
      <c r="B317" s="26">
        <v>45</v>
      </c>
      <c r="C317" s="22">
        <v>4</v>
      </c>
      <c r="D317" s="22"/>
      <c r="E317" s="22"/>
      <c r="F317" s="22"/>
    </row>
    <row r="318" spans="1:6" ht="14.5">
      <c r="A318" s="25">
        <v>44153</v>
      </c>
      <c r="B318" s="26">
        <v>45</v>
      </c>
      <c r="C318" s="22">
        <v>1</v>
      </c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>
        <v>1</v>
      </c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>
        <v>1</v>
      </c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>
        <v>1</v>
      </c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>
        <v>1</v>
      </c>
      <c r="D333" s="22">
        <v>1</v>
      </c>
      <c r="E333" s="22"/>
      <c r="F333" s="22"/>
    </row>
    <row r="334" spans="1:6" ht="14.5">
      <c r="A334" s="25">
        <v>44169</v>
      </c>
      <c r="B334" s="26">
        <v>47</v>
      </c>
      <c r="C334" s="22">
        <v>1</v>
      </c>
      <c r="D334" s="22">
        <v>1</v>
      </c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>
        <v>1</v>
      </c>
      <c r="D337" s="22">
        <v>1</v>
      </c>
      <c r="E337" s="22"/>
      <c r="F337" s="22"/>
    </row>
    <row r="338" spans="1:6" ht="14.5">
      <c r="A338" s="25">
        <v>44173</v>
      </c>
      <c r="B338" s="26">
        <v>48</v>
      </c>
      <c r="C338" s="22">
        <v>2</v>
      </c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>
        <v>2</v>
      </c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>
        <v>1</v>
      </c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>
        <v>1</v>
      </c>
      <c r="E352" s="22"/>
      <c r="F352" s="22"/>
    </row>
    <row r="353" spans="1:6" ht="14.5">
      <c r="A353" s="25">
        <v>44188</v>
      </c>
      <c r="B353" s="26">
        <v>50</v>
      </c>
      <c r="C353" s="22"/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>
        <v>1</v>
      </c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>
        <v>1</v>
      </c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>
        <v>1</v>
      </c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>
        <v>2</v>
      </c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>
        <v>2</v>
      </c>
      <c r="D365" s="22"/>
      <c r="E365" s="22"/>
      <c r="F365" s="22"/>
    </row>
    <row r="366" spans="1:6" ht="14.5">
      <c r="A366" s="25">
        <v>44201</v>
      </c>
      <c r="B366" s="26">
        <v>1</v>
      </c>
      <c r="C366" s="22">
        <v>2</v>
      </c>
      <c r="D366" s="22"/>
      <c r="E366" s="22"/>
      <c r="F366" s="22"/>
    </row>
    <row r="367" spans="1:6" ht="14.5">
      <c r="A367" s="25">
        <v>44202</v>
      </c>
      <c r="B367" s="26">
        <v>1</v>
      </c>
      <c r="C367" s="22">
        <v>2</v>
      </c>
      <c r="D367" s="22"/>
      <c r="E367" s="22"/>
      <c r="F367" s="22"/>
    </row>
    <row r="368" spans="1:6" ht="14.5">
      <c r="A368" s="25">
        <v>44203</v>
      </c>
      <c r="B368" s="26">
        <v>1</v>
      </c>
      <c r="C368" s="22">
        <v>4</v>
      </c>
      <c r="D368" s="22">
        <v>2</v>
      </c>
      <c r="E368" s="22"/>
      <c r="F368" s="22"/>
    </row>
    <row r="369" spans="1:6" ht="14.5">
      <c r="A369" s="25">
        <v>44204</v>
      </c>
      <c r="B369" s="26">
        <v>1</v>
      </c>
      <c r="C369" s="22">
        <v>1</v>
      </c>
      <c r="D369" s="22"/>
      <c r="E369" s="22"/>
      <c r="F369" s="22"/>
    </row>
    <row r="370" spans="1:6" ht="14.5">
      <c r="A370" s="25">
        <v>44205</v>
      </c>
      <c r="B370" s="26">
        <v>1</v>
      </c>
      <c r="C370" s="22">
        <v>4</v>
      </c>
      <c r="D370" s="22">
        <v>1</v>
      </c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>
        <v>1</v>
      </c>
      <c r="D372" s="22">
        <v>1</v>
      </c>
      <c r="E372" s="22"/>
      <c r="F372" s="22"/>
    </row>
    <row r="373" spans="1:6" ht="14.5">
      <c r="A373" s="25">
        <v>44208</v>
      </c>
      <c r="B373" s="26">
        <v>2</v>
      </c>
      <c r="C373" s="22">
        <v>2</v>
      </c>
      <c r="D373" s="22">
        <v>1</v>
      </c>
      <c r="E373" s="22"/>
      <c r="F373" s="22"/>
    </row>
    <row r="374" spans="1:6" ht="14.5">
      <c r="A374" s="25">
        <v>44209</v>
      </c>
      <c r="B374" s="26">
        <v>2</v>
      </c>
      <c r="C374" s="22">
        <v>1</v>
      </c>
      <c r="D374" s="22"/>
      <c r="E374" s="22"/>
      <c r="F374" s="22"/>
    </row>
    <row r="375" spans="1:6" ht="14.5">
      <c r="A375" s="25">
        <v>44210</v>
      </c>
      <c r="B375" s="26">
        <v>2</v>
      </c>
      <c r="C375" s="22">
        <v>1</v>
      </c>
      <c r="D375" s="22"/>
      <c r="E375" s="22"/>
      <c r="F375" s="22"/>
    </row>
    <row r="376" spans="1:6" ht="14.5">
      <c r="A376" s="25">
        <v>44211</v>
      </c>
      <c r="B376" s="26">
        <v>2</v>
      </c>
      <c r="C376" s="22">
        <v>4</v>
      </c>
      <c r="D376" s="22"/>
      <c r="E376" s="22"/>
      <c r="F376" s="22"/>
    </row>
    <row r="377" spans="1:6" ht="14.5">
      <c r="A377" s="25">
        <v>44212</v>
      </c>
      <c r="B377" s="26">
        <v>2</v>
      </c>
      <c r="C377" s="22">
        <v>1</v>
      </c>
      <c r="D377" s="22">
        <v>1</v>
      </c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>
        <v>1</v>
      </c>
      <c r="D379" s="22"/>
      <c r="E379" s="22"/>
      <c r="F379" s="22"/>
    </row>
    <row r="380" spans="1:6" ht="14.5">
      <c r="A380" s="25">
        <v>44215</v>
      </c>
      <c r="B380" s="26">
        <v>3</v>
      </c>
      <c r="C380" s="22">
        <v>2</v>
      </c>
      <c r="D380" s="22"/>
      <c r="E380" s="22"/>
      <c r="F380" s="22"/>
    </row>
    <row r="381" spans="1:6" ht="14.5">
      <c r="A381" s="25">
        <v>44216</v>
      </c>
      <c r="B381" s="26">
        <v>3</v>
      </c>
      <c r="C381" s="22">
        <v>2</v>
      </c>
      <c r="D381" s="22"/>
      <c r="E381" s="22"/>
      <c r="F381" s="22"/>
    </row>
    <row r="382" spans="1:6" ht="14.5">
      <c r="A382" s="25">
        <v>44217</v>
      </c>
      <c r="B382" s="26">
        <v>3</v>
      </c>
      <c r="C382" s="22">
        <v>2</v>
      </c>
      <c r="D382" s="22"/>
      <c r="E382" s="22"/>
      <c r="F382" s="22"/>
    </row>
    <row r="383" spans="1:6" ht="14.5">
      <c r="A383" s="25">
        <v>44218</v>
      </c>
      <c r="B383" s="26">
        <v>3</v>
      </c>
      <c r="C383" s="22"/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>
        <v>1</v>
      </c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>
        <v>1</v>
      </c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36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>
        <v>1</v>
      </c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>
        <v>1</v>
      </c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>
        <v>1</v>
      </c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>
        <v>1</v>
      </c>
      <c r="D438" s="22"/>
      <c r="E438" s="22"/>
      <c r="F438" s="22"/>
    </row>
    <row r="439" spans="1:6" ht="14.5">
      <c r="A439" s="25">
        <v>44274</v>
      </c>
      <c r="B439" s="26">
        <v>11</v>
      </c>
      <c r="C439" s="22">
        <v>1</v>
      </c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>
        <v>1</v>
      </c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>
        <v>1</v>
      </c>
      <c r="D445" s="22"/>
      <c r="E445" s="22"/>
      <c r="F445" s="22"/>
    </row>
    <row r="446" spans="1:6" ht="14.5">
      <c r="A446" s="25">
        <v>44281</v>
      </c>
      <c r="B446" s="26">
        <v>12</v>
      </c>
      <c r="C446" s="22">
        <v>2</v>
      </c>
      <c r="D446" s="22"/>
      <c r="E446" s="22"/>
      <c r="F446" s="22"/>
    </row>
    <row r="447" spans="1:6" ht="14.5">
      <c r="A447" s="25">
        <v>44282</v>
      </c>
      <c r="B447" s="26">
        <v>12</v>
      </c>
      <c r="C447" s="22">
        <v>1</v>
      </c>
      <c r="D447" s="22"/>
      <c r="E447" s="22"/>
      <c r="F447" s="22"/>
    </row>
    <row r="448" spans="1:6" ht="14.5">
      <c r="A448" s="25">
        <v>44283</v>
      </c>
      <c r="B448" s="26">
        <v>12</v>
      </c>
      <c r="C448" s="22">
        <v>4</v>
      </c>
      <c r="D448" s="22"/>
      <c r="E448" s="22"/>
      <c r="F448" s="22"/>
    </row>
    <row r="449" spans="1:7" ht="14.5">
      <c r="A449" s="25">
        <v>44284</v>
      </c>
      <c r="B449" s="26">
        <v>13</v>
      </c>
      <c r="C449" s="22">
        <v>9</v>
      </c>
      <c r="D449" s="22">
        <v>1</v>
      </c>
      <c r="E449" s="22"/>
      <c r="F449" s="22"/>
    </row>
    <row r="450" spans="1:7" ht="14.5">
      <c r="A450" s="25">
        <v>44285</v>
      </c>
      <c r="B450" s="26">
        <v>13</v>
      </c>
      <c r="C450" s="22">
        <v>6</v>
      </c>
      <c r="D450" s="22"/>
      <c r="E450" s="22"/>
      <c r="F450" s="22"/>
    </row>
    <row r="451" spans="1:7" ht="14.5">
      <c r="A451" s="25">
        <v>44286</v>
      </c>
      <c r="B451" s="26">
        <v>13</v>
      </c>
      <c r="C451" s="22">
        <v>3</v>
      </c>
      <c r="D451" s="22">
        <v>2</v>
      </c>
      <c r="E451" s="22"/>
      <c r="F451" s="22"/>
    </row>
    <row r="452" spans="1:7" ht="14.5">
      <c r="A452" s="25">
        <v>44287</v>
      </c>
      <c r="B452" s="26">
        <v>13</v>
      </c>
      <c r="C452" s="22">
        <v>4</v>
      </c>
      <c r="D452" s="22"/>
      <c r="E452" s="22"/>
      <c r="F452" s="22"/>
    </row>
    <row r="453" spans="1:7" ht="14.5">
      <c r="A453" s="25">
        <v>44288</v>
      </c>
      <c r="B453" s="26">
        <v>13</v>
      </c>
      <c r="C453" s="22">
        <v>2</v>
      </c>
      <c r="D453" s="22"/>
      <c r="E453" s="22"/>
      <c r="F453" s="22"/>
    </row>
    <row r="454" spans="1:7" ht="14.5">
      <c r="A454" s="25">
        <v>44289</v>
      </c>
      <c r="B454" s="26">
        <v>13</v>
      </c>
      <c r="C454" s="22">
        <v>3</v>
      </c>
      <c r="D454" s="22">
        <v>1</v>
      </c>
      <c r="E454" s="22"/>
      <c r="F454" s="22"/>
    </row>
    <row r="455" spans="1:7" ht="14.5">
      <c r="A455" s="25">
        <v>44290</v>
      </c>
      <c r="B455" s="26">
        <v>13</v>
      </c>
      <c r="C455" s="22">
        <v>1</v>
      </c>
      <c r="D455" s="22"/>
      <c r="E455" s="22"/>
      <c r="F455" s="22"/>
    </row>
    <row r="456" spans="1:7" ht="14.5">
      <c r="A456" s="25">
        <v>44291</v>
      </c>
      <c r="B456" s="26">
        <v>14</v>
      </c>
      <c r="C456" s="22">
        <v>4</v>
      </c>
      <c r="D456" s="22"/>
      <c r="E456" s="22"/>
      <c r="F456" s="22"/>
    </row>
    <row r="457" spans="1:7" ht="14.5">
      <c r="A457" s="25">
        <v>44292</v>
      </c>
      <c r="B457" s="26">
        <v>14</v>
      </c>
      <c r="C457" s="22">
        <v>3</v>
      </c>
      <c r="D457" s="22">
        <v>1</v>
      </c>
      <c r="E457" s="22"/>
      <c r="F457" s="22"/>
    </row>
    <row r="458" spans="1:7" ht="14.5">
      <c r="A458" s="25">
        <v>44293</v>
      </c>
      <c r="B458" s="26">
        <v>14</v>
      </c>
      <c r="C458" s="22">
        <v>1</v>
      </c>
      <c r="D458" s="22"/>
      <c r="E458" s="22"/>
      <c r="F458" s="22"/>
    </row>
    <row r="459" spans="1:7" ht="14.5">
      <c r="A459" s="25">
        <v>44294</v>
      </c>
      <c r="B459" s="26">
        <v>14</v>
      </c>
      <c r="C459" s="22">
        <v>3</v>
      </c>
      <c r="D459" s="22"/>
      <c r="E459" s="22"/>
      <c r="F459" s="22"/>
    </row>
    <row r="460" spans="1:7" ht="14.5">
      <c r="A460" s="25">
        <v>44295</v>
      </c>
      <c r="B460" s="26">
        <v>14</v>
      </c>
      <c r="C460" s="22">
        <v>2</v>
      </c>
      <c r="D460" s="22"/>
      <c r="E460" s="22"/>
      <c r="F460" s="22"/>
    </row>
    <row r="461" spans="1:7" ht="14.5">
      <c r="A461" s="25">
        <v>44296</v>
      </c>
      <c r="B461" s="26">
        <v>14</v>
      </c>
      <c r="C461" s="22"/>
      <c r="D461" s="22"/>
      <c r="E461" s="22"/>
      <c r="F461" s="22"/>
    </row>
    <row r="462" spans="1:7" ht="14.5">
      <c r="A462" s="25">
        <v>44297</v>
      </c>
      <c r="B462" s="26">
        <v>14</v>
      </c>
      <c r="C462" s="22"/>
      <c r="D462" s="22"/>
      <c r="E462" s="22"/>
      <c r="F462" s="22"/>
    </row>
    <row r="463" spans="1:7" ht="14.5">
      <c r="A463" s="25">
        <v>44298</v>
      </c>
      <c r="B463" s="26">
        <v>15</v>
      </c>
      <c r="C463" s="22">
        <v>1</v>
      </c>
      <c r="D463" s="22"/>
      <c r="E463" s="22"/>
      <c r="F463" s="22"/>
    </row>
    <row r="464" spans="1:7" ht="14.5">
      <c r="A464" s="25">
        <v>44299</v>
      </c>
      <c r="B464" s="26">
        <v>15</v>
      </c>
      <c r="C464" s="22">
        <v>1</v>
      </c>
      <c r="D464" s="22"/>
      <c r="E464" s="22" t="s">
        <v>116</v>
      </c>
      <c r="F464" s="22"/>
      <c r="G464" s="55" t="s">
        <v>5</v>
      </c>
    </row>
    <row r="465" spans="1:6" ht="14.5">
      <c r="A465" s="25">
        <v>44300</v>
      </c>
      <c r="B465" s="26">
        <v>15</v>
      </c>
      <c r="C465" s="22">
        <v>1</v>
      </c>
      <c r="D465" s="22"/>
      <c r="E465" s="22"/>
      <c r="F465" s="22"/>
    </row>
    <row r="466" spans="1:6" ht="14.5">
      <c r="A466" s="25">
        <v>44301</v>
      </c>
      <c r="B466" s="26">
        <v>15</v>
      </c>
      <c r="C466" s="22">
        <v>3</v>
      </c>
      <c r="D466" s="22"/>
      <c r="E466" s="22" t="s">
        <v>100</v>
      </c>
      <c r="F466" s="22"/>
    </row>
    <row r="467" spans="1:6" ht="14.5">
      <c r="A467" s="25">
        <v>44302</v>
      </c>
      <c r="B467" s="26">
        <v>15</v>
      </c>
      <c r="C467" s="22">
        <v>5</v>
      </c>
      <c r="D467" s="22"/>
      <c r="E467" s="22" t="s">
        <v>100</v>
      </c>
      <c r="F467" s="22"/>
    </row>
    <row r="468" spans="1:6" ht="14.5">
      <c r="A468" s="25">
        <v>44303</v>
      </c>
      <c r="B468" s="26">
        <v>15</v>
      </c>
      <c r="C468" s="22">
        <v>1</v>
      </c>
      <c r="D468" s="22"/>
      <c r="E468" s="22" t="s">
        <v>100</v>
      </c>
      <c r="F468" s="22"/>
    </row>
    <row r="469" spans="1:6" ht="14.5">
      <c r="A469" s="25">
        <v>44304</v>
      </c>
      <c r="B469" s="26">
        <v>15</v>
      </c>
      <c r="C469" s="22">
        <v>1</v>
      </c>
      <c r="D469" s="22"/>
      <c r="E469" s="22" t="s">
        <v>100</v>
      </c>
      <c r="F469" s="22"/>
    </row>
    <row r="470" spans="1:6" ht="14.5">
      <c r="A470" s="25">
        <v>44305</v>
      </c>
      <c r="B470" s="26">
        <v>16</v>
      </c>
      <c r="C470" s="22">
        <v>1</v>
      </c>
      <c r="D470" s="22"/>
      <c r="E470" s="22" t="s">
        <v>100</v>
      </c>
      <c r="F470" s="22"/>
    </row>
    <row r="471" spans="1:6" ht="14.5">
      <c r="A471" s="25">
        <v>44306</v>
      </c>
      <c r="B471" s="26">
        <v>16</v>
      </c>
      <c r="C471" s="22">
        <v>3</v>
      </c>
      <c r="D471" s="22"/>
      <c r="E471" s="22" t="s">
        <v>132</v>
      </c>
      <c r="F471" s="22"/>
    </row>
    <row r="472" spans="1:6" ht="14.5">
      <c r="A472" s="25">
        <v>44307</v>
      </c>
      <c r="B472" s="26">
        <v>16</v>
      </c>
      <c r="C472" s="22">
        <v>3</v>
      </c>
      <c r="D472" s="22"/>
      <c r="E472" s="22" t="s">
        <v>133</v>
      </c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>
        <v>7</v>
      </c>
      <c r="D475" s="22"/>
      <c r="E475" s="22" t="s">
        <v>100</v>
      </c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>
        <v>1</v>
      </c>
      <c r="D477" s="22"/>
      <c r="E477" s="22" t="s">
        <v>110</v>
      </c>
      <c r="F477" s="22"/>
    </row>
    <row r="478" spans="1:6" ht="14.5">
      <c r="A478" s="25">
        <v>44313</v>
      </c>
      <c r="B478" s="26">
        <v>17</v>
      </c>
      <c r="C478" s="22">
        <v>1</v>
      </c>
      <c r="D478" s="22"/>
      <c r="E478" s="22" t="s">
        <v>116</v>
      </c>
      <c r="F478" s="22"/>
    </row>
    <row r="479" spans="1:6" ht="14.5">
      <c r="A479" s="25">
        <v>44314</v>
      </c>
      <c r="B479" s="26">
        <v>17</v>
      </c>
      <c r="C479" s="22"/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/>
      <c r="D481" s="22"/>
      <c r="E481" s="22"/>
      <c r="F481" s="22"/>
    </row>
    <row r="482" spans="1:6" ht="14.5">
      <c r="A482" s="25">
        <v>44317</v>
      </c>
      <c r="B482" s="26">
        <v>17</v>
      </c>
      <c r="C482" s="22"/>
      <c r="D482" s="22"/>
      <c r="E482" s="22"/>
      <c r="F482" s="22"/>
    </row>
    <row r="483" spans="1:6" ht="14.5">
      <c r="A483" s="25">
        <v>44318</v>
      </c>
      <c r="B483" s="26">
        <v>17</v>
      </c>
      <c r="C483" s="22"/>
      <c r="D483" s="22"/>
      <c r="E483" s="22"/>
      <c r="F483" s="22"/>
    </row>
    <row r="484" spans="1:6" ht="14.5">
      <c r="A484" s="25">
        <v>44319</v>
      </c>
      <c r="B484" s="26">
        <v>18</v>
      </c>
      <c r="C484" s="22">
        <v>1</v>
      </c>
      <c r="D484" s="22"/>
      <c r="E484" s="37" t="s">
        <v>113</v>
      </c>
      <c r="F484" s="22"/>
    </row>
    <row r="485" spans="1:6" ht="14.5">
      <c r="A485" s="25">
        <v>44320</v>
      </c>
      <c r="B485" s="26">
        <v>18</v>
      </c>
      <c r="C485" s="22">
        <v>1</v>
      </c>
      <c r="D485" s="22"/>
      <c r="E485" s="22" t="s">
        <v>100</v>
      </c>
      <c r="F485" s="22"/>
    </row>
    <row r="486" spans="1:6" ht="14.5">
      <c r="A486" s="25">
        <v>44321</v>
      </c>
      <c r="B486" s="26">
        <v>18</v>
      </c>
      <c r="C486" s="22"/>
      <c r="D486" s="22">
        <v>1</v>
      </c>
      <c r="E486" s="22"/>
      <c r="F486" s="22" t="s">
        <v>116</v>
      </c>
    </row>
    <row r="487" spans="1:6" ht="14.5">
      <c r="A487" s="25">
        <v>44322</v>
      </c>
      <c r="B487" s="26">
        <v>18</v>
      </c>
      <c r="C487" s="22"/>
      <c r="D487" s="22"/>
      <c r="E487" s="22"/>
      <c r="F487" s="22"/>
    </row>
    <row r="488" spans="1:6" ht="14.5">
      <c r="A488" s="25">
        <v>44323</v>
      </c>
      <c r="B488" s="26">
        <v>18</v>
      </c>
      <c r="C488" s="22"/>
      <c r="D488" s="22"/>
      <c r="E488" s="22"/>
      <c r="F488" s="22"/>
    </row>
    <row r="489" spans="1:6" ht="14.5">
      <c r="A489" s="25">
        <v>44324</v>
      </c>
      <c r="B489" s="26">
        <v>18</v>
      </c>
      <c r="C489" s="22"/>
      <c r="D489" s="22"/>
      <c r="E489" s="22"/>
      <c r="F489" s="22"/>
    </row>
    <row r="490" spans="1:6" ht="14.5">
      <c r="A490" s="25">
        <v>44325</v>
      </c>
      <c r="B490" s="26">
        <v>18</v>
      </c>
      <c r="C490" s="22"/>
      <c r="D490" s="22"/>
      <c r="E490" s="22"/>
      <c r="F490" s="22"/>
    </row>
    <row r="491" spans="1:6" ht="14.5">
      <c r="A491" s="25">
        <v>44326</v>
      </c>
      <c r="B491" s="26">
        <v>19</v>
      </c>
      <c r="C491" s="22"/>
      <c r="D491" s="22"/>
      <c r="E491" s="22"/>
      <c r="F491" s="22"/>
    </row>
    <row r="492" spans="1:6" ht="14.5">
      <c r="A492" s="25">
        <v>44327</v>
      </c>
      <c r="B492" s="26">
        <v>19</v>
      </c>
      <c r="C492" s="22">
        <v>2</v>
      </c>
      <c r="D492" s="22"/>
      <c r="E492" s="22" t="s">
        <v>138</v>
      </c>
      <c r="F492" s="22"/>
    </row>
    <row r="493" spans="1:6" ht="14.5">
      <c r="A493" s="25">
        <v>44328</v>
      </c>
      <c r="B493" s="26">
        <v>19</v>
      </c>
      <c r="C493" s="22"/>
      <c r="D493" s="22">
        <v>1</v>
      </c>
      <c r="E493" s="22"/>
      <c r="F493" s="22" t="s">
        <v>100</v>
      </c>
    </row>
    <row r="494" spans="1:6" ht="14.5">
      <c r="A494" s="25">
        <v>44329</v>
      </c>
      <c r="B494" s="26">
        <v>19</v>
      </c>
      <c r="C494" s="22">
        <v>2</v>
      </c>
      <c r="D494" s="22"/>
      <c r="E494" s="22" t="s">
        <v>100</v>
      </c>
      <c r="F494" s="22"/>
    </row>
    <row r="495" spans="1:6" ht="14.5">
      <c r="A495" s="25">
        <v>44330</v>
      </c>
      <c r="B495" s="26">
        <v>19</v>
      </c>
      <c r="C495" s="22">
        <v>2</v>
      </c>
      <c r="D495" s="22">
        <v>1</v>
      </c>
      <c r="E495" s="22" t="s">
        <v>134</v>
      </c>
      <c r="F495" s="22" t="s">
        <v>100</v>
      </c>
    </row>
    <row r="496" spans="1:6" ht="14.5">
      <c r="A496" s="25">
        <v>44331</v>
      </c>
      <c r="B496" s="26">
        <v>19</v>
      </c>
      <c r="C496" s="22">
        <v>3</v>
      </c>
      <c r="D496" s="22"/>
      <c r="E496" s="22" t="s">
        <v>100</v>
      </c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v>1</v>
      </c>
      <c r="D498" s="22"/>
      <c r="E498" s="22" t="s">
        <v>100</v>
      </c>
      <c r="F498" s="22"/>
    </row>
    <row r="499" spans="1:6" ht="14.5">
      <c r="A499" s="25">
        <v>44334</v>
      </c>
      <c r="B499" s="26">
        <v>20</v>
      </c>
      <c r="C499" s="22">
        <v>2</v>
      </c>
      <c r="D499" s="22"/>
      <c r="E499" s="22" t="s">
        <v>110</v>
      </c>
      <c r="F499" s="22"/>
    </row>
    <row r="500" spans="1:6" ht="14.5">
      <c r="A500" s="25">
        <v>44335</v>
      </c>
      <c r="B500" s="26">
        <v>20</v>
      </c>
      <c r="C500" s="22">
        <v>1</v>
      </c>
      <c r="D500" s="22"/>
      <c r="E500" s="22" t="s">
        <v>100</v>
      </c>
      <c r="F500" s="22"/>
    </row>
    <row r="501" spans="1:6" ht="14.5">
      <c r="A501" s="25">
        <v>44336</v>
      </c>
      <c r="B501" s="26">
        <v>20</v>
      </c>
      <c r="C501" s="22">
        <v>1</v>
      </c>
      <c r="D501" s="22"/>
      <c r="E501" s="22" t="s">
        <v>116</v>
      </c>
      <c r="F501" s="22"/>
    </row>
    <row r="502" spans="1:6" ht="14.5">
      <c r="A502" s="25">
        <v>44337</v>
      </c>
      <c r="B502" s="26">
        <v>20</v>
      </c>
      <c r="C502" s="22">
        <v>1</v>
      </c>
      <c r="D502" s="22"/>
      <c r="E502" s="22" t="s">
        <v>100</v>
      </c>
      <c r="F502" s="22"/>
    </row>
    <row r="503" spans="1:6" ht="14.5">
      <c r="A503" s="25">
        <v>44338</v>
      </c>
      <c r="B503" s="26">
        <v>20</v>
      </c>
      <c r="C503" s="22">
        <v>1</v>
      </c>
      <c r="D503" s="22"/>
      <c r="E503" s="22" t="s">
        <v>100</v>
      </c>
      <c r="F503" s="22"/>
    </row>
    <row r="504" spans="1:6" ht="14.5">
      <c r="A504" s="25">
        <v>44339</v>
      </c>
      <c r="B504" s="26">
        <v>20</v>
      </c>
      <c r="C504" s="22">
        <v>1</v>
      </c>
      <c r="D504" s="22"/>
      <c r="E504" s="22" t="s">
        <v>100</v>
      </c>
      <c r="F504" s="22"/>
    </row>
    <row r="505" spans="1:6" ht="14.5">
      <c r="A505" s="25">
        <v>44340</v>
      </c>
      <c r="B505" s="26">
        <v>21</v>
      </c>
      <c r="C505" s="22">
        <v>1</v>
      </c>
      <c r="D505" s="22"/>
      <c r="E505" s="22" t="s">
        <v>100</v>
      </c>
      <c r="F505" s="22"/>
    </row>
    <row r="506" spans="1:6" ht="14.5">
      <c r="A506" s="25">
        <v>44341</v>
      </c>
      <c r="B506" s="26">
        <v>21</v>
      </c>
      <c r="C506" s="22">
        <v>3</v>
      </c>
      <c r="D506" s="22">
        <v>1</v>
      </c>
      <c r="E506" s="22" t="s">
        <v>135</v>
      </c>
      <c r="F506" s="22"/>
    </row>
    <row r="507" spans="1:6" ht="14.5">
      <c r="A507" s="25">
        <v>44342</v>
      </c>
      <c r="B507" s="26">
        <v>21</v>
      </c>
      <c r="C507" s="22"/>
      <c r="D507" s="22">
        <v>1</v>
      </c>
      <c r="E507" s="22"/>
      <c r="F507" s="22"/>
    </row>
    <row r="508" spans="1:6" ht="14.5">
      <c r="A508" s="25">
        <v>44343</v>
      </c>
      <c r="B508" s="26">
        <v>21</v>
      </c>
      <c r="C508" s="22">
        <v>2</v>
      </c>
      <c r="D508" s="22"/>
      <c r="E508" s="22" t="s">
        <v>100</v>
      </c>
      <c r="F508" s="22"/>
    </row>
    <row r="509" spans="1:6" ht="14.5">
      <c r="A509" s="25">
        <v>44344</v>
      </c>
      <c r="B509" s="26">
        <v>21</v>
      </c>
      <c r="C509" s="22">
        <v>2</v>
      </c>
      <c r="D509" s="22"/>
      <c r="E509" s="22" t="s">
        <v>100</v>
      </c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>
        <v>1</v>
      </c>
      <c r="E512" s="22"/>
      <c r="F512" s="38" t="s">
        <v>100</v>
      </c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>
        <v>1</v>
      </c>
      <c r="D554" s="22"/>
      <c r="E554" s="22" t="s">
        <v>100</v>
      </c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>
        <v>1</v>
      </c>
      <c r="D556" s="22"/>
      <c r="E556" s="22" t="s">
        <v>100</v>
      </c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>
        <v>2</v>
      </c>
      <c r="D563" s="22"/>
      <c r="E563" s="22" t="s">
        <v>100</v>
      </c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>
        <v>2</v>
      </c>
      <c r="D567" s="22"/>
      <c r="E567" s="22" t="s">
        <v>136</v>
      </c>
      <c r="F567" s="22"/>
    </row>
    <row r="568" spans="1:6" ht="14.5">
      <c r="A568" s="25">
        <v>44403</v>
      </c>
      <c r="B568" s="26">
        <v>30</v>
      </c>
      <c r="C568" s="22">
        <v>1</v>
      </c>
      <c r="D568" s="22"/>
      <c r="E568" s="39" t="s">
        <v>100</v>
      </c>
      <c r="F568" s="22"/>
    </row>
    <row r="569" spans="1:6" ht="14.5">
      <c r="A569" s="25">
        <v>44404</v>
      </c>
      <c r="B569" s="26">
        <v>30</v>
      </c>
      <c r="C569" s="22">
        <v>1</v>
      </c>
      <c r="D569" s="22"/>
      <c r="E569" s="39" t="s">
        <v>100</v>
      </c>
      <c r="F569" s="22"/>
    </row>
    <row r="570" spans="1:6" ht="14.5">
      <c r="A570" s="25">
        <v>44405</v>
      </c>
      <c r="B570" s="26">
        <v>30</v>
      </c>
      <c r="C570" s="22">
        <v>5</v>
      </c>
      <c r="D570" s="22">
        <v>1</v>
      </c>
      <c r="E570" s="22" t="s">
        <v>137</v>
      </c>
      <c r="F570" s="22" t="s">
        <v>129</v>
      </c>
    </row>
    <row r="571" spans="1:6" ht="14.5">
      <c r="A571" s="28">
        <v>44406</v>
      </c>
      <c r="B571" s="22">
        <v>30</v>
      </c>
      <c r="C571" s="22">
        <v>1</v>
      </c>
      <c r="D571" s="22"/>
      <c r="E571" s="39" t="s">
        <v>100</v>
      </c>
      <c r="F571" s="22"/>
    </row>
    <row r="572" spans="1:6" ht="14.5">
      <c r="A572" s="28">
        <v>44407</v>
      </c>
      <c r="B572" s="22">
        <v>30</v>
      </c>
      <c r="C572" s="22"/>
      <c r="D572" s="22">
        <v>2</v>
      </c>
      <c r="E572" s="22"/>
      <c r="F572" s="39" t="s">
        <v>130</v>
      </c>
    </row>
    <row r="573" spans="1:6" ht="14.5">
      <c r="A573" s="28">
        <v>44408</v>
      </c>
      <c r="B573" s="22">
        <v>30</v>
      </c>
      <c r="C573" s="22">
        <f>1</f>
        <v>1</v>
      </c>
      <c r="D573" s="22"/>
      <c r="E573" s="22" t="s">
        <v>116</v>
      </c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>
        <f>1</f>
        <v>1</v>
      </c>
      <c r="E576" s="22"/>
      <c r="F576" s="39" t="s">
        <v>100</v>
      </c>
    </row>
    <row r="577" spans="1:6" ht="14.5">
      <c r="A577" s="28">
        <v>44412</v>
      </c>
      <c r="B577" s="22">
        <v>31</v>
      </c>
      <c r="C577" s="22">
        <f>1</f>
        <v>1</v>
      </c>
      <c r="D577" s="22">
        <f>2</f>
        <v>2</v>
      </c>
      <c r="E577" s="22" t="s">
        <v>110</v>
      </c>
      <c r="F577" s="39" t="s">
        <v>100</v>
      </c>
    </row>
    <row r="578" spans="1:6" ht="14.5">
      <c r="A578" s="28">
        <v>44413</v>
      </c>
      <c r="B578" s="22">
        <v>31</v>
      </c>
      <c r="C578" s="22"/>
      <c r="D578" s="22">
        <f>1</f>
        <v>1</v>
      </c>
      <c r="E578" s="22"/>
      <c r="F578" s="22" t="s">
        <v>110</v>
      </c>
    </row>
    <row r="579" spans="1:6" ht="14.5">
      <c r="A579" s="28">
        <v>44414</v>
      </c>
      <c r="B579" s="22">
        <v>31</v>
      </c>
      <c r="C579" s="22">
        <v>2</v>
      </c>
      <c r="D579" s="22"/>
      <c r="E579" s="39" t="s">
        <v>111</v>
      </c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>1+1</f>
        <v>2</v>
      </c>
      <c r="D584" s="22">
        <v>1</v>
      </c>
      <c r="E584" s="39" t="s">
        <v>117</v>
      </c>
      <c r="F584" s="39" t="s">
        <v>100</v>
      </c>
    </row>
    <row r="585" spans="1:6" ht="14.5">
      <c r="A585" s="28">
        <v>44420</v>
      </c>
      <c r="B585" s="22">
        <v>32</v>
      </c>
      <c r="C585" s="22">
        <v>2</v>
      </c>
      <c r="D585" s="22"/>
      <c r="E585" s="39" t="s">
        <v>100</v>
      </c>
      <c r="F585" s="22"/>
    </row>
    <row r="586" spans="1:6" ht="14.5">
      <c r="A586" s="28">
        <v>44421</v>
      </c>
      <c r="B586" s="22">
        <v>32</v>
      </c>
      <c r="C586" s="22">
        <v>1</v>
      </c>
      <c r="D586" s="22"/>
      <c r="E586" s="22" t="s">
        <v>110</v>
      </c>
      <c r="F586" s="22"/>
    </row>
    <row r="587" spans="1:6" ht="14.5">
      <c r="A587" s="28">
        <v>44422</v>
      </c>
      <c r="B587" s="22">
        <v>32</v>
      </c>
      <c r="C587" s="22">
        <v>1</v>
      </c>
      <c r="D587" s="22"/>
      <c r="E587" s="39" t="s">
        <v>100</v>
      </c>
      <c r="F587" s="22"/>
    </row>
    <row r="588" spans="1:6" ht="14.5">
      <c r="A588" s="28">
        <v>44423</v>
      </c>
      <c r="B588" s="22">
        <v>32</v>
      </c>
      <c r="C588" s="22">
        <v>1</v>
      </c>
      <c r="D588" s="22"/>
      <c r="E588" s="22" t="s">
        <v>113</v>
      </c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v>1</v>
      </c>
      <c r="D590" s="22"/>
      <c r="E590" s="39" t="s">
        <v>100</v>
      </c>
      <c r="F590" s="22"/>
    </row>
    <row r="591" spans="1:6" ht="14.5">
      <c r="A591" s="28">
        <v>44426</v>
      </c>
      <c r="B591" s="22">
        <v>33</v>
      </c>
      <c r="C591" s="22">
        <f>1+2</f>
        <v>3</v>
      </c>
      <c r="D591" s="22">
        <v>1</v>
      </c>
      <c r="E591" s="39" t="s">
        <v>101</v>
      </c>
      <c r="F591" s="39" t="s">
        <v>100</v>
      </c>
    </row>
    <row r="592" spans="1:6" ht="14.5">
      <c r="A592" s="28">
        <v>44427</v>
      </c>
      <c r="B592" s="22">
        <v>33</v>
      </c>
      <c r="C592" s="22">
        <v>1</v>
      </c>
      <c r="D592" s="22"/>
      <c r="E592" s="39" t="s">
        <v>100</v>
      </c>
      <c r="F592" s="22"/>
    </row>
    <row r="593" spans="1:6" ht="14.5">
      <c r="A593" s="28">
        <v>44428</v>
      </c>
      <c r="B593" s="22">
        <v>33</v>
      </c>
      <c r="C593" s="22"/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v>1</v>
      </c>
      <c r="D595" s="22"/>
      <c r="E595" s="39" t="s">
        <v>100</v>
      </c>
      <c r="F595" s="22"/>
    </row>
    <row r="596" spans="1:6" ht="14.5">
      <c r="A596" s="28">
        <v>44431</v>
      </c>
      <c r="B596" s="22">
        <v>34</v>
      </c>
      <c r="C596" s="22">
        <v>1</v>
      </c>
      <c r="D596" s="22"/>
      <c r="E596" s="39" t="s">
        <v>100</v>
      </c>
      <c r="F596" s="22"/>
    </row>
    <row r="597" spans="1:6" ht="14.5">
      <c r="A597" s="28">
        <v>44432</v>
      </c>
      <c r="B597" s="22">
        <v>34</v>
      </c>
      <c r="C597" s="22">
        <v>3</v>
      </c>
      <c r="D597" s="22"/>
      <c r="E597" s="39" t="s">
        <v>100</v>
      </c>
      <c r="F597" s="22"/>
    </row>
    <row r="598" spans="1:6" ht="14.5">
      <c r="A598" s="28">
        <v>44433</v>
      </c>
      <c r="B598" s="22">
        <v>34</v>
      </c>
      <c r="C598" s="22">
        <f>2+1</f>
        <v>3</v>
      </c>
      <c r="D598" s="22">
        <v>1</v>
      </c>
      <c r="E598" s="22" t="s">
        <v>118</v>
      </c>
      <c r="F598" s="22" t="s">
        <v>116</v>
      </c>
    </row>
    <row r="599" spans="1:6" ht="14.5">
      <c r="A599" s="28">
        <v>44434</v>
      </c>
      <c r="B599" s="22">
        <v>34</v>
      </c>
      <c r="C599" s="22">
        <v>1</v>
      </c>
      <c r="D599" s="22"/>
      <c r="E599" s="22" t="s">
        <v>116</v>
      </c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1</v>
      </c>
      <c r="D603" s="22"/>
      <c r="E603" s="39" t="s">
        <v>100</v>
      </c>
      <c r="F603" s="22"/>
    </row>
    <row r="604" spans="1:6" ht="14.5">
      <c r="A604" s="28">
        <v>44439</v>
      </c>
      <c r="B604" s="22">
        <v>35</v>
      </c>
      <c r="C604" s="22">
        <v>1</v>
      </c>
      <c r="D604" s="22"/>
      <c r="E604" s="22" t="s">
        <v>116</v>
      </c>
      <c r="F604" s="22"/>
    </row>
    <row r="605" spans="1:6" ht="14.5">
      <c r="A605" s="28">
        <v>44440</v>
      </c>
      <c r="B605" s="22">
        <v>35</v>
      </c>
      <c r="C605" s="22">
        <v>1</v>
      </c>
      <c r="D605" s="22"/>
      <c r="E605" s="39" t="s">
        <v>100</v>
      </c>
      <c r="F605" s="22"/>
    </row>
    <row r="606" spans="1:6" ht="14.5">
      <c r="A606" s="28">
        <v>44441</v>
      </c>
      <c r="B606" s="22">
        <v>35</v>
      </c>
      <c r="C606" s="22">
        <v>1</v>
      </c>
      <c r="D606" s="22"/>
      <c r="E606" s="39" t="s">
        <v>100</v>
      </c>
      <c r="F606" s="22"/>
    </row>
    <row r="607" spans="1:6" ht="14.5">
      <c r="A607" s="28">
        <v>44442</v>
      </c>
      <c r="B607" s="22">
        <v>35</v>
      </c>
      <c r="C607" s="22">
        <v>1</v>
      </c>
      <c r="D607" s="22">
        <v>1</v>
      </c>
      <c r="E607" s="39" t="s">
        <v>100</v>
      </c>
      <c r="F607" s="22" t="s">
        <v>113</v>
      </c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v>1</v>
      </c>
      <c r="D616" s="22"/>
      <c r="E616" s="22" t="s">
        <v>116</v>
      </c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v>1</v>
      </c>
      <c r="D618" s="22"/>
      <c r="E618" s="22" t="s">
        <v>116</v>
      </c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>
        <v>1</v>
      </c>
      <c r="D630" s="22"/>
      <c r="E630" s="39" t="s">
        <v>100</v>
      </c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>
        <v>1</v>
      </c>
      <c r="D639" s="22"/>
      <c r="E639" s="22" t="s">
        <v>116</v>
      </c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v>1</v>
      </c>
      <c r="D731" s="22"/>
      <c r="E731" s="39" t="s">
        <v>100</v>
      </c>
      <c r="F731" s="22"/>
    </row>
    <row r="732" spans="1:6" ht="14.5">
      <c r="A732" s="28">
        <v>44567</v>
      </c>
      <c r="B732" s="22">
        <v>1</v>
      </c>
      <c r="C732" s="22">
        <f>1+1</f>
        <v>2</v>
      </c>
      <c r="D732" s="22"/>
      <c r="E732" s="22" t="s">
        <v>119</v>
      </c>
      <c r="F732" s="22"/>
    </row>
    <row r="733" spans="1:6" ht="14.5">
      <c r="A733" s="28">
        <v>44568</v>
      </c>
      <c r="B733" s="22">
        <v>1</v>
      </c>
      <c r="C733" s="22">
        <f>1+1</f>
        <v>2</v>
      </c>
      <c r="D733" s="22"/>
      <c r="E733" s="39" t="s">
        <v>120</v>
      </c>
      <c r="F733" s="22"/>
    </row>
    <row r="734" spans="1:6" ht="14.5">
      <c r="A734" s="28">
        <v>44569</v>
      </c>
      <c r="B734" s="22">
        <v>1</v>
      </c>
      <c r="C734" s="22">
        <f>2+1</f>
        <v>3</v>
      </c>
      <c r="D734" s="22"/>
      <c r="E734" s="39" t="s">
        <v>100</v>
      </c>
      <c r="F734" s="22"/>
    </row>
    <row r="735" spans="1:6" ht="14.5">
      <c r="A735" s="28">
        <v>44570</v>
      </c>
      <c r="B735" s="22">
        <v>1</v>
      </c>
      <c r="C735" s="22"/>
      <c r="D735" s="22">
        <v>1</v>
      </c>
      <c r="E735" s="22"/>
      <c r="F735" s="39" t="s">
        <v>102</v>
      </c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7+1</f>
        <v>8</v>
      </c>
      <c r="D737" s="22"/>
      <c r="E737" s="39" t="s">
        <v>121</v>
      </c>
      <c r="F737" s="22"/>
    </row>
    <row r="738" spans="1:6" ht="14.5">
      <c r="A738" s="28">
        <v>44573</v>
      </c>
      <c r="B738" s="22">
        <v>2</v>
      </c>
      <c r="C738" s="22">
        <f>1+3+2+4+2</f>
        <v>12</v>
      </c>
      <c r="D738" s="22"/>
      <c r="E738" s="39" t="s">
        <v>122</v>
      </c>
      <c r="F738" s="22"/>
    </row>
    <row r="739" spans="1:6" ht="14.5">
      <c r="A739" s="28">
        <v>44574</v>
      </c>
      <c r="B739" s="22">
        <v>2</v>
      </c>
      <c r="C739" s="22">
        <f>6+2</f>
        <v>8</v>
      </c>
      <c r="D739" s="22">
        <f>1</f>
        <v>1</v>
      </c>
      <c r="E739" s="39" t="s">
        <v>103</v>
      </c>
      <c r="F739" s="22" t="s">
        <v>131</v>
      </c>
    </row>
    <row r="740" spans="1:6" ht="14.5">
      <c r="A740" s="28">
        <v>44575</v>
      </c>
      <c r="B740" s="22">
        <v>2</v>
      </c>
      <c r="C740" s="22">
        <f>4+20</f>
        <v>24</v>
      </c>
      <c r="D740" s="22"/>
      <c r="E740" s="22" t="s">
        <v>123</v>
      </c>
      <c r="F740" s="22"/>
    </row>
    <row r="741" spans="1:6" ht="14.5">
      <c r="A741" s="28">
        <v>44576</v>
      </c>
      <c r="B741" s="22">
        <v>2</v>
      </c>
      <c r="C741" s="22">
        <f>2+1+21+1+1</f>
        <v>26</v>
      </c>
      <c r="D741" s="22"/>
      <c r="E741" s="22" t="s">
        <v>124</v>
      </c>
      <c r="F741" s="22"/>
    </row>
    <row r="742" spans="1:6" ht="14.5">
      <c r="A742" s="28">
        <v>44577</v>
      </c>
      <c r="B742" s="22">
        <v>2</v>
      </c>
      <c r="C742" s="22">
        <f>3</f>
        <v>3</v>
      </c>
      <c r="D742" s="22"/>
      <c r="E742" s="39" t="s">
        <v>101</v>
      </c>
      <c r="F742" s="22"/>
    </row>
    <row r="743" spans="1:6" ht="14.5">
      <c r="A743" s="28">
        <v>44578</v>
      </c>
      <c r="B743" s="22">
        <v>3</v>
      </c>
      <c r="C743" s="22">
        <f>1+12+2</f>
        <v>15</v>
      </c>
      <c r="D743" s="22"/>
      <c r="E743" s="39" t="s">
        <v>114</v>
      </c>
      <c r="F743" s="22"/>
    </row>
    <row r="744" spans="1:6" ht="14.5">
      <c r="A744" s="28">
        <v>44579</v>
      </c>
      <c r="B744" s="22">
        <v>3</v>
      </c>
      <c r="C744" s="22">
        <f>1+8+1+1</f>
        <v>11</v>
      </c>
      <c r="D744" s="22"/>
      <c r="E744" s="22" t="s">
        <v>140</v>
      </c>
      <c r="F744" s="22"/>
    </row>
    <row r="745" spans="1:6" ht="14.5">
      <c r="A745" s="28">
        <v>44580</v>
      </c>
      <c r="B745" s="22">
        <v>3</v>
      </c>
      <c r="C745" s="22">
        <f>1+2+6+2+1+1</f>
        <v>13</v>
      </c>
      <c r="D745" s="22"/>
      <c r="E745" s="22" t="s">
        <v>141</v>
      </c>
      <c r="F745" s="22"/>
    </row>
    <row r="746" spans="1:6" ht="14.5">
      <c r="A746" s="28">
        <v>44581</v>
      </c>
      <c r="B746" s="22">
        <v>3</v>
      </c>
      <c r="C746" s="22">
        <f>3+9+1</f>
        <v>13</v>
      </c>
      <c r="D746" s="22" t="s">
        <v>26</v>
      </c>
      <c r="E746" s="22" t="s">
        <v>142</v>
      </c>
      <c r="F746" s="22" t="s">
        <v>125</v>
      </c>
    </row>
    <row r="747" spans="1:6" ht="14.5">
      <c r="A747" s="28">
        <v>44582</v>
      </c>
      <c r="B747" s="22">
        <v>3</v>
      </c>
      <c r="C747" s="22">
        <f>3+5+5+1</f>
        <v>14</v>
      </c>
      <c r="D747" s="22">
        <f>1+2</f>
        <v>3</v>
      </c>
      <c r="E747" s="22" t="s">
        <v>143</v>
      </c>
      <c r="F747" s="22" t="s">
        <v>125</v>
      </c>
    </row>
    <row r="748" spans="1:6" ht="14.5">
      <c r="A748" s="28">
        <v>44583</v>
      </c>
      <c r="B748" s="22">
        <v>3</v>
      </c>
      <c r="C748" s="22">
        <f>1+3+1</f>
        <v>5</v>
      </c>
      <c r="D748" s="22"/>
      <c r="E748" s="22" t="s">
        <v>144</v>
      </c>
      <c r="F748" s="22"/>
    </row>
    <row r="749" spans="1:6" ht="14.5">
      <c r="A749" s="28">
        <v>44584</v>
      </c>
      <c r="B749" s="22">
        <v>3</v>
      </c>
      <c r="C749" s="22">
        <f>2</f>
        <v>2</v>
      </c>
      <c r="D749" s="22"/>
      <c r="E749" s="22" t="s">
        <v>145</v>
      </c>
      <c r="F749" s="22"/>
    </row>
    <row r="750" spans="1:6" ht="14.5">
      <c r="A750" s="28">
        <v>44585</v>
      </c>
      <c r="B750" s="22">
        <v>4</v>
      </c>
      <c r="C750" s="22">
        <v>4</v>
      </c>
      <c r="D750" s="22">
        <v>2</v>
      </c>
      <c r="E750" s="22" t="s">
        <v>104</v>
      </c>
      <c r="F750" s="22" t="s">
        <v>126</v>
      </c>
    </row>
    <row r="751" spans="1:6" ht="14.5">
      <c r="A751" s="28">
        <v>44586</v>
      </c>
      <c r="B751" s="22">
        <v>4</v>
      </c>
      <c r="C751" s="22">
        <f>8+2</f>
        <v>10</v>
      </c>
      <c r="D751" s="22">
        <v>2</v>
      </c>
      <c r="E751" s="22" t="s">
        <v>146</v>
      </c>
      <c r="F751" s="22" t="s">
        <v>105</v>
      </c>
    </row>
    <row r="752" spans="1:6" ht="14.5">
      <c r="A752" s="28">
        <v>44587</v>
      </c>
      <c r="B752" s="22">
        <v>4</v>
      </c>
      <c r="C752" s="22">
        <f>7+2</f>
        <v>9</v>
      </c>
      <c r="D752" s="22">
        <f>5</f>
        <v>5</v>
      </c>
      <c r="E752" s="22" t="s">
        <v>147</v>
      </c>
      <c r="F752" s="22" t="s">
        <v>148</v>
      </c>
    </row>
    <row r="753" spans="1:6" ht="14.5">
      <c r="A753" s="28">
        <v>44588</v>
      </c>
      <c r="B753" s="22">
        <v>4</v>
      </c>
      <c r="C753" s="22">
        <f>5+4+1+2+1</f>
        <v>13</v>
      </c>
      <c r="D753" s="22">
        <f>1+3+1</f>
        <v>5</v>
      </c>
      <c r="E753" s="22" t="s">
        <v>149</v>
      </c>
      <c r="F753" s="22" t="s">
        <v>150</v>
      </c>
    </row>
    <row r="754" spans="1:6" ht="14.5">
      <c r="A754" s="28">
        <v>44589</v>
      </c>
      <c r="B754" s="22">
        <v>4</v>
      </c>
      <c r="C754" s="22">
        <f>2+12+1</f>
        <v>15</v>
      </c>
      <c r="D754" s="22">
        <f>3</f>
        <v>3</v>
      </c>
      <c r="E754" s="22" t="s">
        <v>151</v>
      </c>
      <c r="F754" s="22" t="s">
        <v>152</v>
      </c>
    </row>
    <row r="755" spans="1:6" ht="14.5">
      <c r="A755" s="28">
        <v>44590</v>
      </c>
      <c r="B755" s="22">
        <v>4</v>
      </c>
      <c r="C755" s="22">
        <f>8+1+1</f>
        <v>10</v>
      </c>
      <c r="D755" s="22">
        <f>4</f>
        <v>4</v>
      </c>
      <c r="E755" s="22" t="s">
        <v>153</v>
      </c>
      <c r="F755" s="22" t="s">
        <v>154</v>
      </c>
    </row>
    <row r="756" spans="1:6" ht="14.5">
      <c r="A756" s="28">
        <v>44591</v>
      </c>
      <c r="B756" s="22">
        <v>4</v>
      </c>
      <c r="C756" s="22">
        <v>1</v>
      </c>
      <c r="D756" s="22"/>
      <c r="E756" s="22" t="s">
        <v>106</v>
      </c>
      <c r="F756" s="22"/>
    </row>
    <row r="757" spans="1:6" ht="14.5">
      <c r="A757" s="28">
        <v>44592</v>
      </c>
      <c r="B757" s="22">
        <v>5</v>
      </c>
      <c r="C757" s="22">
        <f>11+1+2</f>
        <v>14</v>
      </c>
      <c r="D757" s="22"/>
      <c r="E757" s="22" t="s">
        <v>155</v>
      </c>
      <c r="F757" s="22"/>
    </row>
    <row r="758" spans="1:6" ht="14.5">
      <c r="A758" s="49">
        <v>44593</v>
      </c>
      <c r="B758" s="52">
        <v>5</v>
      </c>
      <c r="C758" s="52">
        <f>6+1+1</f>
        <v>8</v>
      </c>
      <c r="D758" s="52">
        <f>3+2+1+1</f>
        <v>7</v>
      </c>
      <c r="E758" s="52" t="s">
        <v>156</v>
      </c>
      <c r="F758" s="52" t="s">
        <v>157</v>
      </c>
    </row>
    <row r="759" spans="1:6" ht="14.5">
      <c r="A759" s="49">
        <v>44594</v>
      </c>
      <c r="B759" s="52">
        <v>5</v>
      </c>
      <c r="C759" s="52">
        <f>2+1+1</f>
        <v>4</v>
      </c>
      <c r="D759" s="52">
        <f>4+2</f>
        <v>6</v>
      </c>
      <c r="E759" s="52" t="s">
        <v>158</v>
      </c>
      <c r="F759" s="52" t="s">
        <v>159</v>
      </c>
    </row>
    <row r="760" spans="1:6" ht="14.5">
      <c r="A760" s="49">
        <v>44595</v>
      </c>
      <c r="B760" s="52">
        <v>5</v>
      </c>
      <c r="C760" s="52">
        <f>1+13+1</f>
        <v>15</v>
      </c>
      <c r="D760" s="52">
        <f>6</f>
        <v>6</v>
      </c>
      <c r="E760" s="52" t="s">
        <v>160</v>
      </c>
      <c r="F760" s="52" t="s">
        <v>161</v>
      </c>
    </row>
    <row r="761" spans="1:6" ht="14.5">
      <c r="A761" s="49">
        <v>44596</v>
      </c>
      <c r="B761" s="52">
        <v>5</v>
      </c>
      <c r="C761" s="52">
        <f>7+1+1</f>
        <v>9</v>
      </c>
      <c r="D761" s="52">
        <f>1</f>
        <v>1</v>
      </c>
      <c r="E761" s="52" t="s">
        <v>162</v>
      </c>
      <c r="F761" s="52" t="s">
        <v>106</v>
      </c>
    </row>
    <row r="762" spans="1:6" ht="14.5">
      <c r="A762" s="49">
        <v>44597</v>
      </c>
      <c r="B762" s="52">
        <v>5</v>
      </c>
      <c r="C762" s="52">
        <f>5+1</f>
        <v>6</v>
      </c>
      <c r="D762" s="52">
        <f>2+1</f>
        <v>3</v>
      </c>
      <c r="E762" s="52" t="s">
        <v>163</v>
      </c>
      <c r="F762" s="52" t="s">
        <v>164</v>
      </c>
    </row>
    <row r="763" spans="1:6" ht="14.5">
      <c r="A763" s="49">
        <v>44598</v>
      </c>
      <c r="B763" s="52">
        <v>5</v>
      </c>
      <c r="C763" s="52">
        <f>2+2</f>
        <v>4</v>
      </c>
      <c r="D763" s="52">
        <f>1</f>
        <v>1</v>
      </c>
      <c r="E763" s="52" t="s">
        <v>165</v>
      </c>
      <c r="F763" s="52" t="s">
        <v>115</v>
      </c>
    </row>
    <row r="764" spans="1:6" ht="14.5">
      <c r="A764" s="49">
        <v>44599</v>
      </c>
      <c r="B764" s="52">
        <v>6</v>
      </c>
      <c r="C764" s="52">
        <f>5+1+1</f>
        <v>7</v>
      </c>
      <c r="D764" s="52">
        <f>3</f>
        <v>3</v>
      </c>
      <c r="E764" s="52" t="s">
        <v>166</v>
      </c>
      <c r="F764" s="52" t="s">
        <v>127</v>
      </c>
    </row>
    <row r="765" spans="1:6" ht="14.5">
      <c r="A765" s="49">
        <v>44600</v>
      </c>
      <c r="B765" s="52">
        <v>6</v>
      </c>
      <c r="C765" s="52">
        <f>3</f>
        <v>3</v>
      </c>
      <c r="D765" s="52">
        <f>1+1</f>
        <v>2</v>
      </c>
      <c r="E765" s="52" t="s">
        <v>107</v>
      </c>
      <c r="F765" s="52" t="s">
        <v>167</v>
      </c>
    </row>
    <row r="766" spans="1:6" ht="14.5">
      <c r="A766" s="49">
        <v>44601</v>
      </c>
      <c r="B766" s="52">
        <v>6</v>
      </c>
      <c r="C766" s="52">
        <f>1+6+1</f>
        <v>8</v>
      </c>
      <c r="D766" s="52">
        <f>1+1</f>
        <v>2</v>
      </c>
      <c r="E766" s="52" t="s">
        <v>168</v>
      </c>
      <c r="F766" s="52" t="s">
        <v>108</v>
      </c>
    </row>
    <row r="767" spans="1:6" ht="14.5">
      <c r="A767" s="49">
        <v>44602</v>
      </c>
      <c r="B767" s="52">
        <v>6</v>
      </c>
      <c r="C767" s="52">
        <f>5+1</f>
        <v>6</v>
      </c>
      <c r="D767" s="52">
        <f>3</f>
        <v>3</v>
      </c>
      <c r="E767" s="52" t="s">
        <v>169</v>
      </c>
      <c r="F767" s="52" t="s">
        <v>164</v>
      </c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2</f>
        <v>2</v>
      </c>
      <c r="D769" s="52"/>
      <c r="E769" s="52" t="s">
        <v>108</v>
      </c>
      <c r="F769" s="52"/>
    </row>
    <row r="770" spans="1:6" ht="14.5">
      <c r="A770" s="49">
        <v>44605</v>
      </c>
      <c r="B770" s="52">
        <v>6</v>
      </c>
      <c r="C770" s="52">
        <f>1</f>
        <v>1</v>
      </c>
      <c r="D770" s="52">
        <f>1</f>
        <v>1</v>
      </c>
      <c r="E770" s="52" t="s">
        <v>106</v>
      </c>
      <c r="F770" s="52" t="s">
        <v>106</v>
      </c>
    </row>
    <row r="771" spans="1:6" ht="14.5">
      <c r="A771" s="49">
        <v>44606</v>
      </c>
      <c r="B771" s="52">
        <v>7</v>
      </c>
      <c r="C771" s="52">
        <f>4+1</f>
        <v>5</v>
      </c>
      <c r="D771" s="52">
        <f>3</f>
        <v>3</v>
      </c>
      <c r="E771" s="52" t="s">
        <v>170</v>
      </c>
      <c r="F771" s="52" t="s">
        <v>164</v>
      </c>
    </row>
    <row r="772" spans="1:6" ht="14.5">
      <c r="A772" s="49">
        <v>44607</v>
      </c>
      <c r="B772" s="52">
        <v>7</v>
      </c>
      <c r="C772" s="52">
        <f>5+1+2</f>
        <v>8</v>
      </c>
      <c r="D772" s="52">
        <f>1+1</f>
        <v>2</v>
      </c>
      <c r="E772" s="52" t="s">
        <v>171</v>
      </c>
      <c r="F772" s="52" t="s">
        <v>172</v>
      </c>
    </row>
    <row r="773" spans="1:6" ht="14.5">
      <c r="A773" s="49">
        <v>44608</v>
      </c>
      <c r="B773" s="52">
        <v>7</v>
      </c>
      <c r="C773" s="52">
        <f>1+1+2+1</f>
        <v>5</v>
      </c>
      <c r="D773" s="52">
        <f>1+2</f>
        <v>3</v>
      </c>
      <c r="E773" s="52" t="s">
        <v>173</v>
      </c>
      <c r="F773" s="52" t="s">
        <v>107</v>
      </c>
    </row>
    <row r="774" spans="1:6" ht="14.5">
      <c r="A774" s="49">
        <v>44609</v>
      </c>
      <c r="B774" s="52">
        <v>7</v>
      </c>
      <c r="C774" s="52">
        <f>1+1</f>
        <v>2</v>
      </c>
      <c r="D774" s="52">
        <f>1+2</f>
        <v>3</v>
      </c>
      <c r="E774" s="52" t="s">
        <v>174</v>
      </c>
      <c r="F774" s="52" t="s">
        <v>107</v>
      </c>
    </row>
    <row r="775" spans="1:6" ht="14.5">
      <c r="A775" s="49">
        <v>44610</v>
      </c>
      <c r="B775" s="52">
        <v>7</v>
      </c>
      <c r="C775" s="52"/>
      <c r="D775" s="52">
        <f>1+1+1</f>
        <v>3</v>
      </c>
      <c r="E775" s="52"/>
      <c r="F775" s="52" t="s">
        <v>175</v>
      </c>
    </row>
    <row r="776" spans="1:6" ht="14.5">
      <c r="A776" s="49">
        <v>44611</v>
      </c>
      <c r="B776" s="52">
        <v>7</v>
      </c>
      <c r="C776" s="52">
        <f>1+2+1</f>
        <v>4</v>
      </c>
      <c r="D776" s="52">
        <f>2+1</f>
        <v>3</v>
      </c>
      <c r="E776" s="52" t="s">
        <v>176</v>
      </c>
      <c r="F776" s="52" t="s">
        <v>107</v>
      </c>
    </row>
    <row r="777" spans="1:6" ht="14.5">
      <c r="A777" s="49">
        <v>44612</v>
      </c>
      <c r="B777" s="52">
        <v>7</v>
      </c>
      <c r="C777" s="52">
        <f>2+1+1</f>
        <v>4</v>
      </c>
      <c r="D777" s="52">
        <f>1</f>
        <v>1</v>
      </c>
      <c r="E777" s="52" t="s">
        <v>177</v>
      </c>
      <c r="F777" s="52" t="s">
        <v>106</v>
      </c>
    </row>
    <row r="778" spans="1:6" ht="14.5">
      <c r="A778" s="49">
        <v>44613</v>
      </c>
      <c r="B778" s="52">
        <v>8</v>
      </c>
      <c r="C778" s="52">
        <f>2+1</f>
        <v>3</v>
      </c>
      <c r="D778" s="52">
        <f>1+1</f>
        <v>2</v>
      </c>
      <c r="E778" s="52" t="s">
        <v>107</v>
      </c>
      <c r="F778" s="52" t="s">
        <v>167</v>
      </c>
    </row>
    <row r="779" spans="1:6" ht="14.5">
      <c r="A779" s="49">
        <v>44614</v>
      </c>
      <c r="B779" s="52">
        <v>8</v>
      </c>
      <c r="C779" s="52">
        <f>1+3+3</f>
        <v>7</v>
      </c>
      <c r="D779" s="52">
        <f>1+1+1</f>
        <v>3</v>
      </c>
      <c r="E779" s="52" t="s">
        <v>178</v>
      </c>
      <c r="F779" s="52" t="s">
        <v>164</v>
      </c>
    </row>
    <row r="780" spans="1:6" ht="14.5">
      <c r="A780" s="49">
        <v>44615</v>
      </c>
      <c r="B780" s="52">
        <v>8</v>
      </c>
      <c r="C780" s="52">
        <f>1+1</f>
        <v>2</v>
      </c>
      <c r="D780" s="52"/>
      <c r="E780" s="52" t="s">
        <v>179</v>
      </c>
      <c r="F780" s="52"/>
    </row>
    <row r="781" spans="1:6" ht="14.5">
      <c r="A781" s="49">
        <v>44616</v>
      </c>
      <c r="B781" s="52">
        <v>8</v>
      </c>
      <c r="C781" s="52">
        <f>1+1+7</f>
        <v>9</v>
      </c>
      <c r="D781" s="52">
        <f>1</f>
        <v>1</v>
      </c>
      <c r="E781" s="52" t="s">
        <v>180</v>
      </c>
      <c r="F781" s="52" t="s">
        <v>128</v>
      </c>
    </row>
    <row r="782" spans="1:6" ht="14.5">
      <c r="A782" s="49">
        <v>44617</v>
      </c>
      <c r="B782" s="52">
        <v>8</v>
      </c>
      <c r="C782" s="52">
        <f>2+4+1</f>
        <v>7</v>
      </c>
      <c r="D782" s="52">
        <f>3+1</f>
        <v>4</v>
      </c>
      <c r="E782" s="52" t="s">
        <v>181</v>
      </c>
      <c r="F782" s="52" t="s">
        <v>182</v>
      </c>
    </row>
    <row r="783" spans="1:6" ht="14.5">
      <c r="A783" s="49">
        <v>44618</v>
      </c>
      <c r="B783" s="52">
        <v>8</v>
      </c>
      <c r="C783" s="52">
        <f>1</f>
        <v>1</v>
      </c>
      <c r="D783" s="52">
        <f>1</f>
        <v>1</v>
      </c>
      <c r="E783" s="52" t="s">
        <v>106</v>
      </c>
      <c r="F783" s="52" t="s">
        <v>112</v>
      </c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2+1+2</f>
        <v>5</v>
      </c>
      <c r="D785" s="52">
        <f>2</f>
        <v>2</v>
      </c>
      <c r="E785" s="52" t="s">
        <v>183</v>
      </c>
      <c r="F785" s="52" t="s">
        <v>108</v>
      </c>
    </row>
    <row r="786" spans="1:6" ht="14.5">
      <c r="A786" s="64">
        <v>44621</v>
      </c>
      <c r="B786" s="52">
        <v>9</v>
      </c>
      <c r="C786" s="52">
        <f>1+5+1+1</f>
        <v>8</v>
      </c>
      <c r="D786" s="52">
        <f>1+1</f>
        <v>2</v>
      </c>
      <c r="E786" s="52" t="s">
        <v>184</v>
      </c>
      <c r="F786" s="52" t="s">
        <v>185</v>
      </c>
    </row>
    <row r="787" spans="1:6" ht="14.5">
      <c r="A787" s="64">
        <v>44622</v>
      </c>
      <c r="B787" s="52">
        <v>9</v>
      </c>
      <c r="C787" s="52">
        <f>1+1</f>
        <v>2</v>
      </c>
      <c r="D787" s="52"/>
      <c r="E787" s="52" t="s">
        <v>186</v>
      </c>
      <c r="F787" s="52"/>
    </row>
    <row r="788" spans="1:6" ht="14.5">
      <c r="A788" s="64">
        <v>44623</v>
      </c>
      <c r="B788" s="52">
        <v>9</v>
      </c>
      <c r="C788" s="52">
        <f>2+2</f>
        <v>4</v>
      </c>
      <c r="D788" s="52">
        <f>1</f>
        <v>1</v>
      </c>
      <c r="E788" s="52" t="s">
        <v>177</v>
      </c>
      <c r="F788" s="52" t="s">
        <v>106</v>
      </c>
    </row>
    <row r="789" spans="1:6" ht="14.5">
      <c r="A789" s="64">
        <v>44624</v>
      </c>
      <c r="B789" s="52">
        <v>9</v>
      </c>
      <c r="C789" s="52">
        <f>4</f>
        <v>4</v>
      </c>
      <c r="D789" s="52">
        <f>2</f>
        <v>2</v>
      </c>
      <c r="E789" s="52" t="s">
        <v>109</v>
      </c>
      <c r="F789" s="52" t="s">
        <v>108</v>
      </c>
    </row>
    <row r="790" spans="1:6" ht="14.5">
      <c r="A790" s="64">
        <v>44625</v>
      </c>
      <c r="B790" s="52">
        <v>9</v>
      </c>
      <c r="C790" s="52">
        <f>1</f>
        <v>1</v>
      </c>
      <c r="D790" s="52"/>
      <c r="E790" s="52" t="s">
        <v>106</v>
      </c>
      <c r="F790" s="52"/>
    </row>
    <row r="791" spans="1:6" ht="14.5">
      <c r="A791" s="64">
        <v>44626</v>
      </c>
      <c r="B791" s="52">
        <v>9</v>
      </c>
      <c r="C791" s="52"/>
      <c r="D791" s="52"/>
      <c r="E791" s="52"/>
      <c r="F791" s="52"/>
    </row>
    <row r="792" spans="1:6" ht="14.5">
      <c r="A792" s="64">
        <v>44627</v>
      </c>
      <c r="B792" s="52">
        <v>10</v>
      </c>
      <c r="C792" s="52"/>
      <c r="D792" s="52">
        <v>1</v>
      </c>
      <c r="E792" s="52"/>
      <c r="F792" s="52" t="s">
        <v>106</v>
      </c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11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bestFit="1" customWidth="1"/>
    <col min="2" max="2" width="5.6640625" bestFit="1" customWidth="1"/>
    <col min="3" max="3" width="7.4140625" bestFit="1" customWidth="1"/>
    <col min="4" max="4" width="12.6640625" bestFit="1" customWidth="1"/>
    <col min="5" max="5" width="11.33203125" bestFit="1" customWidth="1"/>
    <col min="6" max="6" width="14.6640625" bestFit="1" customWidth="1"/>
    <col min="7" max="7" width="66.33203125" customWidth="1"/>
  </cols>
  <sheetData>
    <row r="1" spans="1:7" ht="15" customHeight="1">
      <c r="A1" s="111" t="s">
        <v>41</v>
      </c>
      <c r="B1" s="112"/>
      <c r="C1" s="112"/>
      <c r="D1" s="112"/>
      <c r="E1" s="112"/>
      <c r="F1" s="113"/>
      <c r="G1" s="67" t="s">
        <v>86</v>
      </c>
    </row>
    <row r="2" spans="1:7" ht="31.25" customHeight="1">
      <c r="A2" s="123" t="s">
        <v>187</v>
      </c>
      <c r="B2" s="115"/>
      <c r="C2" s="115"/>
      <c r="D2" s="115"/>
      <c r="E2" s="115"/>
      <c r="F2" s="116"/>
      <c r="G2" s="68"/>
    </row>
    <row r="3" spans="1:7" ht="15" customHeight="1">
      <c r="A3" s="117" t="s">
        <v>84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62" t="s">
        <v>89</v>
      </c>
      <c r="C7" s="62" t="s">
        <v>90</v>
      </c>
      <c r="D7" s="62" t="s">
        <v>91</v>
      </c>
      <c r="E7" s="63" t="s">
        <v>92</v>
      </c>
      <c r="F7" s="63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2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2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2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2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2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2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2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2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2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2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2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2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2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2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2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2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2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2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2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2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2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2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2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2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2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2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2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2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2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2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2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2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2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2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2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2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2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2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2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2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2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2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2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2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2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2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2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2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2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2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2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2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2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2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2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2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2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2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2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2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2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2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2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2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2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2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2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2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2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2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2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2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2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2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2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2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2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2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2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2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2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2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2"/>
    </row>
    <row r="91" spans="1:7" ht="14.5">
      <c r="A91" s="25">
        <v>43926</v>
      </c>
      <c r="B91" s="26">
        <v>12</v>
      </c>
      <c r="C91" s="22">
        <v>1</v>
      </c>
      <c r="D91" s="22"/>
      <c r="E91" s="14"/>
      <c r="F91" s="14"/>
      <c r="G91" s="2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2"/>
    </row>
    <row r="93" spans="1:7" ht="14.5">
      <c r="A93" s="25">
        <v>43928</v>
      </c>
      <c r="B93" s="26">
        <v>13</v>
      </c>
      <c r="C93" s="22">
        <v>1</v>
      </c>
      <c r="D93" s="22"/>
      <c r="E93" s="14"/>
      <c r="F93" s="14"/>
      <c r="G93" s="2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2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2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2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2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2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2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2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2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2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2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2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2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2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2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2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2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2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2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2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2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2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2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2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2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2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2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2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2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2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10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2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2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2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2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2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2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2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2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2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2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2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2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2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2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2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2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2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2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2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2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2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2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2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2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2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2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2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2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2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2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2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2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2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2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2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2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2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2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2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2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2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2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2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2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2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2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2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2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2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2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2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2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2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2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2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2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2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2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2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2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2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2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2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2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2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2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2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2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2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2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2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2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2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2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2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2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2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2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2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2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2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2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2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2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2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2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2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2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2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2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2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2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2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2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2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2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2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2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2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2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2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2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2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2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2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2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2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2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10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2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2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2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2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2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2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2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2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2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2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2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2"/>
    </row>
    <row r="245" spans="1:7" ht="14.5">
      <c r="A245" s="25">
        <v>44080</v>
      </c>
      <c r="B245" s="26">
        <v>34</v>
      </c>
      <c r="C245" s="22">
        <v>1</v>
      </c>
      <c r="D245" s="22"/>
      <c r="E245" s="14"/>
      <c r="F245" s="14"/>
      <c r="G245" s="2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2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2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2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2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2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2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2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2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2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2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2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2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2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2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2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2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2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2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2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2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2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2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2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2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2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2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2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2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2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2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2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2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2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2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2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2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2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2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2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2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2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2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2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2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2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2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2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2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2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2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2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2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2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2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2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2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2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2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2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2"/>
    </row>
    <row r="306" spans="1:7" ht="14.5">
      <c r="A306" s="25">
        <v>44141</v>
      </c>
      <c r="B306" s="26">
        <v>43</v>
      </c>
      <c r="C306" s="22">
        <v>1</v>
      </c>
      <c r="D306" s="22"/>
      <c r="E306" s="14"/>
      <c r="F306" s="14"/>
      <c r="G306" s="2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2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2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2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2"/>
    </row>
    <row r="311" spans="1:7" ht="14.5">
      <c r="A311" s="25">
        <v>44146</v>
      </c>
      <c r="B311" s="26">
        <v>44</v>
      </c>
      <c r="C311" s="22"/>
      <c r="D311" s="22">
        <v>1</v>
      </c>
      <c r="E311" s="14"/>
      <c r="F311" s="14"/>
      <c r="G311" s="2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2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2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2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2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2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2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2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2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2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2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2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2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2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2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2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2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2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2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2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2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2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2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2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2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2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2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2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2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2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2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2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2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2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2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2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2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2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2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2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2"/>
    </row>
    <row r="352" spans="1:7" ht="14.5">
      <c r="A352" s="25">
        <v>44187</v>
      </c>
      <c r="B352" s="26">
        <v>50</v>
      </c>
      <c r="C352" s="22">
        <v>1</v>
      </c>
      <c r="D352" s="22"/>
      <c r="E352" s="14"/>
      <c r="F352" s="14"/>
      <c r="G352" s="2"/>
    </row>
    <row r="353" spans="1:7" ht="14.5">
      <c r="A353" s="25">
        <v>44188</v>
      </c>
      <c r="B353" s="26">
        <v>50</v>
      </c>
      <c r="C353" s="22"/>
      <c r="D353" s="22">
        <v>1</v>
      </c>
      <c r="E353" s="12"/>
      <c r="F353" s="14"/>
      <c r="G353" s="2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2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2"/>
    </row>
    <row r="356" spans="1:7" ht="14.5">
      <c r="A356" s="25">
        <v>44191</v>
      </c>
      <c r="B356" s="26">
        <v>50</v>
      </c>
      <c r="C356" s="22">
        <v>1</v>
      </c>
      <c r="D356" s="22"/>
      <c r="E356" s="14"/>
      <c r="F356" s="14"/>
      <c r="G356" s="2"/>
    </row>
    <row r="357" spans="1:7" ht="14.5">
      <c r="A357" s="25">
        <v>44192</v>
      </c>
      <c r="B357" s="26">
        <v>50</v>
      </c>
      <c r="C357" s="22">
        <v>1</v>
      </c>
      <c r="D357" s="22"/>
      <c r="E357" s="14"/>
      <c r="F357" s="14"/>
      <c r="G357" s="2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2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2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2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2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2"/>
    </row>
    <row r="363" spans="1:7" ht="14.5">
      <c r="A363" s="25">
        <v>44198</v>
      </c>
      <c r="B363" s="26">
        <v>51</v>
      </c>
      <c r="C363" s="22"/>
      <c r="D363" s="22">
        <v>1</v>
      </c>
      <c r="E363" s="14"/>
      <c r="F363" s="14"/>
      <c r="G363" s="2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2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2"/>
    </row>
    <row r="366" spans="1:7" ht="14.5">
      <c r="A366" s="25">
        <v>44201</v>
      </c>
      <c r="B366" s="26">
        <v>1</v>
      </c>
      <c r="C366" s="22">
        <v>1</v>
      </c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>
        <v>1</v>
      </c>
      <c r="D367" s="22"/>
      <c r="E367" s="14"/>
      <c r="F367" s="14"/>
      <c r="G367" s="110"/>
    </row>
    <row r="368" spans="1:7" ht="14.5">
      <c r="A368" s="25">
        <v>44203</v>
      </c>
      <c r="B368" s="26">
        <v>1</v>
      </c>
      <c r="C368" s="22">
        <v>3</v>
      </c>
      <c r="D368" s="22"/>
      <c r="E368" s="14"/>
      <c r="F368" s="14"/>
      <c r="G368" s="110"/>
    </row>
    <row r="369" spans="1:7" ht="14.5">
      <c r="A369" s="25">
        <v>44204</v>
      </c>
      <c r="B369" s="26">
        <v>1</v>
      </c>
      <c r="C369" s="22">
        <v>1</v>
      </c>
      <c r="D369" s="22">
        <v>2</v>
      </c>
      <c r="E369" s="14"/>
      <c r="F369" s="14"/>
      <c r="G369" s="2"/>
    </row>
    <row r="370" spans="1:7" ht="14.5">
      <c r="A370" s="25">
        <v>44205</v>
      </c>
      <c r="B370" s="26">
        <v>1</v>
      </c>
      <c r="C370" s="22">
        <v>1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10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2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2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2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2"/>
    </row>
    <row r="376" spans="1:7" ht="14.5">
      <c r="A376" s="25">
        <v>44211</v>
      </c>
      <c r="B376" s="26">
        <v>2</v>
      </c>
      <c r="C376" s="22">
        <v>1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10"/>
    </row>
    <row r="378" spans="1:7" ht="14.5">
      <c r="A378" s="25">
        <v>44213</v>
      </c>
      <c r="B378" s="26">
        <v>2</v>
      </c>
      <c r="C378" s="22"/>
      <c r="D378" s="22"/>
      <c r="E378" s="23"/>
      <c r="F378" s="14"/>
      <c r="G378" s="2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2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2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2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2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2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2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2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2"/>
    </row>
    <row r="387" spans="1:7" ht="14.5">
      <c r="A387" s="25">
        <v>44222</v>
      </c>
      <c r="B387" s="26">
        <v>4</v>
      </c>
      <c r="C387" s="22">
        <v>1</v>
      </c>
      <c r="D387" s="22"/>
      <c r="E387" s="14"/>
      <c r="F387" s="14"/>
      <c r="G387" s="2"/>
    </row>
    <row r="388" spans="1:7" ht="14.5">
      <c r="A388" s="25">
        <v>44223</v>
      </c>
      <c r="B388" s="26">
        <v>4</v>
      </c>
      <c r="C388" s="22">
        <v>1</v>
      </c>
      <c r="D388" s="22"/>
      <c r="E388" s="14"/>
      <c r="F388" s="14"/>
      <c r="G388" s="2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2"/>
    </row>
    <row r="390" spans="1:7" ht="14.5">
      <c r="A390" s="25">
        <v>44225</v>
      </c>
      <c r="B390" s="26">
        <v>4</v>
      </c>
      <c r="C390" s="22">
        <v>1</v>
      </c>
      <c r="D390" s="22"/>
      <c r="E390" s="14"/>
      <c r="F390" s="14"/>
      <c r="G390" s="2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2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2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2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2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2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2"/>
    </row>
    <row r="397" spans="1:7" ht="14.5">
      <c r="A397" s="25">
        <v>44232</v>
      </c>
      <c r="B397" s="26">
        <v>5</v>
      </c>
      <c r="C397" s="22"/>
      <c r="D397" s="22"/>
      <c r="E397" s="14"/>
      <c r="F397" s="14"/>
      <c r="G397" s="15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2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2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2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2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2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2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2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2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2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2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2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2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2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2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2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2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2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2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2"/>
    </row>
    <row r="417" spans="1:7" ht="14.5">
      <c r="A417" s="25">
        <v>44252</v>
      </c>
      <c r="B417" s="26">
        <v>8</v>
      </c>
      <c r="C417" s="22">
        <v>1</v>
      </c>
      <c r="D417" s="22"/>
      <c r="E417" s="14"/>
      <c r="F417" s="14"/>
      <c r="G417" s="2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2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2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2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2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2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2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2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2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2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2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2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2"/>
    </row>
    <row r="430" spans="1:7" ht="14.5">
      <c r="A430" s="25">
        <v>44265</v>
      </c>
      <c r="B430" s="26">
        <v>10</v>
      </c>
      <c r="C430" s="22">
        <v>1</v>
      </c>
      <c r="D430" s="22">
        <v>1</v>
      </c>
      <c r="E430" s="14"/>
      <c r="F430" s="14"/>
      <c r="G430" s="2"/>
    </row>
    <row r="431" spans="1:7" ht="14.5">
      <c r="A431" s="25">
        <v>44266</v>
      </c>
      <c r="B431" s="26">
        <v>10</v>
      </c>
      <c r="C431" s="22"/>
      <c r="D431" s="22">
        <v>1</v>
      </c>
      <c r="E431" s="14"/>
      <c r="F431" s="14"/>
      <c r="G431" s="2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2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2"/>
    </row>
    <row r="434" spans="1:7" ht="14.5">
      <c r="A434" s="25">
        <v>44269</v>
      </c>
      <c r="B434" s="26">
        <v>10</v>
      </c>
      <c r="C434" s="22"/>
      <c r="D434" s="22">
        <v>1</v>
      </c>
      <c r="E434" s="14"/>
      <c r="F434" s="14"/>
      <c r="G434" s="2"/>
    </row>
    <row r="435" spans="1:7" ht="14.5">
      <c r="A435" s="25">
        <v>44270</v>
      </c>
      <c r="B435" s="26">
        <v>11</v>
      </c>
      <c r="C435" s="22"/>
      <c r="D435" s="22">
        <v>1</v>
      </c>
      <c r="E435" s="14"/>
      <c r="F435" s="14"/>
      <c r="G435" s="2"/>
    </row>
    <row r="436" spans="1:7" ht="14.5">
      <c r="A436" s="25">
        <v>44271</v>
      </c>
      <c r="B436" s="26">
        <v>11</v>
      </c>
      <c r="C436" s="22">
        <v>1</v>
      </c>
      <c r="D436" s="22"/>
      <c r="E436" s="14"/>
      <c r="F436" s="14"/>
      <c r="G436" s="2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2"/>
    </row>
    <row r="438" spans="1:7" ht="14.5">
      <c r="A438" s="25">
        <v>44273</v>
      </c>
      <c r="B438" s="26">
        <v>11</v>
      </c>
      <c r="C438" s="22"/>
      <c r="D438" s="22">
        <v>3</v>
      </c>
      <c r="E438" s="14"/>
      <c r="F438" s="14"/>
      <c r="G438" s="2"/>
    </row>
    <row r="439" spans="1:7" ht="14.5">
      <c r="A439" s="25">
        <v>44274</v>
      </c>
      <c r="B439" s="26">
        <v>11</v>
      </c>
      <c r="C439" s="22"/>
      <c r="D439" s="22">
        <v>2</v>
      </c>
      <c r="E439" s="14"/>
      <c r="F439" s="14"/>
      <c r="G439" s="2"/>
    </row>
    <row r="440" spans="1:7" ht="14.5">
      <c r="A440" s="25">
        <v>44275</v>
      </c>
      <c r="B440" s="26">
        <v>11</v>
      </c>
      <c r="C440" s="22">
        <v>1</v>
      </c>
      <c r="D440" s="22"/>
      <c r="E440" s="14"/>
      <c r="F440" s="14"/>
      <c r="G440" s="2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2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2"/>
    </row>
    <row r="443" spans="1:7" ht="14.5">
      <c r="A443" s="25">
        <v>44278</v>
      </c>
      <c r="B443" s="26">
        <v>12</v>
      </c>
      <c r="C443" s="22">
        <v>2</v>
      </c>
      <c r="D443" s="22">
        <v>1</v>
      </c>
      <c r="E443" s="14"/>
      <c r="F443" s="14"/>
      <c r="G443" s="2"/>
    </row>
    <row r="444" spans="1:7" ht="14.5">
      <c r="A444" s="25">
        <v>44279</v>
      </c>
      <c r="B444" s="26">
        <v>12</v>
      </c>
      <c r="C444" s="22"/>
      <c r="D444" s="22"/>
      <c r="E444" s="14"/>
      <c r="F444" s="14"/>
      <c r="G444" s="15"/>
    </row>
    <row r="445" spans="1:7" ht="14.5">
      <c r="A445" s="25">
        <v>44280</v>
      </c>
      <c r="B445" s="26">
        <v>12</v>
      </c>
      <c r="C445" s="22">
        <v>1</v>
      </c>
      <c r="D445" s="22"/>
      <c r="E445" s="14"/>
      <c r="F445" s="14"/>
      <c r="G445" s="2"/>
    </row>
    <row r="446" spans="1:7" ht="14.5">
      <c r="A446" s="25">
        <v>44281</v>
      </c>
      <c r="B446" s="26">
        <v>12</v>
      </c>
      <c r="C446" s="22"/>
      <c r="D446" s="22">
        <v>1</v>
      </c>
      <c r="E446" s="14"/>
      <c r="F446" s="14"/>
      <c r="G446" s="2"/>
    </row>
    <row r="447" spans="1:7" ht="14.5">
      <c r="A447" s="25">
        <v>44282</v>
      </c>
      <c r="B447" s="26">
        <v>12</v>
      </c>
      <c r="C447" s="22">
        <v>1</v>
      </c>
      <c r="D447" s="22">
        <v>1</v>
      </c>
      <c r="E447" s="14"/>
      <c r="F447" s="14"/>
      <c r="G447" s="2"/>
    </row>
    <row r="448" spans="1:7" ht="14.5">
      <c r="A448" s="25">
        <v>44283</v>
      </c>
      <c r="B448" s="26">
        <v>12</v>
      </c>
      <c r="C448" s="22">
        <v>1</v>
      </c>
      <c r="D448" s="22"/>
      <c r="E448" s="14"/>
      <c r="F448" s="14"/>
      <c r="G448" s="2"/>
    </row>
    <row r="449" spans="1:7" ht="14.5">
      <c r="A449" s="25">
        <v>44284</v>
      </c>
      <c r="B449" s="26">
        <v>13</v>
      </c>
      <c r="C449" s="22">
        <v>1</v>
      </c>
      <c r="D449" s="22"/>
      <c r="E449" s="14"/>
      <c r="F449" s="14"/>
      <c r="G449" s="2"/>
    </row>
    <row r="450" spans="1:7" ht="14.5">
      <c r="A450" s="25">
        <v>44285</v>
      </c>
      <c r="B450" s="26">
        <v>13</v>
      </c>
      <c r="C450" s="22">
        <f>5/4</f>
        <v>1.25</v>
      </c>
      <c r="D450" s="22">
        <f t="shared" ref="D450:D453" si="0">3/4</f>
        <v>0.75</v>
      </c>
      <c r="E450" s="14"/>
      <c r="F450" s="14"/>
      <c r="G450" s="2"/>
    </row>
    <row r="451" spans="1:7" ht="14.5">
      <c r="A451" s="25">
        <v>44286</v>
      </c>
      <c r="B451" s="26">
        <v>13</v>
      </c>
      <c r="C451" s="22">
        <f>(5/4)+1</f>
        <v>2.25</v>
      </c>
      <c r="D451" s="22">
        <f t="shared" si="0"/>
        <v>0.75</v>
      </c>
      <c r="E451" s="14"/>
      <c r="F451" s="14"/>
      <c r="G451" s="2"/>
    </row>
    <row r="452" spans="1:7" ht="14.5">
      <c r="A452" s="25">
        <v>44287</v>
      </c>
      <c r="B452" s="26">
        <v>13</v>
      </c>
      <c r="C452" s="22">
        <f t="shared" ref="C452:C453" si="1">5/4</f>
        <v>1.25</v>
      </c>
      <c r="D452" s="22">
        <f t="shared" si="0"/>
        <v>0.75</v>
      </c>
      <c r="E452" s="14"/>
      <c r="F452" s="14"/>
      <c r="G452" s="2"/>
    </row>
    <row r="453" spans="1:7" ht="14.5">
      <c r="A453" s="25">
        <v>44288</v>
      </c>
      <c r="B453" s="26">
        <v>13</v>
      </c>
      <c r="C453" s="22">
        <f t="shared" si="1"/>
        <v>1.25</v>
      </c>
      <c r="D453" s="22">
        <f t="shared" si="0"/>
        <v>0.75</v>
      </c>
      <c r="E453" s="14"/>
      <c r="F453" s="14"/>
      <c r="G453" s="2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2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2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2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2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2"/>
    </row>
    <row r="459" spans="1:7" ht="14.5">
      <c r="A459" s="25">
        <v>44294</v>
      </c>
      <c r="B459" s="26">
        <v>14</v>
      </c>
      <c r="C459" s="22">
        <v>2</v>
      </c>
      <c r="D459" s="22"/>
      <c r="E459" s="14"/>
      <c r="F459" s="14"/>
      <c r="G459" s="2"/>
    </row>
    <row r="460" spans="1:7" ht="14.5">
      <c r="A460" s="25">
        <v>44295</v>
      </c>
      <c r="B460" s="26">
        <v>14</v>
      </c>
      <c r="C460" s="22">
        <v>1</v>
      </c>
      <c r="D460" s="22"/>
      <c r="E460" s="14"/>
      <c r="F460" s="14"/>
      <c r="G460" s="2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2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2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2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2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2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2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2"/>
    </row>
    <row r="468" spans="1:7" ht="14.5">
      <c r="A468" s="25">
        <v>44303</v>
      </c>
      <c r="B468" s="26">
        <v>15</v>
      </c>
      <c r="C468" s="22">
        <v>1</v>
      </c>
      <c r="D468" s="22"/>
      <c r="E468" s="14"/>
      <c r="F468" s="14"/>
      <c r="G468" s="2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2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2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10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2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2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2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2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2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2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2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2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2"/>
    </row>
    <row r="482" spans="1:7" ht="14.5">
      <c r="A482" s="25">
        <v>44317</v>
      </c>
      <c r="B482" s="26">
        <v>17</v>
      </c>
      <c r="C482" s="22">
        <v>1</v>
      </c>
      <c r="D482" s="22"/>
      <c r="E482" s="14"/>
      <c r="F482" s="14"/>
      <c r="G482" s="15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2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2"/>
    </row>
    <row r="485" spans="1:7" ht="14.5">
      <c r="A485" s="25">
        <v>44320</v>
      </c>
      <c r="B485" s="26">
        <v>18</v>
      </c>
      <c r="C485" s="22">
        <v>3</v>
      </c>
      <c r="D485" s="22"/>
      <c r="E485" s="14"/>
      <c r="F485" s="14"/>
      <c r="G485" s="2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2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2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2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2"/>
    </row>
    <row r="490" spans="1:7" ht="14.5">
      <c r="A490" s="25">
        <v>44325</v>
      </c>
      <c r="B490" s="26">
        <v>18</v>
      </c>
      <c r="C490" s="22">
        <v>1</v>
      </c>
      <c r="D490" s="22"/>
      <c r="E490" s="14"/>
      <c r="F490" s="14"/>
      <c r="G490" s="2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2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2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2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2"/>
    </row>
    <row r="495" spans="1:7" ht="14.5">
      <c r="A495" s="25">
        <v>44330</v>
      </c>
      <c r="B495" s="26">
        <v>19</v>
      </c>
      <c r="C495" s="22">
        <v>1</v>
      </c>
      <c r="D495" s="22"/>
      <c r="E495" s="14"/>
      <c r="F495" s="14"/>
      <c r="G495" s="2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2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2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2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2"/>
    </row>
    <row r="500" spans="1:7" ht="14.5">
      <c r="A500" s="25">
        <v>44335</v>
      </c>
      <c r="B500" s="26">
        <v>20</v>
      </c>
      <c r="C500" s="22">
        <v>1</v>
      </c>
      <c r="D500" s="22"/>
      <c r="E500" s="14"/>
      <c r="F500" s="14"/>
      <c r="G500" s="2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2"/>
    </row>
    <row r="502" spans="1:7" ht="14.5">
      <c r="A502" s="25">
        <v>44337</v>
      </c>
      <c r="B502" s="26">
        <v>20</v>
      </c>
      <c r="C502" s="22"/>
      <c r="D502" s="22"/>
      <c r="E502" s="14"/>
      <c r="F502" s="14"/>
      <c r="G502" s="15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2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2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2"/>
    </row>
    <row r="506" spans="1:7" ht="14.5">
      <c r="A506" s="25">
        <v>44341</v>
      </c>
      <c r="B506" s="26">
        <v>21</v>
      </c>
      <c r="C506" s="18"/>
      <c r="D506" s="22"/>
      <c r="E506" s="14"/>
      <c r="F506" s="14"/>
      <c r="G506" s="2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2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2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2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2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2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2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2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2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2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2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2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2"/>
    </row>
    <row r="519" spans="1:7" ht="14.5">
      <c r="A519" s="25">
        <v>44354</v>
      </c>
      <c r="B519" s="26">
        <v>23</v>
      </c>
      <c r="C519" s="22"/>
      <c r="D519" s="22">
        <v>1</v>
      </c>
      <c r="E519" s="14"/>
      <c r="F519" s="14"/>
      <c r="G519" s="2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2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2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2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2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2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2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2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2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2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2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2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2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2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2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2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2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2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2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2"/>
    </row>
    <row r="539" spans="1:7" ht="14.5">
      <c r="A539" s="25">
        <v>44374</v>
      </c>
      <c r="B539" s="26">
        <v>25</v>
      </c>
      <c r="C539" s="22">
        <v>1</v>
      </c>
      <c r="D539" s="22"/>
      <c r="E539" s="16"/>
      <c r="F539" s="14"/>
      <c r="G539" s="2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2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2"/>
    </row>
    <row r="542" spans="1:7" ht="14.5">
      <c r="A542" s="25">
        <v>44377</v>
      </c>
      <c r="B542" s="26">
        <v>26</v>
      </c>
      <c r="C542" s="22">
        <v>1</v>
      </c>
      <c r="D542" s="22"/>
      <c r="E542" s="14"/>
      <c r="F542" s="14"/>
      <c r="G542" s="2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2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2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2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2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2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2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2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2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2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2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2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2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2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2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2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2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2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2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2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2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2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2"/>
    </row>
    <row r="565" spans="1:7" ht="14.5">
      <c r="A565" s="28">
        <v>44400</v>
      </c>
      <c r="B565" s="22">
        <v>29</v>
      </c>
      <c r="C565" s="22"/>
      <c r="D565" s="22"/>
      <c r="E565" s="22"/>
      <c r="F565" s="22"/>
    </row>
    <row r="566" spans="1:7" ht="14.5">
      <c r="A566" s="28">
        <v>44401</v>
      </c>
      <c r="B566" s="22">
        <v>29</v>
      </c>
      <c r="C566" s="22"/>
      <c r="D566" s="22"/>
      <c r="E566" s="22"/>
      <c r="F566" s="22"/>
    </row>
    <row r="567" spans="1:7" ht="14.5">
      <c r="A567" s="28">
        <v>44402</v>
      </c>
      <c r="B567" s="22">
        <v>29</v>
      </c>
      <c r="C567" s="22"/>
      <c r="D567" s="22"/>
      <c r="E567" s="22"/>
      <c r="F567" s="22"/>
    </row>
    <row r="568" spans="1:7" ht="14.5">
      <c r="A568" s="28">
        <v>44403</v>
      </c>
      <c r="B568" s="22">
        <v>30</v>
      </c>
      <c r="C568" s="22"/>
      <c r="D568" s="22"/>
      <c r="E568" s="22"/>
      <c r="F568" s="22"/>
    </row>
    <row r="569" spans="1:7" ht="14.5">
      <c r="A569" s="28">
        <v>44404</v>
      </c>
      <c r="B569" s="22">
        <v>30</v>
      </c>
      <c r="C569" s="22">
        <v>1</v>
      </c>
      <c r="D569" s="22"/>
      <c r="E569" s="22"/>
      <c r="F569" s="22"/>
    </row>
    <row r="570" spans="1:7" ht="14.5">
      <c r="A570" s="28">
        <v>44405</v>
      </c>
      <c r="B570" s="22">
        <v>30</v>
      </c>
      <c r="C570" s="22"/>
      <c r="D570" s="22"/>
      <c r="E570" s="22"/>
      <c r="F570" s="22"/>
    </row>
    <row r="571" spans="1:7" ht="14.5">
      <c r="A571" s="28">
        <v>44406</v>
      </c>
      <c r="B571" s="22">
        <v>30</v>
      </c>
      <c r="C571" s="22"/>
      <c r="D571" s="22"/>
      <c r="E571" s="22"/>
      <c r="F571" s="22"/>
    </row>
    <row r="572" spans="1:7" ht="14.5">
      <c r="A572" s="28">
        <v>44407</v>
      </c>
      <c r="B572" s="22">
        <v>30</v>
      </c>
      <c r="C572" s="22"/>
      <c r="D572" s="22"/>
      <c r="E572" s="22"/>
      <c r="F572" s="22"/>
    </row>
    <row r="573" spans="1:7" ht="14.5">
      <c r="A573" s="28">
        <v>44408</v>
      </c>
      <c r="B573" s="22">
        <v>30</v>
      </c>
      <c r="C573" s="22"/>
      <c r="D573" s="22"/>
      <c r="E573" s="22"/>
      <c r="F573" s="2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/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1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>
        <v>1</v>
      </c>
      <c r="E592" s="22"/>
      <c r="F592" s="22"/>
    </row>
    <row r="593" spans="1:6" ht="14.5">
      <c r="A593" s="28">
        <v>44428</v>
      </c>
      <c r="B593" s="22">
        <v>33</v>
      </c>
      <c r="C593" s="22"/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>
        <v>1</v>
      </c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v>2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>
        <v>1</v>
      </c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v>1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v>1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v>1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2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1+1</f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4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9+1+1</f>
        <v>11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1+1+1</f>
        <v>3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/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</f>
        <v>2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/>
      <c r="D745" s="22"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v>2</v>
      </c>
      <c r="D746" s="22">
        <v>1</v>
      </c>
      <c r="E746" s="22"/>
      <c r="F746" s="22"/>
    </row>
    <row r="747" spans="1:6" ht="14.5">
      <c r="A747" s="28">
        <v>44582</v>
      </c>
      <c r="B747" s="22">
        <v>3</v>
      </c>
      <c r="C747" s="22">
        <v>1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v>3</v>
      </c>
      <c r="D748" s="22">
        <v>1</v>
      </c>
      <c r="E748" s="22"/>
      <c r="F748" s="22"/>
    </row>
    <row r="749" spans="1:6" ht="14.5">
      <c r="A749" s="28">
        <v>44584</v>
      </c>
      <c r="B749" s="22">
        <v>3</v>
      </c>
      <c r="C749" s="22">
        <v>1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6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2+1+2</f>
        <v>5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3+2</f>
        <v>5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1</f>
        <v>1</v>
      </c>
      <c r="D753" s="22">
        <f>1</f>
        <v>1</v>
      </c>
      <c r="E753" s="22"/>
      <c r="F753" s="22"/>
    </row>
    <row r="754" spans="1:6" ht="14.5">
      <c r="A754" s="28">
        <v>44589</v>
      </c>
      <c r="B754" s="22">
        <v>4</v>
      </c>
      <c r="C754" s="22">
        <f>3+1</f>
        <v>4</v>
      </c>
      <c r="D754" s="22">
        <f>1</f>
        <v>1</v>
      </c>
      <c r="E754" s="22"/>
      <c r="F754" s="22"/>
    </row>
    <row r="755" spans="1:6" ht="14.5">
      <c r="A755" s="28">
        <v>44590</v>
      </c>
      <c r="B755" s="22">
        <v>4</v>
      </c>
      <c r="C755" s="22">
        <f>4</f>
        <v>4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>1</f>
        <v>1</v>
      </c>
      <c r="D756" s="22">
        <f>2+1+1</f>
        <v>4</v>
      </c>
      <c r="E756" s="22"/>
      <c r="F756" s="22"/>
    </row>
    <row r="757" spans="1:6" ht="14.5">
      <c r="A757" s="28">
        <v>44592</v>
      </c>
      <c r="B757" s="22">
        <v>5</v>
      </c>
      <c r="C757" s="22">
        <f>1</f>
        <v>1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f>5</f>
        <v>5</v>
      </c>
      <c r="D758" s="52">
        <f>2+1</f>
        <v>3</v>
      </c>
      <c r="E758" s="52"/>
      <c r="F758" s="52"/>
    </row>
    <row r="759" spans="1:6" ht="14.5">
      <c r="A759" s="49">
        <v>44594</v>
      </c>
      <c r="B759" s="52">
        <v>5</v>
      </c>
      <c r="C759" s="52">
        <f>2</f>
        <v>2</v>
      </c>
      <c r="D759" s="52">
        <f>1</f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f>2+2</f>
        <v>4</v>
      </c>
      <c r="D760" s="52">
        <f>2+1</f>
        <v>3</v>
      </c>
      <c r="E760" s="52"/>
      <c r="F760" s="52"/>
    </row>
    <row r="761" spans="1:6" ht="14.5">
      <c r="A761" s="49">
        <v>44596</v>
      </c>
      <c r="B761" s="52">
        <v>5</v>
      </c>
      <c r="C761" s="52">
        <f>1</f>
        <v>1</v>
      </c>
      <c r="D761" s="52">
        <f>3+1</f>
        <v>4</v>
      </c>
      <c r="E761" s="52"/>
      <c r="F761" s="52"/>
    </row>
    <row r="762" spans="1:6" ht="14.5">
      <c r="A762" s="49">
        <v>44597</v>
      </c>
      <c r="B762" s="52">
        <v>5</v>
      </c>
      <c r="C762" s="52">
        <f>1</f>
        <v>1</v>
      </c>
      <c r="D762" s="52">
        <f>1</f>
        <v>1</v>
      </c>
      <c r="E762" s="52"/>
      <c r="F762" s="52"/>
    </row>
    <row r="763" spans="1:6" ht="14.5">
      <c r="A763" s="49">
        <v>44598</v>
      </c>
      <c r="B763" s="52">
        <v>5</v>
      </c>
      <c r="C763" s="52">
        <f>3</f>
        <v>3</v>
      </c>
      <c r="D763" s="52">
        <f>3</f>
        <v>3</v>
      </c>
      <c r="E763" s="52"/>
      <c r="F763" s="52"/>
    </row>
    <row r="764" spans="1:6" ht="14.5">
      <c r="A764" s="49">
        <v>44599</v>
      </c>
      <c r="B764" s="52">
        <v>6</v>
      </c>
      <c r="C764" s="52">
        <f>1+1+1</f>
        <v>3</v>
      </c>
      <c r="D764" s="52">
        <f>1</f>
        <v>1</v>
      </c>
      <c r="E764" s="52"/>
      <c r="F764" s="52"/>
    </row>
    <row r="765" spans="1:6" ht="14.5">
      <c r="A765" s="49">
        <v>44600</v>
      </c>
      <c r="B765" s="52">
        <v>6</v>
      </c>
      <c r="C765" s="52">
        <f>3+2</f>
        <v>5</v>
      </c>
      <c r="D765" s="52">
        <f>1</f>
        <v>1</v>
      </c>
      <c r="E765" s="52"/>
      <c r="F765" s="52"/>
    </row>
    <row r="766" spans="1:6" ht="14.5">
      <c r="A766" s="49">
        <v>44601</v>
      </c>
      <c r="B766" s="52">
        <v>6</v>
      </c>
      <c r="C766" s="52">
        <f>3</f>
        <v>3</v>
      </c>
      <c r="D766" s="52">
        <f>1</f>
        <v>1</v>
      </c>
      <c r="E766" s="52"/>
      <c r="F766" s="52"/>
    </row>
    <row r="767" spans="1:6" ht="14.5">
      <c r="A767" s="49">
        <v>44602</v>
      </c>
      <c r="B767" s="52">
        <v>6</v>
      </c>
      <c r="C767" s="52">
        <f>3</f>
        <v>3</v>
      </c>
      <c r="D767" s="52">
        <f>1</f>
        <v>1</v>
      </c>
      <c r="E767" s="52"/>
      <c r="F767" s="52"/>
    </row>
    <row r="768" spans="1:6" ht="14.5">
      <c r="A768" s="49">
        <v>44603</v>
      </c>
      <c r="B768" s="52">
        <v>6</v>
      </c>
      <c r="C768" s="52">
        <f>3+1</f>
        <v>4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5+2+1</f>
        <v>8</v>
      </c>
      <c r="D769" s="52">
        <f>1+1+1</f>
        <v>3</v>
      </c>
      <c r="E769" s="52"/>
      <c r="F769" s="52"/>
    </row>
    <row r="770" spans="1:6" ht="14.5">
      <c r="A770" s="49">
        <v>44605</v>
      </c>
      <c r="B770" s="52">
        <v>6</v>
      </c>
      <c r="C770" s="52">
        <f>1+1</f>
        <v>2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6+1</f>
        <v>7</v>
      </c>
      <c r="D771" s="52">
        <f>1</f>
        <v>1</v>
      </c>
      <c r="E771" s="52"/>
      <c r="F771" s="52"/>
    </row>
    <row r="772" spans="1:6" ht="14.5">
      <c r="A772" s="49">
        <v>44607</v>
      </c>
      <c r="B772" s="52">
        <v>7</v>
      </c>
      <c r="C772" s="52">
        <f>3</f>
        <v>3</v>
      </c>
      <c r="D772" s="52">
        <f>1+1</f>
        <v>2</v>
      </c>
      <c r="E772" s="52"/>
      <c r="F772" s="52"/>
    </row>
    <row r="773" spans="1:6" ht="14.5">
      <c r="A773" s="49">
        <v>44608</v>
      </c>
      <c r="B773" s="52">
        <v>7</v>
      </c>
      <c r="C773" s="52">
        <f>4</f>
        <v>4</v>
      </c>
      <c r="D773" s="52">
        <f>2</f>
        <v>2</v>
      </c>
      <c r="E773" s="52"/>
      <c r="F773" s="52"/>
    </row>
    <row r="774" spans="1:6" ht="14.5">
      <c r="A774" s="49">
        <v>44609</v>
      </c>
      <c r="B774" s="52">
        <v>7</v>
      </c>
      <c r="C774" s="52">
        <f>4+2</f>
        <v>6</v>
      </c>
      <c r="D774" s="52">
        <f>1+2</f>
        <v>3</v>
      </c>
      <c r="E774" s="52"/>
      <c r="F774" s="52"/>
    </row>
    <row r="775" spans="1:6" ht="14.5">
      <c r="A775" s="49">
        <v>44610</v>
      </c>
      <c r="B775" s="52">
        <v>7</v>
      </c>
      <c r="C775" s="52">
        <f>1+2</f>
        <v>3</v>
      </c>
      <c r="D775" s="52">
        <f>1</f>
        <v>1</v>
      </c>
      <c r="E775" s="52"/>
      <c r="F775" s="52"/>
    </row>
    <row r="776" spans="1:6" ht="14.5">
      <c r="A776" s="49">
        <v>44611</v>
      </c>
      <c r="B776" s="52">
        <v>7</v>
      </c>
      <c r="C776" s="52">
        <f>2</f>
        <v>2</v>
      </c>
      <c r="D776" s="52">
        <f>1</f>
        <v>1</v>
      </c>
      <c r="E776" s="52"/>
      <c r="F776" s="52"/>
    </row>
    <row r="777" spans="1:6" ht="14.5">
      <c r="A777" s="49">
        <v>44612</v>
      </c>
      <c r="B777" s="52">
        <v>7</v>
      </c>
      <c r="C777" s="52">
        <f>1</f>
        <v>1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2</f>
        <v>2</v>
      </c>
      <c r="D778" s="52">
        <f>3</f>
        <v>3</v>
      </c>
      <c r="E778" s="52"/>
      <c r="F778" s="52"/>
    </row>
    <row r="779" spans="1:6" ht="14.5">
      <c r="A779" s="49">
        <v>44614</v>
      </c>
      <c r="B779" s="52">
        <v>8</v>
      </c>
      <c r="C779" s="52">
        <f>5</f>
        <v>5</v>
      </c>
      <c r="D779" s="52">
        <f>1</f>
        <v>1</v>
      </c>
      <c r="E779" s="52"/>
      <c r="F779" s="52"/>
    </row>
    <row r="780" spans="1:6" ht="14.5">
      <c r="A780" s="49">
        <v>44615</v>
      </c>
      <c r="B780" s="52">
        <v>8</v>
      </c>
      <c r="C780" s="52">
        <f>2</f>
        <v>2</v>
      </c>
      <c r="D780" s="52">
        <f>2+1</f>
        <v>3</v>
      </c>
      <c r="E780" s="52"/>
      <c r="F780" s="52"/>
    </row>
    <row r="781" spans="1:6" ht="14.5">
      <c r="A781" s="49">
        <v>44616</v>
      </c>
      <c r="B781" s="52">
        <v>8</v>
      </c>
      <c r="C781" s="52"/>
      <c r="D781" s="52">
        <f>1</f>
        <v>1</v>
      </c>
      <c r="E781" s="52"/>
      <c r="F781" s="52"/>
    </row>
    <row r="782" spans="1:6" ht="14.5">
      <c r="A782" s="49">
        <v>44617</v>
      </c>
      <c r="B782" s="52">
        <v>8</v>
      </c>
      <c r="C782" s="52">
        <f>1</f>
        <v>1</v>
      </c>
      <c r="D782" s="52">
        <f>3+1</f>
        <v>4</v>
      </c>
      <c r="E782" s="52"/>
      <c r="F782" s="52"/>
    </row>
    <row r="783" spans="1:6" ht="14.5">
      <c r="A783" s="49">
        <v>44618</v>
      </c>
      <c r="B783" s="52">
        <v>8</v>
      </c>
      <c r="C783" s="52">
        <f>4</f>
        <v>4</v>
      </c>
      <c r="D783" s="52">
        <f>2</f>
        <v>2</v>
      </c>
      <c r="E783" s="52"/>
      <c r="F783" s="52"/>
    </row>
    <row r="784" spans="1:6" ht="14.5">
      <c r="A784" s="49">
        <v>44619</v>
      </c>
      <c r="B784" s="52">
        <v>8</v>
      </c>
      <c r="C784" s="52">
        <f>2</f>
        <v>2</v>
      </c>
      <c r="D784" s="52">
        <f>1</f>
        <v>1</v>
      </c>
      <c r="E784" s="52"/>
      <c r="F784" s="52"/>
    </row>
    <row r="785" spans="1:6" ht="14.5">
      <c r="A785" s="50">
        <v>44620</v>
      </c>
      <c r="B785" s="52">
        <v>9</v>
      </c>
      <c r="C785" s="52">
        <f>1+3</f>
        <v>4</v>
      </c>
      <c r="D785" s="52">
        <f>5+1</f>
        <v>6</v>
      </c>
      <c r="E785" s="52"/>
      <c r="F785" s="52"/>
    </row>
    <row r="786" spans="1:6" ht="14.5">
      <c r="A786" s="64">
        <v>44621</v>
      </c>
      <c r="B786" s="52">
        <v>9</v>
      </c>
      <c r="C786" s="52">
        <f>2</f>
        <v>2</v>
      </c>
      <c r="D786" s="52">
        <f>1</f>
        <v>1</v>
      </c>
      <c r="E786" s="52"/>
      <c r="F786" s="52"/>
    </row>
    <row r="787" spans="1:6" ht="14.5">
      <c r="A787" s="64">
        <v>44622</v>
      </c>
      <c r="B787" s="52">
        <v>9</v>
      </c>
      <c r="C787" s="52">
        <f>5</f>
        <v>5</v>
      </c>
      <c r="D787" s="52">
        <f>3</f>
        <v>3</v>
      </c>
      <c r="E787" s="52"/>
      <c r="F787" s="52"/>
    </row>
    <row r="788" spans="1:6" ht="14.5">
      <c r="A788" s="64">
        <v>44623</v>
      </c>
      <c r="B788" s="52">
        <v>9</v>
      </c>
      <c r="C788" s="52">
        <f>2</f>
        <v>2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>
        <f>3</f>
        <v>3</v>
      </c>
      <c r="D789" s="52"/>
      <c r="E789" s="52"/>
      <c r="F789" s="52"/>
    </row>
    <row r="790" spans="1:6" ht="14.5">
      <c r="A790" s="64">
        <v>44625</v>
      </c>
      <c r="B790" s="52">
        <v>9</v>
      </c>
      <c r="C790" s="52"/>
      <c r="D790" s="52"/>
      <c r="E790" s="52"/>
      <c r="F790" s="52"/>
    </row>
    <row r="791" spans="1:6" ht="14.5">
      <c r="A791" s="64">
        <v>44626</v>
      </c>
      <c r="B791" s="52">
        <v>9</v>
      </c>
      <c r="C791" s="52"/>
      <c r="D791" s="52">
        <f>2</f>
        <v>2</v>
      </c>
      <c r="E791" s="52"/>
      <c r="F791" s="52"/>
    </row>
    <row r="792" spans="1:6" ht="14.5">
      <c r="A792" s="64">
        <v>44627</v>
      </c>
      <c r="B792" s="52">
        <v>10</v>
      </c>
      <c r="C792" s="52"/>
      <c r="D792" s="65"/>
      <c r="E792" s="52"/>
      <c r="F792" s="52"/>
    </row>
    <row r="793" spans="1:6" ht="14.5">
      <c r="C793" s="3"/>
      <c r="D793" s="3"/>
      <c r="E793" s="3"/>
      <c r="F793" s="3"/>
    </row>
    <row r="794" spans="1:6" ht="14.5">
      <c r="C794" s="3"/>
      <c r="D794" s="3"/>
      <c r="E794" s="3"/>
      <c r="F794" s="3"/>
    </row>
    <row r="795" spans="1:6" ht="14.5">
      <c r="C795" s="3"/>
      <c r="D795" s="3"/>
      <c r="E795" s="3"/>
      <c r="F795" s="3"/>
    </row>
    <row r="796" spans="1:6" ht="14.5">
      <c r="C796" s="3"/>
      <c r="D796" s="3"/>
      <c r="E796" s="3"/>
      <c r="F796" s="3"/>
    </row>
    <row r="797" spans="1:6" ht="14.5">
      <c r="C797" s="3"/>
      <c r="D797" s="3"/>
      <c r="E797" s="3"/>
      <c r="F797" s="3"/>
    </row>
    <row r="798" spans="1:6" ht="14.5">
      <c r="C798" s="3"/>
      <c r="D798" s="3"/>
      <c r="E798" s="3"/>
      <c r="F798" s="3"/>
    </row>
    <row r="799" spans="1:6" ht="14.5">
      <c r="C799" s="3"/>
      <c r="D799" s="3"/>
      <c r="E799" s="3"/>
      <c r="F799" s="3"/>
    </row>
    <row r="800" spans="1:6" ht="14.5">
      <c r="C800" s="3"/>
      <c r="D800" s="3"/>
      <c r="E800" s="3"/>
      <c r="F800" s="3"/>
    </row>
    <row r="801" spans="3:6" ht="14.5">
      <c r="C801" s="3"/>
      <c r="D801" s="3"/>
      <c r="E801" s="3"/>
      <c r="F801" s="3"/>
    </row>
    <row r="802" spans="3:6" ht="14.5">
      <c r="C802" s="3"/>
      <c r="D802" s="3"/>
      <c r="E802" s="3"/>
      <c r="F802" s="3"/>
    </row>
    <row r="803" spans="3:6" ht="14.5">
      <c r="C803" s="3"/>
      <c r="D803" s="3"/>
      <c r="E803" s="3"/>
      <c r="F803" s="3"/>
    </row>
    <row r="804" spans="3:6" ht="14.5">
      <c r="C804" s="3"/>
      <c r="D804" s="3"/>
      <c r="E804" s="3"/>
      <c r="F804" s="3"/>
    </row>
    <row r="805" spans="3:6" ht="14.5">
      <c r="C805" s="3"/>
      <c r="D805" s="3"/>
      <c r="E805" s="3"/>
      <c r="F805" s="3"/>
    </row>
    <row r="806" spans="3:6" ht="14.5">
      <c r="C806" s="3"/>
      <c r="D806" s="3"/>
      <c r="E806" s="3"/>
      <c r="F806" s="3"/>
    </row>
    <row r="807" spans="3:6" ht="14.5">
      <c r="C807" s="3"/>
      <c r="D807" s="3"/>
      <c r="E807" s="3"/>
      <c r="F807" s="3"/>
    </row>
    <row r="808" spans="3:6" ht="14.5">
      <c r="C808" s="3"/>
      <c r="D808" s="3"/>
      <c r="E808" s="3"/>
      <c r="F808" s="3"/>
    </row>
    <row r="809" spans="3:6" ht="14.5">
      <c r="C809" s="3"/>
      <c r="D809" s="3"/>
      <c r="E809" s="3"/>
      <c r="F809" s="3"/>
    </row>
    <row r="810" spans="3:6" ht="14.5">
      <c r="C810" s="3"/>
      <c r="D810" s="3"/>
      <c r="E810" s="3"/>
      <c r="F810" s="3"/>
    </row>
    <row r="811" spans="3:6" ht="14.5">
      <c r="C811" s="3"/>
      <c r="D811" s="3"/>
      <c r="E811" s="3"/>
      <c r="F811" s="3"/>
    </row>
    <row r="812" spans="3:6" ht="14.5">
      <c r="C812" s="3"/>
      <c r="D812" s="3"/>
      <c r="E812" s="3"/>
      <c r="F812" s="3"/>
    </row>
    <row r="813" spans="3:6" ht="14.5">
      <c r="C813" s="3"/>
      <c r="D813" s="3"/>
      <c r="E813" s="3"/>
      <c r="F813" s="3"/>
    </row>
    <row r="814" spans="3:6" ht="14.5">
      <c r="C814" s="3"/>
      <c r="D814" s="3"/>
      <c r="E814" s="3"/>
      <c r="F814" s="3"/>
    </row>
    <row r="815" spans="3:6" ht="14.5">
      <c r="C815" s="3"/>
      <c r="D815" s="3"/>
      <c r="E815" s="3"/>
      <c r="F815" s="3"/>
    </row>
    <row r="816" spans="3:6" ht="14.5">
      <c r="C816" s="3"/>
      <c r="D816" s="3"/>
      <c r="E816" s="3"/>
      <c r="F816" s="3"/>
    </row>
    <row r="817" spans="3:6" ht="14.5">
      <c r="C817" s="3"/>
      <c r="D817" s="3"/>
      <c r="E817" s="3"/>
      <c r="F817" s="3"/>
    </row>
    <row r="818" spans="3:6" ht="14.5">
      <c r="C818" s="3"/>
      <c r="D818" s="3"/>
      <c r="E818" s="3"/>
      <c r="F818" s="3"/>
    </row>
    <row r="819" spans="3:6" ht="14.5">
      <c r="C819" s="3"/>
      <c r="D819" s="3"/>
      <c r="E819" s="3"/>
      <c r="F819" s="3"/>
    </row>
    <row r="820" spans="3:6" ht="14.5">
      <c r="C820" s="3"/>
      <c r="D820" s="3"/>
      <c r="E820" s="3"/>
      <c r="F820" s="3"/>
    </row>
    <row r="821" spans="3:6" ht="14.5">
      <c r="C821" s="3"/>
      <c r="D821" s="3"/>
      <c r="E821" s="3"/>
      <c r="F821" s="3"/>
    </row>
    <row r="822" spans="3:6" ht="14.5">
      <c r="C822" s="3"/>
      <c r="D822" s="3"/>
      <c r="E822" s="3"/>
      <c r="F822" s="3"/>
    </row>
    <row r="823" spans="3:6" ht="14.5">
      <c r="C823" s="3"/>
      <c r="D823" s="3"/>
      <c r="E823" s="3"/>
      <c r="F823" s="3"/>
    </row>
    <row r="824" spans="3:6" ht="14.5">
      <c r="C824" s="3"/>
      <c r="D824" s="3"/>
      <c r="E824" s="3"/>
      <c r="F824" s="3"/>
    </row>
    <row r="825" spans="3:6" ht="14.5">
      <c r="C825" s="3"/>
      <c r="D825" s="3"/>
      <c r="E825" s="3"/>
      <c r="F825" s="3"/>
    </row>
    <row r="826" spans="3:6" ht="14.5">
      <c r="C826" s="3"/>
      <c r="D826" s="3"/>
      <c r="E826" s="3"/>
      <c r="F826" s="3"/>
    </row>
    <row r="827" spans="3:6" ht="14.5">
      <c r="C827" s="3"/>
      <c r="D827" s="3"/>
      <c r="E827" s="3"/>
      <c r="F827" s="3"/>
    </row>
    <row r="828" spans="3:6" ht="14.5">
      <c r="C828" s="3"/>
      <c r="D828" s="3"/>
      <c r="E828" s="3"/>
      <c r="F828" s="3"/>
    </row>
    <row r="829" spans="3:6" ht="14.5">
      <c r="C829" s="3"/>
      <c r="D829" s="3"/>
      <c r="E829" s="3"/>
      <c r="F829" s="3"/>
    </row>
    <row r="830" spans="3:6" ht="14.5">
      <c r="C830" s="3"/>
      <c r="D830" s="3"/>
      <c r="E830" s="3"/>
      <c r="F830" s="3"/>
    </row>
    <row r="831" spans="3:6" ht="14.5">
      <c r="C831" s="3"/>
      <c r="D831" s="3"/>
      <c r="E831" s="3"/>
      <c r="F831" s="3"/>
    </row>
    <row r="832" spans="3:6" ht="14.5">
      <c r="C832" s="3"/>
      <c r="D832" s="3"/>
      <c r="E832" s="3"/>
      <c r="F832" s="3"/>
    </row>
    <row r="833" spans="3:6" ht="14.5">
      <c r="C833" s="3"/>
      <c r="D833" s="3"/>
      <c r="E833" s="3"/>
      <c r="F833" s="3"/>
    </row>
    <row r="834" spans="3:6" ht="14.5">
      <c r="C834" s="3"/>
      <c r="D834" s="3"/>
      <c r="E834" s="3"/>
      <c r="F834" s="3"/>
    </row>
    <row r="835" spans="3:6" ht="14.5">
      <c r="C835" s="3"/>
      <c r="D835" s="3"/>
      <c r="E835" s="3"/>
      <c r="F835" s="3"/>
    </row>
    <row r="836" spans="3:6" ht="14.5">
      <c r="C836" s="3"/>
      <c r="D836" s="3"/>
      <c r="E836" s="3"/>
      <c r="F836" s="3"/>
    </row>
    <row r="837" spans="3:6" ht="14.5">
      <c r="C837" s="3"/>
      <c r="D837" s="3"/>
      <c r="E837" s="3"/>
      <c r="F837" s="3"/>
    </row>
    <row r="838" spans="3:6" ht="14.5">
      <c r="C838" s="3"/>
      <c r="D838" s="3"/>
      <c r="E838" s="3"/>
      <c r="F838" s="3"/>
    </row>
    <row r="839" spans="3:6" ht="14.5">
      <c r="C839" s="3"/>
      <c r="D839" s="3"/>
      <c r="E839" s="3"/>
      <c r="F839" s="3"/>
    </row>
    <row r="840" spans="3:6" ht="14.5">
      <c r="C840" s="3"/>
      <c r="D840" s="3"/>
      <c r="E840" s="3"/>
      <c r="F840" s="3"/>
    </row>
    <row r="841" spans="3:6" ht="14.5">
      <c r="C841" s="3"/>
      <c r="D841" s="3"/>
      <c r="E841" s="3"/>
      <c r="F841" s="3"/>
    </row>
    <row r="842" spans="3:6" ht="14.5">
      <c r="C842" s="3"/>
      <c r="D842" s="3"/>
      <c r="E842" s="3"/>
      <c r="F842" s="3"/>
    </row>
    <row r="843" spans="3:6" ht="14.5">
      <c r="C843" s="3"/>
      <c r="D843" s="3"/>
      <c r="E843" s="3"/>
      <c r="F843" s="3"/>
    </row>
    <row r="844" spans="3:6" ht="14.5">
      <c r="C844" s="3"/>
      <c r="D844" s="3"/>
      <c r="E844" s="3"/>
      <c r="F844" s="3"/>
    </row>
    <row r="845" spans="3:6" ht="14.5">
      <c r="C845" s="3"/>
      <c r="D845" s="3"/>
      <c r="E845" s="3"/>
      <c r="F845" s="3"/>
    </row>
    <row r="846" spans="3:6" ht="14.5">
      <c r="C846" s="3"/>
      <c r="D846" s="3"/>
      <c r="E846" s="3"/>
      <c r="F846" s="3"/>
    </row>
    <row r="847" spans="3:6" ht="14.5">
      <c r="C847" s="3"/>
      <c r="D847" s="3"/>
      <c r="E847" s="3"/>
      <c r="F847" s="3"/>
    </row>
    <row r="848" spans="3:6" ht="14.5">
      <c r="C848" s="3"/>
      <c r="D848" s="3"/>
      <c r="E848" s="3"/>
      <c r="F848" s="3"/>
    </row>
    <row r="849" spans="3:6" ht="14.5">
      <c r="C849" s="3"/>
      <c r="D849" s="3"/>
      <c r="E849" s="3"/>
      <c r="F849" s="3"/>
    </row>
    <row r="850" spans="3:6" ht="14.5">
      <c r="C850" s="3"/>
      <c r="D850" s="3"/>
      <c r="E850" s="3"/>
      <c r="F850" s="3"/>
    </row>
    <row r="851" spans="3:6" ht="14.5">
      <c r="C851" s="3"/>
      <c r="D851" s="3"/>
      <c r="E851" s="3"/>
      <c r="F851" s="3"/>
    </row>
    <row r="852" spans="3:6" ht="14.5">
      <c r="C852" s="3"/>
      <c r="D852" s="3"/>
      <c r="E852" s="3"/>
      <c r="F852" s="3"/>
    </row>
    <row r="853" spans="3:6" ht="14.5">
      <c r="C853" s="3"/>
      <c r="D853" s="3"/>
      <c r="E853" s="3"/>
      <c r="F853" s="3"/>
    </row>
    <row r="854" spans="3:6" ht="14.5">
      <c r="C854" s="3"/>
      <c r="D854" s="3"/>
      <c r="E854" s="3"/>
      <c r="F854" s="3"/>
    </row>
    <row r="855" spans="3:6" ht="14.5">
      <c r="C855" s="3"/>
      <c r="D855" s="3"/>
      <c r="E855" s="3"/>
      <c r="F855" s="3"/>
    </row>
    <row r="856" spans="3:6" ht="14.5">
      <c r="C856" s="3"/>
      <c r="D856" s="3"/>
      <c r="E856" s="3"/>
      <c r="F856" s="3"/>
    </row>
    <row r="857" spans="3:6" ht="14.5">
      <c r="C857" s="3"/>
      <c r="D857" s="3"/>
      <c r="E857" s="3"/>
      <c r="F857" s="3"/>
    </row>
    <row r="858" spans="3:6" ht="14.5">
      <c r="C858" s="3"/>
      <c r="D858" s="3"/>
      <c r="E858" s="3"/>
      <c r="F858" s="3"/>
    </row>
    <row r="859" spans="3:6" ht="14.5">
      <c r="C859" s="3"/>
      <c r="D859" s="3"/>
      <c r="E859" s="3"/>
      <c r="F859" s="3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location="news_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bestFit="1" customWidth="1"/>
    <col min="2" max="2" width="5.6640625" bestFit="1" customWidth="1"/>
    <col min="3" max="3" width="11.4140625" bestFit="1" customWidth="1"/>
    <col min="4" max="4" width="12.6640625" bestFit="1" customWidth="1"/>
    <col min="5" max="5" width="11.33203125" bestFit="1" customWidth="1"/>
    <col min="6" max="6" width="15.33203125" bestFit="1" customWidth="1"/>
    <col min="7" max="7" width="66.33203125" customWidth="1"/>
  </cols>
  <sheetData>
    <row r="1" spans="1:7" ht="15" customHeight="1">
      <c r="A1" s="124" t="s">
        <v>40</v>
      </c>
      <c r="B1" s="115"/>
      <c r="C1" s="115"/>
      <c r="D1" s="115"/>
      <c r="E1" s="115"/>
      <c r="F1" s="116"/>
      <c r="G1" s="67" t="s">
        <v>86</v>
      </c>
    </row>
    <row r="2" spans="1:7" ht="61.25" customHeight="1">
      <c r="A2" s="123" t="s">
        <v>38</v>
      </c>
      <c r="B2" s="115"/>
      <c r="C2" s="115"/>
      <c r="D2" s="115"/>
      <c r="E2" s="115"/>
      <c r="F2" s="116"/>
      <c r="G2" s="68"/>
    </row>
    <row r="3" spans="1:7" ht="15" customHeight="1">
      <c r="A3" s="117" t="s">
        <v>84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9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62" t="s">
        <v>89</v>
      </c>
      <c r="C7" s="62" t="s">
        <v>90</v>
      </c>
      <c r="D7" s="62" t="s">
        <v>91</v>
      </c>
      <c r="E7" s="63" t="s">
        <v>92</v>
      </c>
      <c r="F7" s="63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2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2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2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2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2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2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2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2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2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2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2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2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2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2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2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2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2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2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2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2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2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2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2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2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2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2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2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2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2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2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2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2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2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2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2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2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2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2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2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2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2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2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2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2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2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2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2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2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2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2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2"/>
    </row>
    <row r="59" spans="1:7" ht="14.5">
      <c r="A59" s="25">
        <v>43894</v>
      </c>
      <c r="B59" s="26">
        <v>8</v>
      </c>
      <c r="C59" s="22"/>
      <c r="D59" s="22">
        <v>1</v>
      </c>
      <c r="E59" s="14"/>
      <c r="F59" s="14"/>
      <c r="G59" s="2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2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2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2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2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2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2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2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2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2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2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2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2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2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2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2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2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2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2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2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2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2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2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2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2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2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2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2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2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2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2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2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2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2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2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2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2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2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2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2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2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2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2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2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2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2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2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2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2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2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2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2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2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2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2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2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2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2"/>
    </row>
    <row r="117" spans="1:7" ht="14.5">
      <c r="A117" s="25">
        <v>43952</v>
      </c>
      <c r="B117" s="26">
        <v>16</v>
      </c>
      <c r="C117" s="22"/>
      <c r="D117" s="22">
        <v>1</v>
      </c>
      <c r="E117" s="14"/>
      <c r="F117" s="14"/>
      <c r="G117" s="2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2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2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2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2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2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10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2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2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2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2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2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2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2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2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2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2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2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2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2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2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2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2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2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2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2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2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2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2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2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2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2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2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2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2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2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2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2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2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2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2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2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2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2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2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2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2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2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2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2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2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2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2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2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2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2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2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2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2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2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2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2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2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2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2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2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2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2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2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2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2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2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2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2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2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2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2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2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2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2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2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2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2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2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2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2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2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2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2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2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2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2"/>
    </row>
    <row r="209" spans="1:7" ht="14.5">
      <c r="A209" s="25">
        <v>44044</v>
      </c>
      <c r="B209" s="26">
        <v>29</v>
      </c>
      <c r="C209" s="22">
        <v>1</v>
      </c>
      <c r="D209" s="22"/>
      <c r="E209" s="14"/>
      <c r="F209" s="14"/>
      <c r="G209" s="2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2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2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2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2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2"/>
    </row>
    <row r="215" spans="1:7" ht="14.5">
      <c r="A215" s="25">
        <v>44050</v>
      </c>
      <c r="B215" s="26">
        <v>30</v>
      </c>
      <c r="C215" s="22">
        <f t="shared" ref="C215:C217" si="0">4/3</f>
        <v>1.3333333333333333</v>
      </c>
      <c r="D215" s="22"/>
      <c r="E215" s="14"/>
      <c r="F215" s="14"/>
      <c r="G215" s="2"/>
    </row>
    <row r="216" spans="1:7" ht="14.5">
      <c r="A216" s="25">
        <v>44051</v>
      </c>
      <c r="B216" s="26">
        <v>30</v>
      </c>
      <c r="C216" s="22">
        <f t="shared" si="0"/>
        <v>1.3333333333333333</v>
      </c>
      <c r="D216" s="22"/>
      <c r="E216" s="14"/>
      <c r="F216" s="14"/>
      <c r="G216" s="2"/>
    </row>
    <row r="217" spans="1:7" ht="14.5">
      <c r="A217" s="25">
        <v>44052</v>
      </c>
      <c r="B217" s="26">
        <v>30</v>
      </c>
      <c r="C217" s="22">
        <f t="shared" si="0"/>
        <v>1.3333333333333333</v>
      </c>
      <c r="D217" s="22"/>
      <c r="E217" s="12"/>
      <c r="F217" s="14"/>
      <c r="G217" s="2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2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2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2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2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2"/>
    </row>
    <row r="223" spans="1:7" ht="14.5">
      <c r="A223" s="25">
        <v>44058</v>
      </c>
      <c r="B223" s="26">
        <v>31</v>
      </c>
      <c r="C223" s="22">
        <v>1</v>
      </c>
      <c r="D223" s="22"/>
      <c r="E223" s="14"/>
      <c r="F223" s="14"/>
      <c r="G223" s="2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2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2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2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2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2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2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2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2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10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2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2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2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2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2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2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2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2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2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2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2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2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2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2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2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2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2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2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2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2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2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2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2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2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2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2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2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2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2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2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2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2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2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2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2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2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2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2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2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2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2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2"/>
    </row>
    <row r="275" spans="1:7" ht="14.5">
      <c r="A275" s="25">
        <v>44110</v>
      </c>
      <c r="B275" s="26">
        <v>39</v>
      </c>
      <c r="C275" s="22">
        <v>1</v>
      </c>
      <c r="D275" s="22"/>
      <c r="E275" s="14"/>
      <c r="F275" s="14"/>
      <c r="G275" s="2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2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2"/>
    </row>
    <row r="278" spans="1:7" ht="14.5">
      <c r="A278" s="25">
        <v>44113</v>
      </c>
      <c r="B278" s="26">
        <v>39</v>
      </c>
      <c r="C278" s="22">
        <v>2</v>
      </c>
      <c r="D278" s="22"/>
      <c r="E278" s="14"/>
      <c r="F278" s="14"/>
      <c r="G278" s="2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2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2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2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2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2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2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2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2"/>
    </row>
    <row r="287" spans="1:7" ht="14.5">
      <c r="A287" s="25">
        <v>44122</v>
      </c>
      <c r="B287" s="26">
        <v>40</v>
      </c>
      <c r="C287" s="22">
        <v>1</v>
      </c>
      <c r="D287" s="22"/>
      <c r="E287" s="14"/>
      <c r="F287" s="14"/>
      <c r="G287" s="2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2"/>
    </row>
    <row r="289" spans="1:7" ht="14.5">
      <c r="A289" s="25">
        <v>44124</v>
      </c>
      <c r="B289" s="26">
        <v>41</v>
      </c>
      <c r="C289" s="22">
        <v>1</v>
      </c>
      <c r="D289" s="22"/>
      <c r="E289" s="12"/>
      <c r="F289" s="14"/>
      <c r="G289" s="2"/>
    </row>
    <row r="290" spans="1:7" ht="14.5">
      <c r="A290" s="25">
        <v>44125</v>
      </c>
      <c r="B290" s="26">
        <v>41</v>
      </c>
      <c r="C290" s="22">
        <v>1</v>
      </c>
      <c r="D290" s="22"/>
      <c r="E290" s="14"/>
      <c r="F290" s="14"/>
      <c r="G290" s="2"/>
    </row>
    <row r="291" spans="1:7" ht="14.5">
      <c r="A291" s="25">
        <v>44126</v>
      </c>
      <c r="B291" s="26">
        <v>41</v>
      </c>
      <c r="C291" s="22">
        <v>1</v>
      </c>
      <c r="D291" s="22"/>
      <c r="E291" s="14"/>
      <c r="F291" s="14"/>
      <c r="G291" s="2"/>
    </row>
    <row r="292" spans="1:7" ht="14.5">
      <c r="A292" s="25">
        <v>44127</v>
      </c>
      <c r="B292" s="26">
        <v>41</v>
      </c>
      <c r="C292" s="22">
        <v>1</v>
      </c>
      <c r="D292" s="22"/>
      <c r="E292" s="14"/>
      <c r="F292" s="14"/>
      <c r="G292" s="2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2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2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2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2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2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2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2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2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2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2"/>
    </row>
    <row r="303" spans="1:7" ht="14.5">
      <c r="A303" s="25">
        <v>44138</v>
      </c>
      <c r="B303" s="26">
        <v>43</v>
      </c>
      <c r="C303" s="22"/>
      <c r="D303" s="22">
        <v>1</v>
      </c>
      <c r="E303" s="12"/>
      <c r="F303" s="14"/>
      <c r="G303" s="2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2"/>
    </row>
    <row r="305" spans="1:7" ht="14.5">
      <c r="A305" s="25">
        <v>44140</v>
      </c>
      <c r="B305" s="26">
        <v>43</v>
      </c>
      <c r="C305" s="22">
        <f>1/4</f>
        <v>0.25</v>
      </c>
      <c r="D305" s="22">
        <f>(1/4)+1</f>
        <v>1.25</v>
      </c>
      <c r="E305" s="14"/>
      <c r="F305" s="14"/>
      <c r="G305" s="2"/>
    </row>
    <row r="306" spans="1:7" ht="14.5">
      <c r="A306" s="25">
        <v>44141</v>
      </c>
      <c r="B306" s="26">
        <v>43</v>
      </c>
      <c r="C306" s="22">
        <f t="shared" ref="C306:C308" si="1">(5/6)+(1/4)</f>
        <v>1.0833333333333335</v>
      </c>
      <c r="D306" s="22">
        <f t="shared" ref="D306:D308" si="2">1/4</f>
        <v>0.25</v>
      </c>
      <c r="E306" s="14"/>
      <c r="F306" s="14"/>
      <c r="G306" s="2"/>
    </row>
    <row r="307" spans="1:7" ht="14.5">
      <c r="A307" s="25">
        <v>44142</v>
      </c>
      <c r="B307" s="26">
        <v>43</v>
      </c>
      <c r="C307" s="22">
        <f t="shared" si="1"/>
        <v>1.0833333333333335</v>
      </c>
      <c r="D307" s="22">
        <f t="shared" si="2"/>
        <v>0.25</v>
      </c>
      <c r="E307" s="13"/>
      <c r="F307" s="14"/>
      <c r="G307" s="2"/>
    </row>
    <row r="308" spans="1:7" ht="14.5">
      <c r="A308" s="25">
        <v>44143</v>
      </c>
      <c r="B308" s="26">
        <v>43</v>
      </c>
      <c r="C308" s="22">
        <f t="shared" si="1"/>
        <v>1.0833333333333335</v>
      </c>
      <c r="D308" s="22">
        <f t="shared" si="2"/>
        <v>0.25</v>
      </c>
      <c r="E308" s="14"/>
      <c r="F308" s="14"/>
      <c r="G308" s="2"/>
    </row>
    <row r="309" spans="1:7" ht="14.5">
      <c r="A309" s="25">
        <v>44144</v>
      </c>
      <c r="B309" s="26">
        <v>44</v>
      </c>
      <c r="C309" s="22">
        <f t="shared" ref="C309:C311" si="3">(2/7)+(5/6)</f>
        <v>1.1190476190476191</v>
      </c>
      <c r="D309" s="22">
        <f t="shared" ref="D309:D315" si="4">1/7</f>
        <v>0.14285714285714285</v>
      </c>
      <c r="E309" s="14"/>
      <c r="F309" s="14"/>
      <c r="G309" s="2"/>
    </row>
    <row r="310" spans="1:7" ht="14.5">
      <c r="A310" s="25">
        <v>44145</v>
      </c>
      <c r="B310" s="26">
        <v>44</v>
      </c>
      <c r="C310" s="22">
        <f t="shared" si="3"/>
        <v>1.1190476190476191</v>
      </c>
      <c r="D310" s="22">
        <f t="shared" si="4"/>
        <v>0.14285714285714285</v>
      </c>
      <c r="E310" s="14"/>
      <c r="F310" s="14"/>
      <c r="G310" s="2"/>
    </row>
    <row r="311" spans="1:7" ht="14.5">
      <c r="A311" s="25">
        <v>44146</v>
      </c>
      <c r="B311" s="26">
        <v>44</v>
      </c>
      <c r="C311" s="22">
        <f t="shared" si="3"/>
        <v>1.1190476190476191</v>
      </c>
      <c r="D311" s="22">
        <f t="shared" si="4"/>
        <v>0.14285714285714285</v>
      </c>
      <c r="E311" s="14"/>
      <c r="F311" s="14"/>
      <c r="G311" s="2"/>
    </row>
    <row r="312" spans="1:7" ht="14.5">
      <c r="A312" s="25">
        <v>44147</v>
      </c>
      <c r="B312" s="26">
        <v>44</v>
      </c>
      <c r="C312" s="22">
        <f t="shared" ref="C312:C313" si="5">2/7</f>
        <v>0.2857142857142857</v>
      </c>
      <c r="D312" s="22">
        <f t="shared" si="4"/>
        <v>0.14285714285714285</v>
      </c>
      <c r="E312" s="14"/>
      <c r="F312" s="14"/>
      <c r="G312" s="2"/>
    </row>
    <row r="313" spans="1:7" ht="14.5">
      <c r="A313" s="25">
        <v>44148</v>
      </c>
      <c r="B313" s="26">
        <v>44</v>
      </c>
      <c r="C313" s="22">
        <f t="shared" si="5"/>
        <v>0.2857142857142857</v>
      </c>
      <c r="D313" s="22">
        <f t="shared" si="4"/>
        <v>0.14285714285714285</v>
      </c>
      <c r="E313" s="14"/>
      <c r="F313" s="14"/>
      <c r="G313" s="2"/>
    </row>
    <row r="314" spans="1:7" ht="14.5">
      <c r="A314" s="25">
        <v>44149</v>
      </c>
      <c r="B314" s="26">
        <v>44</v>
      </c>
      <c r="C314" s="22">
        <f t="shared" ref="C314:C315" si="6">1+(2/7)</f>
        <v>1.2857142857142856</v>
      </c>
      <c r="D314" s="22">
        <f t="shared" si="4"/>
        <v>0.14285714285714285</v>
      </c>
      <c r="E314" s="14"/>
      <c r="F314" s="14"/>
      <c r="G314" s="2"/>
    </row>
    <row r="315" spans="1:7" ht="14.5">
      <c r="A315" s="25">
        <v>44150</v>
      </c>
      <c r="B315" s="26">
        <v>44</v>
      </c>
      <c r="C315" s="22">
        <f t="shared" si="6"/>
        <v>1.2857142857142856</v>
      </c>
      <c r="D315" s="22">
        <f t="shared" si="4"/>
        <v>0.14285714285714285</v>
      </c>
      <c r="E315" s="14"/>
      <c r="F315" s="14"/>
      <c r="G315" s="2"/>
    </row>
    <row r="316" spans="1:7" ht="14.5">
      <c r="A316" s="25">
        <v>44151</v>
      </c>
      <c r="B316" s="26">
        <v>45</v>
      </c>
      <c r="C316" s="22">
        <v>2</v>
      </c>
      <c r="D316" s="22"/>
      <c r="E316" s="13"/>
      <c r="F316" s="14"/>
      <c r="G316" s="2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2"/>
    </row>
    <row r="318" spans="1:7" ht="14.5">
      <c r="A318" s="25">
        <v>44153</v>
      </c>
      <c r="B318" s="26">
        <v>45</v>
      </c>
      <c r="C318" s="22">
        <v>2</v>
      </c>
      <c r="D318" s="22"/>
      <c r="E318" s="14"/>
      <c r="F318" s="14"/>
      <c r="G318" s="2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2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2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2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2"/>
    </row>
    <row r="323" spans="1:7" ht="14.5">
      <c r="A323" s="25">
        <v>44158</v>
      </c>
      <c r="B323" s="26">
        <v>46</v>
      </c>
      <c r="C323" s="22">
        <v>1</v>
      </c>
      <c r="D323" s="22"/>
      <c r="E323" s="14"/>
      <c r="F323" s="14"/>
      <c r="G323" s="2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2"/>
    </row>
    <row r="325" spans="1:7" ht="14.5">
      <c r="A325" s="25">
        <v>44160</v>
      </c>
      <c r="B325" s="26">
        <v>46</v>
      </c>
      <c r="C325" s="22"/>
      <c r="D325" s="22">
        <v>1</v>
      </c>
      <c r="E325" s="14"/>
      <c r="F325" s="14"/>
      <c r="G325" s="2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2"/>
    </row>
    <row r="327" spans="1:7" ht="14.5">
      <c r="A327" s="25">
        <v>44162</v>
      </c>
      <c r="B327" s="26">
        <v>46</v>
      </c>
      <c r="C327" s="22">
        <v>1</v>
      </c>
      <c r="D327" s="22"/>
      <c r="E327" s="14"/>
      <c r="F327" s="14"/>
      <c r="G327" s="2"/>
    </row>
    <row r="328" spans="1:7" ht="14.5">
      <c r="A328" s="25">
        <v>44163</v>
      </c>
      <c r="B328" s="26">
        <v>46</v>
      </c>
      <c r="C328" s="22">
        <v>1</v>
      </c>
      <c r="D328" s="22"/>
      <c r="E328" s="12"/>
      <c r="F328" s="14"/>
      <c r="G328" s="2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2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2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2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2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2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2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2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2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2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2"/>
    </row>
    <row r="339" spans="1:7" ht="14.5">
      <c r="A339" s="25">
        <v>44174</v>
      </c>
      <c r="B339" s="26">
        <v>48</v>
      </c>
      <c r="C339" s="22">
        <v>1</v>
      </c>
      <c r="D339" s="22"/>
      <c r="E339" s="14"/>
      <c r="F339" s="14"/>
      <c r="G339" s="2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2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2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2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2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2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2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2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2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2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2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2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2"/>
    </row>
    <row r="352" spans="1:7" ht="14.5">
      <c r="A352" s="25">
        <v>44187</v>
      </c>
      <c r="B352" s="26">
        <v>50</v>
      </c>
      <c r="C352" s="22">
        <v>1</v>
      </c>
      <c r="D352" s="22"/>
      <c r="E352" s="14"/>
      <c r="F352" s="14"/>
      <c r="G352" s="2"/>
    </row>
    <row r="353" spans="1:7" ht="14.5">
      <c r="A353" s="25">
        <v>44188</v>
      </c>
      <c r="B353" s="26">
        <v>50</v>
      </c>
      <c r="C353" s="22">
        <v>1</v>
      </c>
      <c r="D353" s="22"/>
      <c r="E353" s="12"/>
      <c r="F353" s="14"/>
      <c r="G353" s="2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2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2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2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2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2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2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2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2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2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2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2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2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>
        <f t="shared" ref="C367:C373" si="7">3/7</f>
        <v>0.42857142857142855</v>
      </c>
      <c r="D367" s="22"/>
      <c r="E367" s="14"/>
      <c r="F367" s="14"/>
      <c r="G367" s="110"/>
    </row>
    <row r="368" spans="1:7" ht="14.5">
      <c r="A368" s="25">
        <v>44203</v>
      </c>
      <c r="B368" s="26">
        <v>1</v>
      </c>
      <c r="C368" s="22">
        <f t="shared" si="7"/>
        <v>0.42857142857142855</v>
      </c>
      <c r="D368" s="22"/>
      <c r="E368" s="14"/>
      <c r="F368" s="14"/>
      <c r="G368" s="110"/>
    </row>
    <row r="369" spans="1:7" ht="14.5">
      <c r="A369" s="25">
        <v>44204</v>
      </c>
      <c r="B369" s="26">
        <v>1</v>
      </c>
      <c r="C369" s="22">
        <f t="shared" si="7"/>
        <v>0.42857142857142855</v>
      </c>
      <c r="D369" s="22"/>
      <c r="E369" s="14"/>
      <c r="F369" s="14"/>
      <c r="G369" s="2"/>
    </row>
    <row r="370" spans="1:7" ht="14.5">
      <c r="A370" s="25">
        <v>44205</v>
      </c>
      <c r="B370" s="26">
        <v>1</v>
      </c>
      <c r="C370" s="22">
        <f t="shared" si="7"/>
        <v>0.42857142857142855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>
        <f t="shared" si="7"/>
        <v>0.42857142857142855</v>
      </c>
      <c r="D371" s="22"/>
      <c r="E371" s="14"/>
      <c r="F371" s="14"/>
      <c r="G371" s="110"/>
    </row>
    <row r="372" spans="1:7" ht="14.5">
      <c r="A372" s="25">
        <v>44207</v>
      </c>
      <c r="B372" s="26">
        <v>2</v>
      </c>
      <c r="C372" s="22">
        <f t="shared" si="7"/>
        <v>0.42857142857142855</v>
      </c>
      <c r="D372" s="22"/>
      <c r="E372" s="14"/>
      <c r="F372" s="14"/>
      <c r="G372" s="2"/>
    </row>
    <row r="373" spans="1:7" ht="14.5">
      <c r="A373" s="25">
        <v>44208</v>
      </c>
      <c r="B373" s="26">
        <v>2</v>
      </c>
      <c r="C373" s="22">
        <f t="shared" si="7"/>
        <v>0.42857142857142855</v>
      </c>
      <c r="D373" s="22"/>
      <c r="E373" s="14"/>
      <c r="F373" s="14"/>
      <c r="G373" s="2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2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2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10"/>
    </row>
    <row r="378" spans="1:7" ht="14.5">
      <c r="A378" s="25">
        <v>44213</v>
      </c>
      <c r="B378" s="26">
        <v>2</v>
      </c>
      <c r="C378" s="22"/>
      <c r="D378" s="22"/>
      <c r="E378" s="23"/>
      <c r="F378" s="14"/>
      <c r="G378" s="2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2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2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2"/>
    </row>
    <row r="382" spans="1:7" ht="14.5">
      <c r="A382" s="25">
        <v>44217</v>
      </c>
      <c r="B382" s="26">
        <v>3</v>
      </c>
      <c r="C382" s="22">
        <f t="shared" ref="C382:D382" si="8">1/5</f>
        <v>0.2</v>
      </c>
      <c r="D382" s="22">
        <f t="shared" si="8"/>
        <v>0.2</v>
      </c>
      <c r="E382" s="14"/>
      <c r="F382" s="14"/>
      <c r="G382" s="2"/>
    </row>
    <row r="383" spans="1:7" ht="14.5">
      <c r="A383" s="25">
        <v>44218</v>
      </c>
      <c r="B383" s="26">
        <v>3</v>
      </c>
      <c r="C383" s="22">
        <f t="shared" ref="C383:D383" si="9">1/5</f>
        <v>0.2</v>
      </c>
      <c r="D383" s="22">
        <f t="shared" si="9"/>
        <v>0.2</v>
      </c>
      <c r="E383" s="14"/>
      <c r="F383" s="14"/>
      <c r="G383" s="2"/>
    </row>
    <row r="384" spans="1:7" ht="14.5">
      <c r="A384" s="25">
        <v>44219</v>
      </c>
      <c r="B384" s="26">
        <v>3</v>
      </c>
      <c r="C384" s="22">
        <f t="shared" ref="C384:D384" si="10">1/5</f>
        <v>0.2</v>
      </c>
      <c r="D384" s="22">
        <f t="shared" si="10"/>
        <v>0.2</v>
      </c>
      <c r="E384" s="12"/>
      <c r="F384" s="14"/>
      <c r="G384" s="2"/>
    </row>
    <row r="385" spans="1:7" ht="14.5">
      <c r="A385" s="25">
        <v>44220</v>
      </c>
      <c r="B385" s="26">
        <v>3</v>
      </c>
      <c r="C385" s="22">
        <f t="shared" ref="C385:D385" si="11">1/5</f>
        <v>0.2</v>
      </c>
      <c r="D385" s="22">
        <f t="shared" si="11"/>
        <v>0.2</v>
      </c>
      <c r="E385" s="14"/>
      <c r="F385" s="14"/>
      <c r="G385" s="2"/>
    </row>
    <row r="386" spans="1:7" ht="14.5">
      <c r="A386" s="25">
        <v>44221</v>
      </c>
      <c r="B386" s="26">
        <v>4</v>
      </c>
      <c r="C386" s="22">
        <f t="shared" ref="C386:D386" si="12">1/5</f>
        <v>0.2</v>
      </c>
      <c r="D386" s="22">
        <f t="shared" si="12"/>
        <v>0.2</v>
      </c>
      <c r="E386" s="14"/>
      <c r="F386" s="14"/>
      <c r="G386" s="2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2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2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2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2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2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2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2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2"/>
    </row>
    <row r="395" spans="1:7" ht="14.5">
      <c r="A395" s="25">
        <v>44230</v>
      </c>
      <c r="B395" s="26">
        <v>5</v>
      </c>
      <c r="C395" s="22">
        <v>1</v>
      </c>
      <c r="D395" s="22">
        <v>1</v>
      </c>
      <c r="E395" s="14"/>
      <c r="F395" s="14"/>
      <c r="G395" s="2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2"/>
    </row>
    <row r="397" spans="1:7" ht="14.5">
      <c r="A397" s="25">
        <v>44232</v>
      </c>
      <c r="B397" s="26">
        <v>5</v>
      </c>
      <c r="C397" s="22"/>
      <c r="D397" s="22"/>
      <c r="E397" s="14"/>
      <c r="F397" s="14"/>
      <c r="G397" s="15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2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2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2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2"/>
    </row>
    <row r="402" spans="1:7" ht="14.5">
      <c r="A402" s="25">
        <v>44237</v>
      </c>
      <c r="B402" s="26">
        <v>6</v>
      </c>
      <c r="C402" s="22">
        <v>1</v>
      </c>
      <c r="D402" s="22"/>
      <c r="E402" s="14"/>
      <c r="F402" s="14"/>
      <c r="G402" s="2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2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2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2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2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2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2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2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2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2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2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2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2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2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2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2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2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2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2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2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2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2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2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2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2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2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2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2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2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2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2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2"/>
    </row>
    <row r="434" spans="1:7" ht="14.5">
      <c r="A434" s="25">
        <v>44269</v>
      </c>
      <c r="B434" s="26">
        <v>10</v>
      </c>
      <c r="C434" s="22">
        <v>1</v>
      </c>
      <c r="D434" s="22"/>
      <c r="E434" s="14"/>
      <c r="F434" s="14"/>
      <c r="G434" s="2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2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2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2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2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2"/>
    </row>
    <row r="440" spans="1:7" ht="14.5">
      <c r="A440" s="25">
        <v>44275</v>
      </c>
      <c r="B440" s="26">
        <v>11</v>
      </c>
      <c r="C440" s="22">
        <v>1</v>
      </c>
      <c r="D440" s="22"/>
      <c r="E440" s="14"/>
      <c r="F440" s="14"/>
      <c r="G440" s="2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2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2"/>
    </row>
    <row r="443" spans="1:7" ht="14.5">
      <c r="A443" s="25">
        <v>44278</v>
      </c>
      <c r="B443" s="26">
        <v>12</v>
      </c>
      <c r="C443" s="22">
        <v>1</v>
      </c>
      <c r="D443" s="22"/>
      <c r="E443" s="14"/>
      <c r="F443" s="14"/>
      <c r="G443" s="2"/>
    </row>
    <row r="444" spans="1:7" ht="14.5">
      <c r="A444" s="25">
        <v>44279</v>
      </c>
      <c r="B444" s="26">
        <v>12</v>
      </c>
      <c r="C444" s="22"/>
      <c r="D444" s="22"/>
      <c r="E444" s="14"/>
      <c r="F444" s="14"/>
      <c r="G444" s="15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2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2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2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2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2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2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2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2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2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2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2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2"/>
    </row>
    <row r="457" spans="1:7" ht="14.5">
      <c r="A457" s="25">
        <v>44292</v>
      </c>
      <c r="B457" s="26">
        <v>14</v>
      </c>
      <c r="C457" s="22">
        <v>1</v>
      </c>
      <c r="D457" s="22"/>
      <c r="E457" s="14"/>
      <c r="F457" s="14"/>
      <c r="G457" s="2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2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2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2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2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2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2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2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2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2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2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2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2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2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10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2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2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2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2"/>
    </row>
    <row r="477" spans="1:7" ht="14.5">
      <c r="A477" s="25">
        <v>44312</v>
      </c>
      <c r="B477" s="26">
        <v>17</v>
      </c>
      <c r="C477" s="22">
        <f t="shared" ref="C477:C481" si="13">2/6</f>
        <v>0.33333333333333331</v>
      </c>
      <c r="D477" s="22">
        <f t="shared" ref="D477:D482" si="14">1/6</f>
        <v>0.16666666666666666</v>
      </c>
      <c r="E477" s="14"/>
      <c r="F477" s="14"/>
      <c r="G477" s="2"/>
    </row>
    <row r="478" spans="1:7" ht="14.5">
      <c r="A478" s="25">
        <v>44313</v>
      </c>
      <c r="B478" s="26">
        <v>17</v>
      </c>
      <c r="C478" s="22">
        <f t="shared" si="13"/>
        <v>0.33333333333333331</v>
      </c>
      <c r="D478" s="22">
        <f t="shared" si="14"/>
        <v>0.16666666666666666</v>
      </c>
      <c r="E478" s="14"/>
      <c r="F478" s="14"/>
      <c r="G478" s="2"/>
    </row>
    <row r="479" spans="1:7" ht="14.5">
      <c r="A479" s="25">
        <v>44314</v>
      </c>
      <c r="B479" s="26">
        <v>17</v>
      </c>
      <c r="C479" s="22">
        <f t="shared" si="13"/>
        <v>0.33333333333333331</v>
      </c>
      <c r="D479" s="22">
        <f t="shared" si="14"/>
        <v>0.16666666666666666</v>
      </c>
      <c r="E479" s="14"/>
      <c r="F479" s="14"/>
      <c r="G479" s="2"/>
    </row>
    <row r="480" spans="1:7" ht="14.5">
      <c r="A480" s="25">
        <v>44315</v>
      </c>
      <c r="B480" s="26">
        <v>17</v>
      </c>
      <c r="C480" s="22">
        <f t="shared" si="13"/>
        <v>0.33333333333333331</v>
      </c>
      <c r="D480" s="22">
        <f t="shared" si="14"/>
        <v>0.16666666666666666</v>
      </c>
      <c r="E480" s="14"/>
      <c r="F480" s="14"/>
      <c r="G480" s="2"/>
    </row>
    <row r="481" spans="1:7" ht="14.5">
      <c r="A481" s="25">
        <v>44316</v>
      </c>
      <c r="B481" s="26">
        <v>17</v>
      </c>
      <c r="C481" s="22">
        <f t="shared" si="13"/>
        <v>0.33333333333333331</v>
      </c>
      <c r="D481" s="22">
        <f t="shared" si="14"/>
        <v>0.16666666666666666</v>
      </c>
      <c r="E481" s="14"/>
      <c r="F481" s="14"/>
      <c r="G481" s="2"/>
    </row>
    <row r="482" spans="1:7" ht="14.5">
      <c r="A482" s="25">
        <v>44317</v>
      </c>
      <c r="B482" s="26">
        <v>17</v>
      </c>
      <c r="C482" s="22">
        <f>(5/8)+(2/6)</f>
        <v>0.95833333333333326</v>
      </c>
      <c r="D482" s="22">
        <f t="shared" si="14"/>
        <v>0.16666666666666666</v>
      </c>
      <c r="E482" s="14"/>
      <c r="F482" s="14"/>
      <c r="G482" s="15"/>
    </row>
    <row r="483" spans="1:7" ht="14.5">
      <c r="A483" s="25">
        <v>44318</v>
      </c>
      <c r="B483" s="26">
        <v>17</v>
      </c>
      <c r="C483" s="22">
        <f t="shared" ref="C483:C485" si="15">5/8</f>
        <v>0.625</v>
      </c>
      <c r="D483" s="22"/>
      <c r="E483" s="14"/>
      <c r="F483" s="14"/>
      <c r="G483" s="2"/>
    </row>
    <row r="484" spans="1:7" ht="14.5">
      <c r="A484" s="25">
        <v>44319</v>
      </c>
      <c r="B484" s="26">
        <v>18</v>
      </c>
      <c r="C484" s="22">
        <f t="shared" si="15"/>
        <v>0.625</v>
      </c>
      <c r="D484" s="22"/>
      <c r="E484" s="14"/>
      <c r="F484" s="14"/>
      <c r="G484" s="2"/>
    </row>
    <row r="485" spans="1:7" ht="14.5">
      <c r="A485" s="25">
        <v>44320</v>
      </c>
      <c r="B485" s="26">
        <v>18</v>
      </c>
      <c r="C485" s="22">
        <f t="shared" si="15"/>
        <v>0.625</v>
      </c>
      <c r="D485" s="22"/>
      <c r="E485" s="14"/>
      <c r="F485" s="14"/>
      <c r="G485" s="2"/>
    </row>
    <row r="486" spans="1:7" ht="14.5">
      <c r="A486" s="25">
        <v>44321</v>
      </c>
      <c r="B486" s="26">
        <v>18</v>
      </c>
      <c r="C486" s="22">
        <f t="shared" ref="C486:C489" si="16">(4/16)+(5/8)</f>
        <v>0.875</v>
      </c>
      <c r="D486" s="22">
        <f t="shared" ref="D486:D501" si="17">1/16</f>
        <v>6.25E-2</v>
      </c>
      <c r="E486" s="14"/>
      <c r="F486" s="14"/>
      <c r="G486" s="2"/>
    </row>
    <row r="487" spans="1:7" ht="14.5">
      <c r="A487" s="25">
        <v>44322</v>
      </c>
      <c r="B487" s="26">
        <v>18</v>
      </c>
      <c r="C487" s="22">
        <f t="shared" si="16"/>
        <v>0.875</v>
      </c>
      <c r="D487" s="22">
        <f t="shared" si="17"/>
        <v>6.25E-2</v>
      </c>
      <c r="E487" s="14"/>
      <c r="F487" s="14"/>
      <c r="G487" s="2"/>
    </row>
    <row r="488" spans="1:7" ht="14.5">
      <c r="A488" s="25">
        <v>44323</v>
      </c>
      <c r="B488" s="26">
        <v>18</v>
      </c>
      <c r="C488" s="22">
        <f t="shared" si="16"/>
        <v>0.875</v>
      </c>
      <c r="D488" s="22">
        <f t="shared" si="17"/>
        <v>6.25E-2</v>
      </c>
      <c r="E488" s="14"/>
      <c r="F488" s="14"/>
      <c r="G488" s="2"/>
    </row>
    <row r="489" spans="1:7" ht="14.5">
      <c r="A489" s="25">
        <v>44324</v>
      </c>
      <c r="B489" s="26">
        <v>18</v>
      </c>
      <c r="C489" s="22">
        <f t="shared" si="16"/>
        <v>0.875</v>
      </c>
      <c r="D489" s="22">
        <f t="shared" si="17"/>
        <v>6.25E-2</v>
      </c>
      <c r="E489" s="14"/>
      <c r="F489" s="14"/>
      <c r="G489" s="2"/>
    </row>
    <row r="490" spans="1:7" ht="14.5">
      <c r="A490" s="25">
        <v>44325</v>
      </c>
      <c r="B490" s="26">
        <v>18</v>
      </c>
      <c r="C490" s="22">
        <f t="shared" ref="C490:C497" si="18">4/16</f>
        <v>0.25</v>
      </c>
      <c r="D490" s="22">
        <f t="shared" si="17"/>
        <v>6.25E-2</v>
      </c>
      <c r="E490" s="14"/>
      <c r="F490" s="14"/>
      <c r="G490" s="2"/>
    </row>
    <row r="491" spans="1:7" ht="14.5">
      <c r="A491" s="25">
        <v>44326</v>
      </c>
      <c r="B491" s="26">
        <v>19</v>
      </c>
      <c r="C491" s="22">
        <f t="shared" si="18"/>
        <v>0.25</v>
      </c>
      <c r="D491" s="22">
        <f t="shared" si="17"/>
        <v>6.25E-2</v>
      </c>
      <c r="E491" s="14"/>
      <c r="F491" s="14"/>
      <c r="G491" s="2"/>
    </row>
    <row r="492" spans="1:7" ht="14.5">
      <c r="A492" s="25">
        <v>44327</v>
      </c>
      <c r="B492" s="26">
        <v>19</v>
      </c>
      <c r="C492" s="22">
        <f t="shared" si="18"/>
        <v>0.25</v>
      </c>
      <c r="D492" s="22">
        <f t="shared" si="17"/>
        <v>6.25E-2</v>
      </c>
      <c r="E492" s="14"/>
      <c r="F492" s="14"/>
      <c r="G492" s="2"/>
    </row>
    <row r="493" spans="1:7" ht="14.5">
      <c r="A493" s="25">
        <v>44328</v>
      </c>
      <c r="B493" s="26">
        <v>19</v>
      </c>
      <c r="C493" s="22">
        <f t="shared" si="18"/>
        <v>0.25</v>
      </c>
      <c r="D493" s="22">
        <f t="shared" si="17"/>
        <v>6.25E-2</v>
      </c>
      <c r="E493" s="14"/>
      <c r="F493" s="14"/>
      <c r="G493" s="2"/>
    </row>
    <row r="494" spans="1:7" ht="14.5">
      <c r="A494" s="25">
        <v>44329</v>
      </c>
      <c r="B494" s="26">
        <v>19</v>
      </c>
      <c r="C494" s="22">
        <f t="shared" si="18"/>
        <v>0.25</v>
      </c>
      <c r="D494" s="22">
        <f t="shared" si="17"/>
        <v>6.25E-2</v>
      </c>
      <c r="E494" s="14"/>
      <c r="F494" s="14"/>
      <c r="G494" s="2"/>
    </row>
    <row r="495" spans="1:7" ht="14.5">
      <c r="A495" s="25">
        <v>44330</v>
      </c>
      <c r="B495" s="26">
        <v>19</v>
      </c>
      <c r="C495" s="22">
        <f t="shared" si="18"/>
        <v>0.25</v>
      </c>
      <c r="D495" s="22">
        <f t="shared" si="17"/>
        <v>6.25E-2</v>
      </c>
      <c r="E495" s="14"/>
      <c r="F495" s="14"/>
      <c r="G495" s="2"/>
    </row>
    <row r="496" spans="1:7" ht="14.5">
      <c r="A496" s="25">
        <v>44331</v>
      </c>
      <c r="B496" s="26">
        <v>19</v>
      </c>
      <c r="C496" s="22">
        <f t="shared" si="18"/>
        <v>0.25</v>
      </c>
      <c r="D496" s="22">
        <f t="shared" si="17"/>
        <v>6.25E-2</v>
      </c>
      <c r="E496" s="14"/>
      <c r="F496" s="14"/>
      <c r="G496" s="2"/>
    </row>
    <row r="497" spans="1:7" ht="14.5">
      <c r="A497" s="25">
        <v>44332</v>
      </c>
      <c r="B497" s="26">
        <v>19</v>
      </c>
      <c r="C497" s="22">
        <f t="shared" si="18"/>
        <v>0.25</v>
      </c>
      <c r="D497" s="22">
        <f t="shared" si="17"/>
        <v>6.25E-2</v>
      </c>
      <c r="E497" s="14"/>
      <c r="F497" s="14"/>
      <c r="G497" s="2"/>
    </row>
    <row r="498" spans="1:7" ht="14.5">
      <c r="A498" s="25">
        <v>44333</v>
      </c>
      <c r="B498" s="26">
        <v>20</v>
      </c>
      <c r="C498" s="22">
        <f t="shared" ref="C498:C501" si="19">(6/10)+(4/16)</f>
        <v>0.85</v>
      </c>
      <c r="D498" s="22">
        <f t="shared" si="17"/>
        <v>6.25E-2</v>
      </c>
      <c r="E498" s="14"/>
      <c r="F498" s="14"/>
      <c r="G498" s="2"/>
    </row>
    <row r="499" spans="1:7" ht="14.5">
      <c r="A499" s="25">
        <v>44334</v>
      </c>
      <c r="B499" s="26">
        <v>20</v>
      </c>
      <c r="C499" s="22">
        <f t="shared" si="19"/>
        <v>0.85</v>
      </c>
      <c r="D499" s="22">
        <f t="shared" si="17"/>
        <v>6.25E-2</v>
      </c>
      <c r="E499" s="14"/>
      <c r="F499" s="14"/>
      <c r="G499" s="2"/>
    </row>
    <row r="500" spans="1:7" ht="14.5">
      <c r="A500" s="25">
        <v>44335</v>
      </c>
      <c r="B500" s="26">
        <v>20</v>
      </c>
      <c r="C500" s="22">
        <f t="shared" si="19"/>
        <v>0.85</v>
      </c>
      <c r="D500" s="22">
        <f t="shared" si="17"/>
        <v>6.25E-2</v>
      </c>
      <c r="E500" s="14"/>
      <c r="F500" s="14"/>
      <c r="G500" s="2"/>
    </row>
    <row r="501" spans="1:7" ht="14.5">
      <c r="A501" s="25">
        <v>44336</v>
      </c>
      <c r="B501" s="26">
        <v>20</v>
      </c>
      <c r="C501" s="22">
        <f t="shared" si="19"/>
        <v>0.85</v>
      </c>
      <c r="D501" s="22">
        <f t="shared" si="17"/>
        <v>6.25E-2</v>
      </c>
      <c r="E501" s="14"/>
      <c r="F501" s="14"/>
      <c r="G501" s="2"/>
    </row>
    <row r="502" spans="1:7" ht="14.5">
      <c r="A502" s="25">
        <v>44337</v>
      </c>
      <c r="B502" s="26">
        <v>20</v>
      </c>
      <c r="C502" s="22">
        <f t="shared" ref="C502:C503" si="20">6/10</f>
        <v>0.6</v>
      </c>
      <c r="D502" s="22"/>
      <c r="E502" s="14"/>
      <c r="F502" s="14"/>
      <c r="G502" s="15"/>
    </row>
    <row r="503" spans="1:7" ht="14.5">
      <c r="A503" s="25">
        <v>44338</v>
      </c>
      <c r="B503" s="26">
        <v>20</v>
      </c>
      <c r="C503" s="22">
        <f t="shared" si="20"/>
        <v>0.6</v>
      </c>
      <c r="D503" s="22"/>
      <c r="E503" s="14"/>
      <c r="F503" s="14"/>
      <c r="G503" s="2"/>
    </row>
    <row r="504" spans="1:7" ht="14.5">
      <c r="A504" s="25">
        <v>44339</v>
      </c>
      <c r="B504" s="26">
        <v>20</v>
      </c>
      <c r="C504" s="22">
        <f t="shared" ref="C504:C507" si="21">(6/10)+(2/18)</f>
        <v>0.71111111111111103</v>
      </c>
      <c r="D504" s="22">
        <f t="shared" ref="D504:D521" si="22">1/18</f>
        <v>5.5555555555555552E-2</v>
      </c>
      <c r="E504" s="14"/>
      <c r="F504" s="14"/>
      <c r="G504" s="2"/>
    </row>
    <row r="505" spans="1:7" ht="14.5">
      <c r="A505" s="25">
        <v>44340</v>
      </c>
      <c r="B505" s="26">
        <v>21</v>
      </c>
      <c r="C505" s="22">
        <f t="shared" si="21"/>
        <v>0.71111111111111103</v>
      </c>
      <c r="D505" s="22">
        <f t="shared" si="22"/>
        <v>5.5555555555555552E-2</v>
      </c>
      <c r="E505" s="14"/>
      <c r="F505" s="14"/>
      <c r="G505" s="2"/>
    </row>
    <row r="506" spans="1:7" ht="14.5">
      <c r="A506" s="25">
        <v>44341</v>
      </c>
      <c r="B506" s="26">
        <v>21</v>
      </c>
      <c r="C506" s="22">
        <f t="shared" si="21"/>
        <v>0.71111111111111103</v>
      </c>
      <c r="D506" s="22">
        <f t="shared" si="22"/>
        <v>5.5555555555555552E-2</v>
      </c>
      <c r="E506" s="14"/>
      <c r="F506" s="14"/>
      <c r="G506" s="2"/>
    </row>
    <row r="507" spans="1:7" ht="14.5">
      <c r="A507" s="25">
        <v>44342</v>
      </c>
      <c r="B507" s="26">
        <v>21</v>
      </c>
      <c r="C507" s="22">
        <f t="shared" si="21"/>
        <v>0.71111111111111103</v>
      </c>
      <c r="D507" s="22">
        <f t="shared" si="22"/>
        <v>5.5555555555555552E-2</v>
      </c>
      <c r="E507" s="14"/>
      <c r="F507" s="14"/>
      <c r="G507" s="2"/>
    </row>
    <row r="508" spans="1:7" ht="14.5">
      <c r="A508" s="25">
        <v>44343</v>
      </c>
      <c r="B508" s="26">
        <v>21</v>
      </c>
      <c r="C508" s="22">
        <f t="shared" ref="C508:C521" si="23">2/18</f>
        <v>0.1111111111111111</v>
      </c>
      <c r="D508" s="22">
        <f t="shared" si="22"/>
        <v>5.5555555555555552E-2</v>
      </c>
      <c r="E508" s="14"/>
      <c r="F508" s="14"/>
      <c r="G508" s="2"/>
    </row>
    <row r="509" spans="1:7" ht="14.5">
      <c r="A509" s="25">
        <v>44344</v>
      </c>
      <c r="B509" s="26">
        <v>21</v>
      </c>
      <c r="C509" s="22">
        <f t="shared" si="23"/>
        <v>0.1111111111111111</v>
      </c>
      <c r="D509" s="22">
        <f t="shared" si="22"/>
        <v>5.5555555555555552E-2</v>
      </c>
      <c r="E509" s="14"/>
      <c r="F509" s="14"/>
      <c r="G509" s="2"/>
    </row>
    <row r="510" spans="1:7" ht="14.5">
      <c r="A510" s="25">
        <v>44345</v>
      </c>
      <c r="B510" s="26">
        <v>21</v>
      </c>
      <c r="C510" s="22">
        <f t="shared" si="23"/>
        <v>0.1111111111111111</v>
      </c>
      <c r="D510" s="22">
        <f t="shared" si="22"/>
        <v>5.5555555555555552E-2</v>
      </c>
      <c r="E510" s="14"/>
      <c r="F510" s="14"/>
      <c r="G510" s="2"/>
    </row>
    <row r="511" spans="1:7" ht="14.5">
      <c r="A511" s="25">
        <v>44346</v>
      </c>
      <c r="B511" s="26">
        <v>21</v>
      </c>
      <c r="C511" s="22">
        <f t="shared" si="23"/>
        <v>0.1111111111111111</v>
      </c>
      <c r="D511" s="22">
        <f t="shared" si="22"/>
        <v>5.5555555555555552E-2</v>
      </c>
      <c r="E511" s="14"/>
      <c r="F511" s="14"/>
      <c r="G511" s="2"/>
    </row>
    <row r="512" spans="1:7" ht="14.5">
      <c r="A512" s="25">
        <v>44347</v>
      </c>
      <c r="B512" s="26">
        <v>22</v>
      </c>
      <c r="C512" s="22">
        <f t="shared" si="23"/>
        <v>0.1111111111111111</v>
      </c>
      <c r="D512" s="22">
        <f t="shared" si="22"/>
        <v>5.5555555555555552E-2</v>
      </c>
      <c r="E512" s="14"/>
      <c r="F512" s="14"/>
      <c r="G512" s="2"/>
    </row>
    <row r="513" spans="1:7" ht="14.5">
      <c r="A513" s="25">
        <v>44348</v>
      </c>
      <c r="B513" s="26">
        <v>22</v>
      </c>
      <c r="C513" s="22">
        <f t="shared" si="23"/>
        <v>0.1111111111111111</v>
      </c>
      <c r="D513" s="22">
        <f t="shared" si="22"/>
        <v>5.5555555555555552E-2</v>
      </c>
      <c r="E513" s="14"/>
      <c r="F513" s="14"/>
      <c r="G513" s="2"/>
    </row>
    <row r="514" spans="1:7" ht="14.5">
      <c r="A514" s="25">
        <v>44349</v>
      </c>
      <c r="B514" s="26">
        <v>22</v>
      </c>
      <c r="C514" s="22">
        <f t="shared" si="23"/>
        <v>0.1111111111111111</v>
      </c>
      <c r="D514" s="22">
        <f t="shared" si="22"/>
        <v>5.5555555555555552E-2</v>
      </c>
      <c r="E514" s="14"/>
      <c r="F514" s="14"/>
      <c r="G514" s="2"/>
    </row>
    <row r="515" spans="1:7" ht="14.5">
      <c r="A515" s="25">
        <v>44350</v>
      </c>
      <c r="B515" s="26">
        <v>22</v>
      </c>
      <c r="C515" s="22">
        <f t="shared" si="23"/>
        <v>0.1111111111111111</v>
      </c>
      <c r="D515" s="22">
        <f t="shared" si="22"/>
        <v>5.5555555555555552E-2</v>
      </c>
      <c r="E515" s="14"/>
      <c r="F515" s="14"/>
      <c r="G515" s="2"/>
    </row>
    <row r="516" spans="1:7" ht="14.5">
      <c r="A516" s="25">
        <v>44351</v>
      </c>
      <c r="B516" s="26">
        <v>22</v>
      </c>
      <c r="C516" s="22">
        <f t="shared" si="23"/>
        <v>0.1111111111111111</v>
      </c>
      <c r="D516" s="22">
        <f t="shared" si="22"/>
        <v>5.5555555555555552E-2</v>
      </c>
      <c r="E516" s="14"/>
      <c r="F516" s="14"/>
      <c r="G516" s="2"/>
    </row>
    <row r="517" spans="1:7" ht="14.5">
      <c r="A517" s="25">
        <v>44352</v>
      </c>
      <c r="B517" s="26">
        <v>22</v>
      </c>
      <c r="C517" s="22">
        <f t="shared" si="23"/>
        <v>0.1111111111111111</v>
      </c>
      <c r="D517" s="22">
        <f t="shared" si="22"/>
        <v>5.5555555555555552E-2</v>
      </c>
      <c r="E517" s="14"/>
      <c r="F517" s="14"/>
      <c r="G517" s="2"/>
    </row>
    <row r="518" spans="1:7" ht="14.5">
      <c r="A518" s="25">
        <v>44353</v>
      </c>
      <c r="B518" s="26">
        <v>22</v>
      </c>
      <c r="C518" s="22">
        <f t="shared" si="23"/>
        <v>0.1111111111111111</v>
      </c>
      <c r="D518" s="22">
        <f t="shared" si="22"/>
        <v>5.5555555555555552E-2</v>
      </c>
      <c r="E518" s="14"/>
      <c r="F518" s="14"/>
      <c r="G518" s="2"/>
    </row>
    <row r="519" spans="1:7" ht="14.5">
      <c r="A519" s="25">
        <v>44354</v>
      </c>
      <c r="B519" s="26">
        <v>23</v>
      </c>
      <c r="C519" s="22">
        <f t="shared" si="23"/>
        <v>0.1111111111111111</v>
      </c>
      <c r="D519" s="22">
        <f t="shared" si="22"/>
        <v>5.5555555555555552E-2</v>
      </c>
      <c r="E519" s="14"/>
      <c r="F519" s="14"/>
      <c r="G519" s="2"/>
    </row>
    <row r="520" spans="1:7" ht="14.5">
      <c r="A520" s="25">
        <v>44355</v>
      </c>
      <c r="B520" s="26">
        <v>23</v>
      </c>
      <c r="C520" s="22">
        <f t="shared" si="23"/>
        <v>0.1111111111111111</v>
      </c>
      <c r="D520" s="22">
        <f t="shared" si="22"/>
        <v>5.5555555555555552E-2</v>
      </c>
      <c r="E520" s="14"/>
      <c r="F520" s="14"/>
      <c r="G520" s="2"/>
    </row>
    <row r="521" spans="1:7" ht="14.5">
      <c r="A521" s="25">
        <v>44356</v>
      </c>
      <c r="B521" s="26">
        <v>23</v>
      </c>
      <c r="C521" s="22">
        <f t="shared" si="23"/>
        <v>0.1111111111111111</v>
      </c>
      <c r="D521" s="22">
        <f t="shared" si="22"/>
        <v>5.5555555555555552E-2</v>
      </c>
      <c r="E521" s="14"/>
      <c r="F521" s="14"/>
      <c r="G521" s="2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2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2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2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2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2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2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2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2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2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2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2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2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2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2"/>
    </row>
    <row r="536" spans="1:7" ht="14.5">
      <c r="A536" s="25">
        <v>44371</v>
      </c>
      <c r="B536" s="26">
        <v>25</v>
      </c>
      <c r="C536" s="22">
        <v>1</v>
      </c>
      <c r="D536" s="22"/>
      <c r="E536" s="16"/>
      <c r="F536" s="14"/>
      <c r="G536" s="2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2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2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2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2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2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2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2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2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2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2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2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2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2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2"/>
    </row>
    <row r="551" spans="1:7" ht="14.5">
      <c r="A551" s="25">
        <v>44386</v>
      </c>
      <c r="B551" s="22">
        <v>27</v>
      </c>
      <c r="C551" s="22">
        <f>6/16</f>
        <v>0.375</v>
      </c>
      <c r="D551" s="22"/>
      <c r="E551" s="14"/>
      <c r="F551" s="14"/>
      <c r="G551" s="2"/>
    </row>
    <row r="552" spans="1:7" ht="14.5">
      <c r="A552" s="25">
        <v>44387</v>
      </c>
      <c r="B552" s="22">
        <v>27</v>
      </c>
      <c r="C552" s="22">
        <f t="shared" ref="C552:C566" si="24">6/16</f>
        <v>0.375</v>
      </c>
      <c r="D552" s="22"/>
      <c r="E552" s="14"/>
      <c r="F552" s="14"/>
      <c r="G552" s="2"/>
    </row>
    <row r="553" spans="1:7" ht="14.5">
      <c r="A553" s="25">
        <v>44388</v>
      </c>
      <c r="B553" s="22">
        <v>27</v>
      </c>
      <c r="C553" s="22">
        <f t="shared" si="24"/>
        <v>0.375</v>
      </c>
      <c r="D553" s="22"/>
      <c r="E553" s="14"/>
      <c r="F553" s="14"/>
      <c r="G553" s="2"/>
    </row>
    <row r="554" spans="1:7" ht="14.5">
      <c r="A554" s="25">
        <v>44389</v>
      </c>
      <c r="B554" s="22">
        <v>28</v>
      </c>
      <c r="C554" s="22">
        <f t="shared" si="24"/>
        <v>0.375</v>
      </c>
      <c r="D554" s="22"/>
      <c r="E554" s="14"/>
      <c r="F554" s="14"/>
      <c r="G554" s="2"/>
    </row>
    <row r="555" spans="1:7" ht="14.5">
      <c r="A555" s="25">
        <v>44390</v>
      </c>
      <c r="B555" s="22">
        <v>28</v>
      </c>
      <c r="C555" s="22">
        <f t="shared" si="24"/>
        <v>0.375</v>
      </c>
      <c r="D555" s="22"/>
      <c r="E555" s="14"/>
      <c r="F555" s="14"/>
      <c r="G555" s="2"/>
    </row>
    <row r="556" spans="1:7" ht="14.5">
      <c r="A556" s="25">
        <v>44391</v>
      </c>
      <c r="B556" s="22">
        <v>28</v>
      </c>
      <c r="C556" s="22">
        <f t="shared" si="24"/>
        <v>0.375</v>
      </c>
      <c r="D556" s="22"/>
      <c r="E556" s="14"/>
      <c r="F556" s="14"/>
      <c r="G556" s="2"/>
    </row>
    <row r="557" spans="1:7" ht="14.5">
      <c r="A557" s="25">
        <v>44392</v>
      </c>
      <c r="B557" s="22">
        <v>28</v>
      </c>
      <c r="C557" s="22">
        <f t="shared" si="24"/>
        <v>0.375</v>
      </c>
      <c r="D557" s="22"/>
      <c r="E557" s="14"/>
      <c r="F557" s="14"/>
      <c r="G557" s="2"/>
    </row>
    <row r="558" spans="1:7" ht="14.5">
      <c r="A558" s="25">
        <v>44393</v>
      </c>
      <c r="B558" s="22">
        <v>28</v>
      </c>
      <c r="C558" s="22">
        <f t="shared" si="24"/>
        <v>0.375</v>
      </c>
      <c r="D558" s="22"/>
      <c r="E558" s="14"/>
      <c r="F558" s="14"/>
      <c r="G558" s="2"/>
    </row>
    <row r="559" spans="1:7" ht="14.5">
      <c r="A559" s="25">
        <v>44394</v>
      </c>
      <c r="B559" s="22">
        <v>28</v>
      </c>
      <c r="C559" s="22">
        <f t="shared" si="24"/>
        <v>0.375</v>
      </c>
      <c r="D559" s="22"/>
      <c r="E559" s="14"/>
      <c r="F559" s="14"/>
      <c r="G559" s="2"/>
    </row>
    <row r="560" spans="1:7" ht="14.5">
      <c r="A560" s="25">
        <v>44395</v>
      </c>
      <c r="B560" s="22">
        <v>28</v>
      </c>
      <c r="C560" s="22">
        <f t="shared" si="24"/>
        <v>0.375</v>
      </c>
      <c r="D560" s="22"/>
      <c r="E560" s="14"/>
      <c r="F560" s="14"/>
      <c r="G560" s="2"/>
    </row>
    <row r="561" spans="1:7" ht="14.5">
      <c r="A561" s="25">
        <v>44396</v>
      </c>
      <c r="B561" s="22">
        <v>29</v>
      </c>
      <c r="C561" s="22">
        <f t="shared" si="24"/>
        <v>0.375</v>
      </c>
      <c r="D561" s="22"/>
      <c r="E561" s="14"/>
      <c r="F561" s="14"/>
      <c r="G561" s="2"/>
    </row>
    <row r="562" spans="1:7" ht="14.5">
      <c r="A562" s="25">
        <v>44397</v>
      </c>
      <c r="B562" s="22">
        <v>29</v>
      </c>
      <c r="C562" s="22">
        <f t="shared" si="24"/>
        <v>0.375</v>
      </c>
      <c r="D562" s="22"/>
      <c r="E562" s="14"/>
      <c r="F562" s="14"/>
      <c r="G562" s="2"/>
    </row>
    <row r="563" spans="1:7" ht="14.5">
      <c r="A563" s="28">
        <v>44398</v>
      </c>
      <c r="B563" s="22">
        <v>29</v>
      </c>
      <c r="C563" s="22">
        <f t="shared" si="24"/>
        <v>0.375</v>
      </c>
      <c r="D563" s="22"/>
      <c r="E563" s="14"/>
      <c r="F563" s="14"/>
      <c r="G563" s="2"/>
    </row>
    <row r="564" spans="1:7" ht="14.5">
      <c r="A564" s="28">
        <v>44399</v>
      </c>
      <c r="B564" s="22">
        <v>29</v>
      </c>
      <c r="C564" s="22">
        <f t="shared" si="24"/>
        <v>0.375</v>
      </c>
      <c r="D564" s="22"/>
      <c r="E564" s="14"/>
      <c r="F564" s="14"/>
      <c r="G564" s="2"/>
    </row>
    <row r="565" spans="1:7" ht="14.5">
      <c r="A565" s="28">
        <v>44400</v>
      </c>
      <c r="B565" s="22">
        <v>29</v>
      </c>
      <c r="C565" s="22">
        <f t="shared" si="24"/>
        <v>0.375</v>
      </c>
      <c r="D565" s="22"/>
      <c r="E565" s="22"/>
      <c r="F565" s="22"/>
    </row>
    <row r="566" spans="1:7" ht="14.5">
      <c r="A566" s="28">
        <v>44401</v>
      </c>
      <c r="B566" s="22">
        <v>29</v>
      </c>
      <c r="C566" s="22">
        <f t="shared" si="24"/>
        <v>0.375</v>
      </c>
      <c r="D566" s="22"/>
      <c r="E566" s="22"/>
      <c r="F566" s="22"/>
    </row>
    <row r="567" spans="1:7" ht="14.5">
      <c r="A567" s="28">
        <v>44402</v>
      </c>
      <c r="B567" s="22">
        <v>29</v>
      </c>
      <c r="C567" s="22"/>
      <c r="D567" s="22"/>
      <c r="E567" s="22"/>
      <c r="F567" s="22"/>
    </row>
    <row r="568" spans="1:7" s="41" customFormat="1" ht="14.5">
      <c r="A568" s="42">
        <v>44403</v>
      </c>
      <c r="B568" s="40">
        <v>30</v>
      </c>
      <c r="C568" s="40"/>
      <c r="D568" s="40"/>
      <c r="E568" s="40"/>
      <c r="F568" s="40"/>
    </row>
    <row r="569" spans="1:7" ht="14.5">
      <c r="A569" s="28">
        <v>44404</v>
      </c>
      <c r="B569" s="22">
        <v>30</v>
      </c>
      <c r="C569" s="22"/>
      <c r="D569" s="22"/>
      <c r="E569" s="22"/>
      <c r="F569" s="22"/>
    </row>
    <row r="570" spans="1:7" ht="14.5">
      <c r="A570" s="28">
        <v>44405</v>
      </c>
      <c r="B570" s="22">
        <v>30</v>
      </c>
      <c r="C570" s="22">
        <f>(7/13)</f>
        <v>0.53846153846153844</v>
      </c>
      <c r="D570" s="22">
        <f>1/13</f>
        <v>7.6923076923076927E-2</v>
      </c>
      <c r="E570" s="22"/>
      <c r="F570" s="22"/>
    </row>
    <row r="571" spans="1:7" ht="14.5">
      <c r="A571" s="28">
        <v>44406</v>
      </c>
      <c r="B571" s="22">
        <v>30</v>
      </c>
      <c r="C571" s="22">
        <f>(7/13)</f>
        <v>0.53846153846153844</v>
      </c>
      <c r="D571" s="22">
        <f t="shared" ref="D571:D582" si="25">1/13</f>
        <v>7.6923076923076927E-2</v>
      </c>
      <c r="E571" s="22"/>
      <c r="F571" s="22"/>
    </row>
    <row r="572" spans="1:7" ht="14.5">
      <c r="A572" s="28">
        <v>44407</v>
      </c>
      <c r="B572" s="22">
        <v>30</v>
      </c>
      <c r="C572" s="22">
        <f>(9/5)+(7/13)</f>
        <v>2.3384615384615386</v>
      </c>
      <c r="D572" s="22">
        <f t="shared" si="25"/>
        <v>7.6923076923076927E-2</v>
      </c>
      <c r="E572" s="22"/>
      <c r="F572" s="22"/>
      <c r="G572" s="125" t="s">
        <v>189</v>
      </c>
    </row>
    <row r="573" spans="1:7" ht="14.5">
      <c r="A573" s="28">
        <v>44408</v>
      </c>
      <c r="B573" s="22">
        <v>30</v>
      </c>
      <c r="C573" s="22">
        <f t="shared" ref="C573:C576" si="26">(9/5)+(7/13)</f>
        <v>2.3384615384615386</v>
      </c>
      <c r="D573" s="22">
        <f t="shared" si="25"/>
        <v>7.6923076923076927E-2</v>
      </c>
      <c r="E573" s="22"/>
      <c r="F573" s="22"/>
      <c r="G573" s="125"/>
    </row>
    <row r="574" spans="1:7" ht="14.5">
      <c r="A574" s="28">
        <v>44409</v>
      </c>
      <c r="B574" s="22">
        <v>30</v>
      </c>
      <c r="C574" s="22">
        <f t="shared" si="26"/>
        <v>2.3384615384615386</v>
      </c>
      <c r="D574" s="22">
        <f t="shared" si="25"/>
        <v>7.6923076923076927E-2</v>
      </c>
      <c r="E574" s="22"/>
      <c r="F574" s="22"/>
      <c r="G574" s="125"/>
    </row>
    <row r="575" spans="1:7" ht="14.5">
      <c r="A575" s="28">
        <v>44410</v>
      </c>
      <c r="B575" s="22">
        <v>31</v>
      </c>
      <c r="C575" s="22">
        <f t="shared" si="26"/>
        <v>2.3384615384615386</v>
      </c>
      <c r="D575" s="22">
        <f t="shared" si="25"/>
        <v>7.6923076923076927E-2</v>
      </c>
      <c r="E575" s="22"/>
      <c r="F575" s="22"/>
      <c r="G575" s="125"/>
    </row>
    <row r="576" spans="1:7" ht="14.5">
      <c r="A576" s="28">
        <v>44411</v>
      </c>
      <c r="B576" s="22">
        <v>31</v>
      </c>
      <c r="C576" s="22">
        <f t="shared" si="26"/>
        <v>2.3384615384615386</v>
      </c>
      <c r="D576" s="22">
        <f t="shared" si="25"/>
        <v>7.6923076923076927E-2</v>
      </c>
      <c r="E576" s="22"/>
      <c r="F576" s="22"/>
      <c r="G576" s="125"/>
    </row>
    <row r="577" spans="1:7" ht="14.5">
      <c r="A577" s="28">
        <v>44412</v>
      </c>
      <c r="B577" s="22">
        <v>31</v>
      </c>
      <c r="C577" s="22">
        <f>(7/13)</f>
        <v>0.53846153846153844</v>
      </c>
      <c r="D577" s="22">
        <f t="shared" si="25"/>
        <v>7.6923076923076927E-2</v>
      </c>
      <c r="E577" s="22"/>
      <c r="F577" s="22"/>
    </row>
    <row r="578" spans="1:7" ht="14.5">
      <c r="A578" s="28">
        <v>44413</v>
      </c>
      <c r="B578" s="22">
        <v>31</v>
      </c>
      <c r="C578" s="22">
        <f>(3/6)+(7/13)</f>
        <v>1.0384615384615383</v>
      </c>
      <c r="D578" s="22">
        <f t="shared" si="25"/>
        <v>7.6923076923076927E-2</v>
      </c>
      <c r="E578" s="22"/>
      <c r="F578" s="22"/>
      <c r="G578" s="125" t="s">
        <v>188</v>
      </c>
    </row>
    <row r="579" spans="1:7" ht="14.5">
      <c r="A579" s="28">
        <v>44414</v>
      </c>
      <c r="B579" s="22">
        <v>31</v>
      </c>
      <c r="C579" s="22">
        <f t="shared" ref="C579:C580" si="27">(3/6)+(7/13)</f>
        <v>1.0384615384615383</v>
      </c>
      <c r="D579" s="22">
        <f t="shared" si="25"/>
        <v>7.6923076923076927E-2</v>
      </c>
      <c r="E579" s="22"/>
      <c r="F579" s="22"/>
      <c r="G579" s="125"/>
    </row>
    <row r="580" spans="1:7" ht="14.5">
      <c r="A580" s="28">
        <v>44415</v>
      </c>
      <c r="B580" s="22">
        <v>31</v>
      </c>
      <c r="C580" s="22">
        <f t="shared" si="27"/>
        <v>1.0384615384615383</v>
      </c>
      <c r="D580" s="22">
        <f t="shared" si="25"/>
        <v>7.6923076923076927E-2</v>
      </c>
      <c r="E580" s="22"/>
      <c r="F580" s="22"/>
      <c r="G580" s="125"/>
    </row>
    <row r="581" spans="1:7" ht="14.5">
      <c r="A581" s="28">
        <v>44416</v>
      </c>
      <c r="B581" s="22">
        <v>31</v>
      </c>
      <c r="C581" s="22">
        <f>(3/6)+(7/13)+(4/13)</f>
        <v>1.346153846153846</v>
      </c>
      <c r="D581" s="22">
        <f t="shared" si="25"/>
        <v>7.6923076923076927E-2</v>
      </c>
      <c r="E581" s="22"/>
      <c r="F581" s="22"/>
      <c r="G581" s="125"/>
    </row>
    <row r="582" spans="1:7" ht="14.5">
      <c r="A582" s="28">
        <v>44417</v>
      </c>
      <c r="B582" s="22">
        <v>32</v>
      </c>
      <c r="C582" s="22">
        <f>(3/6)+(7/13)+(4/13)</f>
        <v>1.346153846153846</v>
      </c>
      <c r="D582" s="22">
        <f t="shared" si="25"/>
        <v>7.6923076923076927E-2</v>
      </c>
      <c r="E582" s="22"/>
      <c r="F582" s="22"/>
      <c r="G582" s="125"/>
    </row>
    <row r="583" spans="1:7" ht="14.5">
      <c r="A583" s="28">
        <v>44418</v>
      </c>
      <c r="B583" s="22">
        <v>32</v>
      </c>
      <c r="C583" s="22">
        <f>(3/6)+(4/13)</f>
        <v>0.80769230769230771</v>
      </c>
      <c r="D583" s="22"/>
      <c r="E583" s="22"/>
      <c r="F583" s="22"/>
      <c r="G583" s="125"/>
    </row>
    <row r="584" spans="1:7" ht="14.5">
      <c r="A584" s="28">
        <v>44419</v>
      </c>
      <c r="B584" s="22">
        <v>32</v>
      </c>
      <c r="C584" s="22">
        <f t="shared" ref="C584:C592" si="28">(4/13)</f>
        <v>0.30769230769230771</v>
      </c>
      <c r="D584" s="22"/>
      <c r="E584" s="22"/>
      <c r="F584" s="22"/>
    </row>
    <row r="585" spans="1:7" ht="14.5">
      <c r="A585" s="28">
        <v>44420</v>
      </c>
      <c r="B585" s="22">
        <v>32</v>
      </c>
      <c r="C585" s="22">
        <f t="shared" si="28"/>
        <v>0.30769230769230771</v>
      </c>
      <c r="D585" s="22"/>
      <c r="E585" s="22"/>
      <c r="F585" s="22"/>
    </row>
    <row r="586" spans="1:7" ht="14.5">
      <c r="A586" s="28">
        <v>44421</v>
      </c>
      <c r="B586" s="22">
        <v>32</v>
      </c>
      <c r="C586" s="22">
        <f t="shared" si="28"/>
        <v>0.30769230769230771</v>
      </c>
      <c r="D586" s="22"/>
      <c r="E586" s="22"/>
      <c r="F586" s="22"/>
    </row>
    <row r="587" spans="1:7" ht="14.5">
      <c r="A587" s="28">
        <v>44422</v>
      </c>
      <c r="B587" s="22">
        <v>32</v>
      </c>
      <c r="C587" s="22">
        <f t="shared" si="28"/>
        <v>0.30769230769230771</v>
      </c>
      <c r="D587" s="22"/>
      <c r="E587" s="22"/>
      <c r="F587" s="22"/>
    </row>
    <row r="588" spans="1:7" ht="14.5">
      <c r="A588" s="28">
        <v>44423</v>
      </c>
      <c r="B588" s="22">
        <v>32</v>
      </c>
      <c r="C588" s="22">
        <f t="shared" si="28"/>
        <v>0.30769230769230771</v>
      </c>
      <c r="D588" s="22"/>
      <c r="E588" s="22"/>
      <c r="F588" s="22"/>
    </row>
    <row r="589" spans="1:7" ht="14.5">
      <c r="A589" s="28">
        <v>44424</v>
      </c>
      <c r="B589" s="22">
        <v>33</v>
      </c>
      <c r="C589" s="22">
        <f t="shared" si="28"/>
        <v>0.30769230769230771</v>
      </c>
      <c r="D589" s="22"/>
      <c r="E589" s="22"/>
      <c r="F589" s="22"/>
    </row>
    <row r="590" spans="1:7" ht="14.5">
      <c r="A590" s="28">
        <v>44425</v>
      </c>
      <c r="B590" s="22">
        <v>33</v>
      </c>
      <c r="C590" s="22">
        <f t="shared" si="28"/>
        <v>0.30769230769230771</v>
      </c>
      <c r="D590" s="22"/>
      <c r="E590" s="22"/>
      <c r="F590" s="22"/>
    </row>
    <row r="591" spans="1:7" ht="14.5">
      <c r="A591" s="28">
        <v>44426</v>
      </c>
      <c r="B591" s="22">
        <v>33</v>
      </c>
      <c r="C591" s="22">
        <f t="shared" si="28"/>
        <v>0.30769230769230771</v>
      </c>
      <c r="D591" s="22"/>
      <c r="E591" s="22"/>
      <c r="F591" s="22"/>
    </row>
    <row r="592" spans="1:7" ht="14.5">
      <c r="A592" s="28">
        <v>44427</v>
      </c>
      <c r="B592" s="22">
        <v>33</v>
      </c>
      <c r="C592" s="22">
        <f t="shared" si="28"/>
        <v>0.30769230769230771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(4/13)</f>
        <v>0.30769230769230771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>(8/9)</f>
        <v>0.88888888888888884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 t="shared" ref="C736:C737" si="29">(8/9)</f>
        <v>0.88888888888888884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 t="shared" si="29"/>
        <v>0.88888888888888884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 t="shared" ref="C738:C743" si="30">(8/9)+(16/9)</f>
        <v>2.6666666666666665</v>
      </c>
      <c r="D738" s="22">
        <f>(1/9)</f>
        <v>0.1111111111111111</v>
      </c>
      <c r="E738" s="22"/>
      <c r="F738" s="22"/>
    </row>
    <row r="739" spans="1:6" ht="14.5">
      <c r="A739" s="28">
        <v>44574</v>
      </c>
      <c r="B739" s="22">
        <v>2</v>
      </c>
      <c r="C739" s="22">
        <f t="shared" si="30"/>
        <v>2.6666666666666665</v>
      </c>
      <c r="D739" s="22">
        <f t="shared" ref="D739:D746" si="31">(1/9)</f>
        <v>0.1111111111111111</v>
      </c>
      <c r="E739" s="22"/>
      <c r="F739" s="22"/>
    </row>
    <row r="740" spans="1:6" ht="14.5">
      <c r="A740" s="28">
        <v>44575</v>
      </c>
      <c r="B740" s="22">
        <v>2</v>
      </c>
      <c r="C740" s="22">
        <f t="shared" si="30"/>
        <v>2.6666666666666665</v>
      </c>
      <c r="D740" s="22">
        <f t="shared" si="31"/>
        <v>0.1111111111111111</v>
      </c>
      <c r="E740" s="22"/>
      <c r="F740" s="22"/>
    </row>
    <row r="741" spans="1:6" ht="14.5">
      <c r="A741" s="28">
        <v>44576</v>
      </c>
      <c r="B741" s="22">
        <v>2</v>
      </c>
      <c r="C741" s="22">
        <f t="shared" si="30"/>
        <v>2.6666666666666665</v>
      </c>
      <c r="D741" s="22">
        <f t="shared" si="31"/>
        <v>0.1111111111111111</v>
      </c>
      <c r="E741" s="22"/>
      <c r="F741" s="22"/>
    </row>
    <row r="742" spans="1:6" ht="14.5">
      <c r="A742" s="28">
        <v>44577</v>
      </c>
      <c r="B742" s="22">
        <v>2</v>
      </c>
      <c r="C742" s="22">
        <f t="shared" si="30"/>
        <v>2.6666666666666665</v>
      </c>
      <c r="D742" s="22">
        <f t="shared" si="31"/>
        <v>0.1111111111111111</v>
      </c>
      <c r="E742" s="22"/>
      <c r="F742" s="22"/>
    </row>
    <row r="743" spans="1:6" ht="14.5">
      <c r="A743" s="28">
        <v>44578</v>
      </c>
      <c r="B743" s="22">
        <v>3</v>
      </c>
      <c r="C743" s="22">
        <f t="shared" si="30"/>
        <v>2.6666666666666665</v>
      </c>
      <c r="D743" s="22">
        <f t="shared" si="31"/>
        <v>0.1111111111111111</v>
      </c>
      <c r="E743" s="22"/>
      <c r="F743" s="22"/>
    </row>
    <row r="744" spans="1:6" ht="14.5">
      <c r="A744" s="28">
        <v>44579</v>
      </c>
      <c r="B744" s="22">
        <v>3</v>
      </c>
      <c r="C744" s="22">
        <f>(16/9)</f>
        <v>1.7777777777777777</v>
      </c>
      <c r="D744" s="22">
        <f t="shared" si="31"/>
        <v>0.1111111111111111</v>
      </c>
      <c r="E744" s="22"/>
      <c r="F744" s="22"/>
    </row>
    <row r="745" spans="1:6" ht="14.5">
      <c r="A745" s="28">
        <v>44580</v>
      </c>
      <c r="B745" s="22">
        <v>3</v>
      </c>
      <c r="C745" s="22">
        <f>(16/9)</f>
        <v>1.7777777777777777</v>
      </c>
      <c r="D745" s="22">
        <f t="shared" si="31"/>
        <v>0.1111111111111111</v>
      </c>
      <c r="E745" s="22"/>
      <c r="F745" s="22"/>
    </row>
    <row r="746" spans="1:6" ht="14.5">
      <c r="A746" s="28">
        <v>44581</v>
      </c>
      <c r="B746" s="22">
        <v>3</v>
      </c>
      <c r="C746" s="22">
        <f>(16/9)</f>
        <v>1.7777777777777777</v>
      </c>
      <c r="D746" s="22">
        <f t="shared" si="31"/>
        <v>0.1111111111111111</v>
      </c>
      <c r="E746" s="22"/>
      <c r="F746" s="22"/>
    </row>
    <row r="747" spans="1:6" ht="14.5">
      <c r="A747" s="28">
        <v>44582</v>
      </c>
      <c r="B747" s="22">
        <v>3</v>
      </c>
      <c r="C747" s="22"/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>(12/7)</f>
        <v>1.7142857142857142</v>
      </c>
      <c r="D748" s="22">
        <f>(1/7)</f>
        <v>0.14285714285714285</v>
      </c>
      <c r="E748" s="22"/>
      <c r="F748" s="22"/>
    </row>
    <row r="749" spans="1:6" ht="14.5">
      <c r="A749" s="28">
        <v>44584</v>
      </c>
      <c r="B749" s="22">
        <v>3</v>
      </c>
      <c r="C749" s="22">
        <f t="shared" ref="C749:C751" si="32">(12/7)</f>
        <v>1.7142857142857142</v>
      </c>
      <c r="D749" s="22">
        <f t="shared" ref="D749:D754" si="33">(1/7)</f>
        <v>0.14285714285714285</v>
      </c>
      <c r="E749" s="22"/>
      <c r="F749" s="22"/>
    </row>
    <row r="750" spans="1:6" ht="14.5">
      <c r="A750" s="28">
        <v>44585</v>
      </c>
      <c r="B750" s="22">
        <v>4</v>
      </c>
      <c r="C750" s="22">
        <f t="shared" si="32"/>
        <v>1.7142857142857142</v>
      </c>
      <c r="D750" s="22">
        <f t="shared" si="33"/>
        <v>0.14285714285714285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si="32"/>
        <v>1.7142857142857142</v>
      </c>
      <c r="D751" s="22">
        <f t="shared" si="33"/>
        <v>0.14285714285714285</v>
      </c>
      <c r="E751" s="22"/>
      <c r="F751" s="22"/>
    </row>
    <row r="752" spans="1:6" ht="14.5">
      <c r="A752" s="28">
        <v>44587</v>
      </c>
      <c r="B752" s="22">
        <v>4</v>
      </c>
      <c r="C752" s="22">
        <f>(12/7)+(15/10)</f>
        <v>3.2142857142857144</v>
      </c>
      <c r="D752" s="22">
        <f t="shared" si="33"/>
        <v>0.14285714285714285</v>
      </c>
      <c r="E752" s="22"/>
      <c r="F752" s="22"/>
    </row>
    <row r="753" spans="1:6" ht="14.5">
      <c r="A753" s="28">
        <v>44588</v>
      </c>
      <c r="B753" s="22">
        <v>4</v>
      </c>
      <c r="C753" s="22">
        <f>(12/7)+(15/10)</f>
        <v>3.2142857142857144</v>
      </c>
      <c r="D753" s="22">
        <f t="shared" si="33"/>
        <v>0.14285714285714285</v>
      </c>
      <c r="E753" s="22"/>
      <c r="F753" s="22"/>
    </row>
    <row r="754" spans="1:6" ht="14.5">
      <c r="A754" s="28">
        <v>44589</v>
      </c>
      <c r="B754" s="22">
        <v>4</v>
      </c>
      <c r="C754" s="22">
        <f>(12/7)+(15/10)</f>
        <v>3.2142857142857144</v>
      </c>
      <c r="D754" s="22">
        <f t="shared" si="33"/>
        <v>0.14285714285714285</v>
      </c>
      <c r="E754" s="22"/>
      <c r="F754" s="22"/>
    </row>
    <row r="755" spans="1:6" ht="14.5">
      <c r="A755" s="28">
        <v>44590</v>
      </c>
      <c r="B755" s="22">
        <v>4</v>
      </c>
      <c r="C755" s="52">
        <f t="shared" ref="C755:C758" si="34">(15/10)</f>
        <v>1.5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52">
        <f t="shared" si="34"/>
        <v>1.5</v>
      </c>
      <c r="D756" s="22"/>
      <c r="E756" s="22"/>
      <c r="F756" s="22"/>
    </row>
    <row r="757" spans="1:6" ht="14.5">
      <c r="A757" s="28">
        <v>44592</v>
      </c>
      <c r="B757" s="51">
        <v>5</v>
      </c>
      <c r="C757" s="52">
        <f t="shared" si="34"/>
        <v>1.5</v>
      </c>
      <c r="D757" s="51"/>
      <c r="E757" s="51"/>
      <c r="F757" s="51"/>
    </row>
    <row r="758" spans="1:6" ht="14.5">
      <c r="A758" s="49">
        <v>44593</v>
      </c>
      <c r="B758" s="52">
        <v>5</v>
      </c>
      <c r="C758" s="52">
        <f t="shared" si="34"/>
        <v>1.5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(15/10)+(18/17)</f>
        <v>2.5588235294117645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(15/10)+(18/17)</f>
        <v>2.5588235294117645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>(15/10)+(18/17)</f>
        <v>2.5588235294117645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>(18/17)</f>
        <v>1.0588235294117647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 t="shared" ref="C763:C775" si="35">(18/17)</f>
        <v>1.0588235294117647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 t="shared" si="35"/>
        <v>1.0588235294117647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 t="shared" si="35"/>
        <v>1.0588235294117647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 t="shared" si="35"/>
        <v>1.0588235294117647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 t="shared" si="35"/>
        <v>1.0588235294117647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 t="shared" si="35"/>
        <v>1.0588235294117647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 t="shared" si="35"/>
        <v>1.0588235294117647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f t="shared" si="35"/>
        <v>1.0588235294117647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 t="shared" si="35"/>
        <v>1.0588235294117647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f t="shared" si="35"/>
        <v>1.0588235294117647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 t="shared" si="35"/>
        <v>1.0588235294117647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 t="shared" si="35"/>
        <v>1.0588235294117647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 t="shared" si="35"/>
        <v>1.0588235294117647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/>
      <c r="D778" s="52"/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/>
      <c r="E781" s="52"/>
      <c r="F781" s="52"/>
    </row>
    <row r="782" spans="1:6" ht="14.5">
      <c r="A782" s="49">
        <v>44617</v>
      </c>
      <c r="B782" s="52">
        <v>8</v>
      </c>
      <c r="C782" s="52"/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/>
      <c r="D785" s="52"/>
      <c r="E785" s="52"/>
      <c r="F785" s="52"/>
    </row>
    <row r="786" spans="1:6" ht="14.5">
      <c r="A786" s="48"/>
      <c r="C786" s="3"/>
      <c r="D786" s="3"/>
      <c r="E786" s="3"/>
      <c r="F786" s="3"/>
    </row>
    <row r="787" spans="1:6" ht="14.5">
      <c r="A787" s="48"/>
      <c r="C787" s="3"/>
      <c r="D787" s="3"/>
      <c r="E787" s="3"/>
      <c r="F787" s="3"/>
    </row>
    <row r="788" spans="1:6" ht="14.5">
      <c r="A788" s="48"/>
      <c r="C788" s="3"/>
      <c r="D788" s="3"/>
      <c r="E788" s="3"/>
      <c r="F788" s="3"/>
    </row>
    <row r="789" spans="1:6" ht="14.5">
      <c r="A789" s="48"/>
      <c r="C789" s="3"/>
      <c r="D789" s="3"/>
      <c r="E789" s="3"/>
      <c r="F789" s="3"/>
    </row>
    <row r="790" spans="1:6" ht="14.5">
      <c r="A790" s="48"/>
      <c r="C790" s="3"/>
      <c r="D790" s="3"/>
      <c r="E790" s="3"/>
      <c r="F790" s="3"/>
    </row>
    <row r="791" spans="1:6" ht="14.5">
      <c r="C791" s="3"/>
      <c r="D791" s="3"/>
      <c r="E791" s="3"/>
      <c r="F791" s="3"/>
    </row>
    <row r="792" spans="1:6" ht="14.5">
      <c r="C792" s="3"/>
      <c r="D792" s="3"/>
      <c r="E792" s="3"/>
      <c r="F792" s="3"/>
    </row>
    <row r="793" spans="1:6" ht="14.5">
      <c r="C793" s="3"/>
      <c r="D793" s="3"/>
      <c r="E793" s="3"/>
      <c r="F793" s="3"/>
    </row>
    <row r="794" spans="1:6" ht="14.5">
      <c r="C794" s="3"/>
      <c r="D794" s="3"/>
      <c r="E794" s="3"/>
      <c r="F794" s="3"/>
    </row>
    <row r="795" spans="1:6" ht="14.5">
      <c r="C795" s="3"/>
      <c r="D795" s="3"/>
      <c r="E795" s="3"/>
      <c r="F795" s="3"/>
    </row>
    <row r="796" spans="1:6" ht="14.5">
      <c r="C796" s="3"/>
      <c r="D796" s="3"/>
      <c r="E796" s="3"/>
      <c r="F796" s="3"/>
    </row>
    <row r="797" spans="1:6" ht="14.5">
      <c r="C797" s="3"/>
      <c r="D797" s="3"/>
      <c r="E797" s="3"/>
      <c r="F797" s="3"/>
    </row>
    <row r="798" spans="1:6" ht="14.5">
      <c r="C798" s="3"/>
      <c r="D798" s="3"/>
      <c r="E798" s="3"/>
      <c r="F798" s="3"/>
    </row>
    <row r="799" spans="1:6" ht="14.5">
      <c r="C799" s="3"/>
      <c r="D799" s="3"/>
      <c r="E799" s="3"/>
      <c r="F799" s="3"/>
    </row>
    <row r="800" spans="1:6" ht="14.5">
      <c r="C800" s="3"/>
      <c r="D800" s="3"/>
      <c r="E800" s="3"/>
      <c r="F800" s="3"/>
    </row>
    <row r="801" spans="3:6" ht="14.5">
      <c r="C801" s="3"/>
      <c r="D801" s="3"/>
      <c r="E801" s="3"/>
      <c r="F801" s="3"/>
    </row>
    <row r="802" spans="3:6" ht="14.5">
      <c r="C802" s="3"/>
      <c r="D802" s="3"/>
      <c r="E802" s="3"/>
      <c r="F802" s="3"/>
    </row>
    <row r="803" spans="3:6" ht="14.5">
      <c r="C803" s="3"/>
      <c r="D803" s="3"/>
      <c r="E803" s="3"/>
      <c r="F803" s="3"/>
    </row>
    <row r="804" spans="3:6" ht="14.5">
      <c r="C804" s="3"/>
      <c r="D804" s="3"/>
      <c r="E804" s="3"/>
      <c r="F804" s="3"/>
    </row>
    <row r="805" spans="3:6" ht="14.5">
      <c r="C805" s="3"/>
      <c r="D805" s="3"/>
      <c r="E805" s="3"/>
      <c r="F805" s="3"/>
    </row>
    <row r="806" spans="3:6" ht="14.5">
      <c r="C806" s="3"/>
      <c r="D806" s="3"/>
      <c r="E806" s="3"/>
      <c r="F806" s="3"/>
    </row>
    <row r="807" spans="3:6" ht="14.5">
      <c r="C807" s="3"/>
      <c r="D807" s="3"/>
      <c r="E807" s="3"/>
      <c r="F807" s="3"/>
    </row>
    <row r="808" spans="3:6" ht="14.5">
      <c r="C808" s="3"/>
      <c r="D808" s="3"/>
      <c r="E808" s="3"/>
      <c r="F808" s="3"/>
    </row>
    <row r="809" spans="3:6" ht="14.5">
      <c r="C809" s="3"/>
      <c r="D809" s="3"/>
      <c r="E809" s="3"/>
      <c r="F809" s="3"/>
    </row>
    <row r="810" spans="3:6" ht="14.5">
      <c r="C810" s="3"/>
      <c r="D810" s="3"/>
      <c r="E810" s="3"/>
      <c r="F810" s="3"/>
    </row>
    <row r="811" spans="3:6" ht="14.5">
      <c r="C811" s="3"/>
      <c r="D811" s="3"/>
      <c r="E811" s="3"/>
      <c r="F811" s="3"/>
    </row>
    <row r="812" spans="3:6" ht="14.5">
      <c r="C812" s="3"/>
      <c r="D812" s="3"/>
      <c r="E812" s="3"/>
      <c r="F812" s="3"/>
    </row>
    <row r="813" spans="3:6" ht="14.5">
      <c r="C813" s="3"/>
      <c r="D813" s="3"/>
      <c r="E813" s="3"/>
      <c r="F813" s="3"/>
    </row>
    <row r="814" spans="3:6" ht="14.5">
      <c r="C814" s="3"/>
      <c r="D814" s="3"/>
      <c r="E814" s="3"/>
      <c r="F814" s="3"/>
    </row>
    <row r="815" spans="3:6" ht="14.5">
      <c r="C815" s="3"/>
      <c r="D815" s="3"/>
      <c r="E815" s="3"/>
      <c r="F815" s="3"/>
    </row>
    <row r="816" spans="3:6" ht="14.5">
      <c r="C816" s="3"/>
      <c r="D816" s="3"/>
      <c r="E816" s="3"/>
      <c r="F816" s="3"/>
    </row>
    <row r="817" spans="3:6" ht="14.5">
      <c r="C817" s="3"/>
      <c r="D817" s="3"/>
      <c r="E817" s="3"/>
      <c r="F817" s="3"/>
    </row>
    <row r="818" spans="3:6" ht="14.5">
      <c r="C818" s="3"/>
      <c r="D818" s="3"/>
      <c r="E818" s="3"/>
      <c r="F818" s="3"/>
    </row>
    <row r="819" spans="3:6" ht="14.5">
      <c r="C819" s="3"/>
      <c r="D819" s="3"/>
      <c r="E819" s="3"/>
      <c r="F819" s="3"/>
    </row>
    <row r="820" spans="3:6" ht="14.5">
      <c r="C820" s="3"/>
      <c r="D820" s="3"/>
      <c r="E820" s="3"/>
      <c r="F820" s="3"/>
    </row>
    <row r="821" spans="3:6" ht="14.5">
      <c r="C821" s="3"/>
      <c r="D821" s="3"/>
      <c r="E821" s="3"/>
      <c r="F821" s="3"/>
    </row>
    <row r="822" spans="3:6" ht="14.5">
      <c r="C822" s="3"/>
      <c r="D822" s="3"/>
      <c r="E822" s="3"/>
      <c r="F822" s="3"/>
    </row>
    <row r="823" spans="3:6" ht="14.5">
      <c r="C823" s="3"/>
      <c r="D823" s="3"/>
      <c r="E823" s="3"/>
      <c r="F823" s="3"/>
    </row>
    <row r="824" spans="3:6" ht="14.5">
      <c r="C824" s="3"/>
      <c r="D824" s="3"/>
      <c r="E824" s="3"/>
      <c r="F824" s="3"/>
    </row>
    <row r="825" spans="3:6" ht="14.5">
      <c r="C825" s="3"/>
      <c r="D825" s="3"/>
      <c r="E825" s="3"/>
      <c r="F825" s="3"/>
    </row>
    <row r="826" spans="3:6" ht="14.5">
      <c r="C826" s="3"/>
      <c r="D826" s="3"/>
      <c r="E826" s="3"/>
      <c r="F826" s="3"/>
    </row>
    <row r="827" spans="3:6" ht="14.5">
      <c r="C827" s="3"/>
      <c r="D827" s="3"/>
      <c r="E827" s="3"/>
      <c r="F827" s="3"/>
    </row>
    <row r="828" spans="3:6" ht="14.5">
      <c r="C828" s="3"/>
      <c r="D828" s="3"/>
      <c r="E828" s="3"/>
      <c r="F828" s="3"/>
    </row>
    <row r="829" spans="3:6" ht="14.5">
      <c r="C829" s="3"/>
      <c r="D829" s="3"/>
      <c r="E829" s="3"/>
      <c r="F829" s="3"/>
    </row>
    <row r="830" spans="3:6" ht="14.5">
      <c r="C830" s="3"/>
      <c r="D830" s="3"/>
      <c r="E830" s="3"/>
      <c r="F830" s="3"/>
    </row>
    <row r="831" spans="3:6" ht="14.5">
      <c r="C831" s="3"/>
      <c r="D831" s="3"/>
      <c r="E831" s="3"/>
      <c r="F831" s="3"/>
    </row>
    <row r="832" spans="3:6" ht="14.5">
      <c r="C832" s="3"/>
      <c r="D832" s="3"/>
      <c r="E832" s="3"/>
      <c r="F832" s="3"/>
    </row>
    <row r="833" spans="3:6" ht="14.5">
      <c r="C833" s="3"/>
      <c r="D833" s="3"/>
      <c r="E833" s="3"/>
      <c r="F833" s="3"/>
    </row>
    <row r="834" spans="3:6" ht="14.5">
      <c r="C834" s="3"/>
      <c r="D834" s="3"/>
      <c r="E834" s="3"/>
      <c r="F834" s="3"/>
    </row>
    <row r="835" spans="3:6" ht="14.5">
      <c r="C835" s="3"/>
      <c r="D835" s="3"/>
      <c r="E835" s="3"/>
      <c r="F835" s="3"/>
    </row>
    <row r="836" spans="3:6" ht="14.5">
      <c r="C836" s="3"/>
      <c r="D836" s="3"/>
      <c r="E836" s="3"/>
      <c r="F836" s="3"/>
    </row>
    <row r="837" spans="3:6" ht="14.5">
      <c r="C837" s="3"/>
      <c r="D837" s="3"/>
      <c r="E837" s="3"/>
      <c r="F837" s="3"/>
    </row>
    <row r="838" spans="3:6" ht="14.5">
      <c r="C838" s="3"/>
      <c r="D838" s="3"/>
      <c r="E838" s="3"/>
      <c r="F838" s="3"/>
    </row>
    <row r="839" spans="3:6" ht="14.5">
      <c r="C839" s="3"/>
      <c r="D839" s="3"/>
      <c r="E839" s="3"/>
      <c r="F839" s="3"/>
    </row>
    <row r="840" spans="3:6" ht="14.5">
      <c r="C840" s="3"/>
      <c r="D840" s="3"/>
      <c r="E840" s="3"/>
      <c r="F840" s="3"/>
    </row>
    <row r="841" spans="3:6" ht="14.5">
      <c r="C841" s="3"/>
      <c r="D841" s="3"/>
      <c r="E841" s="3"/>
      <c r="F841" s="3"/>
    </row>
    <row r="842" spans="3:6" ht="14.5">
      <c r="C842" s="3"/>
      <c r="D842" s="3"/>
      <c r="E842" s="3"/>
      <c r="F842" s="3"/>
    </row>
    <row r="843" spans="3:6" ht="14.5">
      <c r="C843" s="3"/>
      <c r="D843" s="3"/>
      <c r="E843" s="3"/>
      <c r="F843" s="3"/>
    </row>
    <row r="844" spans="3:6" ht="14.5">
      <c r="C844" s="3"/>
      <c r="D844" s="3"/>
      <c r="E844" s="3"/>
      <c r="F844" s="3"/>
    </row>
    <row r="845" spans="3:6" ht="14.5">
      <c r="C845" s="3"/>
      <c r="D845" s="3"/>
      <c r="E845" s="3"/>
      <c r="F845" s="3"/>
    </row>
    <row r="846" spans="3:6" ht="14.5">
      <c r="C846" s="3"/>
      <c r="D846" s="3"/>
      <c r="E846" s="3"/>
      <c r="F846" s="3"/>
    </row>
    <row r="847" spans="3:6" ht="14.5">
      <c r="C847" s="3"/>
      <c r="D847" s="3"/>
      <c r="E847" s="3"/>
      <c r="F847" s="3"/>
    </row>
    <row r="848" spans="3:6" ht="14.5">
      <c r="C848" s="3"/>
      <c r="D848" s="3"/>
      <c r="E848" s="3"/>
      <c r="F848" s="3"/>
    </row>
    <row r="849" spans="3:6" ht="14.5">
      <c r="C849" s="3"/>
      <c r="D849" s="3"/>
      <c r="E849" s="3"/>
      <c r="F849" s="3"/>
    </row>
    <row r="850" spans="3:6" ht="14.5">
      <c r="C850" s="3"/>
      <c r="D850" s="3"/>
      <c r="E850" s="3"/>
      <c r="F850" s="3"/>
    </row>
    <row r="851" spans="3:6" ht="14.5">
      <c r="C851" s="3"/>
      <c r="D851" s="3"/>
      <c r="E851" s="3"/>
      <c r="F851" s="3"/>
    </row>
    <row r="852" spans="3:6" ht="14.5">
      <c r="C852" s="3"/>
      <c r="D852" s="3"/>
      <c r="E852" s="3"/>
      <c r="F852" s="3"/>
    </row>
    <row r="853" spans="3:6" ht="14.5">
      <c r="C853" s="3"/>
      <c r="D853" s="3"/>
      <c r="E853" s="3"/>
      <c r="F853" s="3"/>
    </row>
    <row r="854" spans="3:6" ht="14.5">
      <c r="C854" s="3"/>
      <c r="D854" s="3"/>
      <c r="E854" s="3"/>
      <c r="F854" s="3"/>
    </row>
    <row r="855" spans="3:6" ht="14.5">
      <c r="C855" s="3"/>
      <c r="D855" s="3"/>
      <c r="E855" s="3"/>
      <c r="F855" s="3"/>
    </row>
    <row r="856" spans="3:6" ht="14.5">
      <c r="C856" s="3"/>
      <c r="D856" s="3"/>
      <c r="E856" s="3"/>
      <c r="F856" s="3"/>
    </row>
    <row r="857" spans="3:6" ht="14.5">
      <c r="C857" s="3"/>
      <c r="D857" s="3"/>
      <c r="E857" s="3"/>
      <c r="F857" s="3"/>
    </row>
    <row r="858" spans="3:6" ht="14.5">
      <c r="C858" s="3"/>
      <c r="D858" s="3"/>
      <c r="E858" s="3"/>
      <c r="F858" s="3"/>
    </row>
    <row r="859" spans="3:6" ht="14.5">
      <c r="C859" s="3"/>
      <c r="D859" s="3"/>
      <c r="E859" s="3"/>
      <c r="F859" s="3"/>
    </row>
  </sheetData>
  <mergeCells count="12">
    <mergeCell ref="G572:G576"/>
    <mergeCell ref="G578:G583"/>
    <mergeCell ref="G370:G371"/>
    <mergeCell ref="G376:G377"/>
    <mergeCell ref="G471:G472"/>
    <mergeCell ref="A6:F6"/>
    <mergeCell ref="G366:G368"/>
    <mergeCell ref="A1:F1"/>
    <mergeCell ref="A2:F2"/>
    <mergeCell ref="A3:F3"/>
    <mergeCell ref="A4:F4"/>
    <mergeCell ref="A5:F5"/>
  </mergeCells>
  <phoneticPr fontId="13"/>
  <hyperlinks>
    <hyperlink ref="A2" r:id="rId1" display="https://www.hokudai.ac.jp/news/news/_x000a_https://www.hokudai.ac.jp/covid-19/" xr:uid="{00000000-0004-0000-05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858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8.91406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42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27" t="s">
        <v>3</v>
      </c>
      <c r="B2" s="115"/>
      <c r="C2" s="115"/>
      <c r="D2" s="115"/>
      <c r="E2" s="115"/>
      <c r="F2" s="116"/>
      <c r="G2" s="68"/>
    </row>
    <row r="3" spans="1:7" ht="15" customHeight="1">
      <c r="A3" s="118" t="s">
        <v>205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>
        <v>1</v>
      </c>
      <c r="D193" s="22"/>
      <c r="E193" s="22" t="s">
        <v>191</v>
      </c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35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>
        <v>1</v>
      </c>
      <c r="D209" s="22"/>
      <c r="E209" s="22" t="s">
        <v>191</v>
      </c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35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35"/>
      <c r="F216" s="22"/>
    </row>
    <row r="217" spans="1:6" ht="14.5">
      <c r="A217" s="25">
        <v>44052</v>
      </c>
      <c r="B217" s="26">
        <v>30</v>
      </c>
      <c r="C217" s="22"/>
      <c r="D217" s="22"/>
      <c r="E217" s="35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35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>
        <v>1</v>
      </c>
      <c r="D278" s="22"/>
      <c r="E278" s="22" t="s">
        <v>191</v>
      </c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35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35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7" ht="14.5">
      <c r="A305" s="25">
        <v>44140</v>
      </c>
      <c r="B305" s="26">
        <v>43</v>
      </c>
      <c r="C305" s="22"/>
      <c r="D305" s="22"/>
      <c r="E305" s="22"/>
      <c r="F305" s="22"/>
    </row>
    <row r="306" spans="1:7" ht="14.5">
      <c r="A306" s="25">
        <v>44141</v>
      </c>
      <c r="B306" s="26">
        <v>43</v>
      </c>
      <c r="C306" s="22"/>
      <c r="D306" s="22"/>
      <c r="E306" s="22"/>
      <c r="F306" s="22"/>
    </row>
    <row r="307" spans="1:7" ht="14.5">
      <c r="A307" s="25">
        <v>44142</v>
      </c>
      <c r="B307" s="26">
        <v>43</v>
      </c>
      <c r="C307" s="22"/>
      <c r="D307" s="22"/>
      <c r="E307" s="22"/>
      <c r="F307" s="22"/>
    </row>
    <row r="308" spans="1:7" ht="14.5">
      <c r="A308" s="25">
        <v>44143</v>
      </c>
      <c r="B308" s="26">
        <v>43</v>
      </c>
      <c r="C308" s="22"/>
      <c r="D308" s="22"/>
      <c r="E308" s="22"/>
      <c r="F308" s="22"/>
    </row>
    <row r="309" spans="1:7" ht="14.5">
      <c r="A309" s="25">
        <v>44144</v>
      </c>
      <c r="B309" s="26">
        <v>44</v>
      </c>
      <c r="C309" s="22"/>
      <c r="D309" s="22"/>
      <c r="E309" s="22"/>
      <c r="F309" s="22"/>
    </row>
    <row r="310" spans="1:7" ht="14.5">
      <c r="A310" s="25">
        <v>44145</v>
      </c>
      <c r="B310" s="26">
        <v>44</v>
      </c>
      <c r="C310" s="22"/>
      <c r="D310" s="22"/>
      <c r="E310" s="22"/>
      <c r="F310" s="22"/>
    </row>
    <row r="311" spans="1:7" ht="14.5">
      <c r="A311" s="25">
        <v>44146</v>
      </c>
      <c r="B311" s="26">
        <v>44</v>
      </c>
      <c r="C311" s="22">
        <v>1</v>
      </c>
      <c r="D311" s="22"/>
      <c r="E311" s="22" t="s">
        <v>191</v>
      </c>
      <c r="F311" s="22"/>
    </row>
    <row r="312" spans="1:7" ht="14.5">
      <c r="A312" s="25">
        <v>44147</v>
      </c>
      <c r="B312" s="26">
        <v>44</v>
      </c>
      <c r="C312" s="22"/>
      <c r="D312" s="22"/>
      <c r="E312" s="22"/>
      <c r="F312" s="22"/>
    </row>
    <row r="313" spans="1:7" ht="14.5">
      <c r="A313" s="25">
        <v>44148</v>
      </c>
      <c r="B313" s="26">
        <v>44</v>
      </c>
      <c r="C313" s="22"/>
      <c r="D313" s="22"/>
      <c r="E313" s="22"/>
      <c r="F313" s="22"/>
    </row>
    <row r="314" spans="1:7" ht="14.5">
      <c r="A314" s="25">
        <v>44149</v>
      </c>
      <c r="B314" s="26">
        <v>44</v>
      </c>
      <c r="C314" s="22"/>
      <c r="D314" s="22"/>
      <c r="E314" s="22"/>
      <c r="F314" s="22"/>
    </row>
    <row r="315" spans="1:7" ht="14.5">
      <c r="A315" s="25">
        <v>44150</v>
      </c>
      <c r="B315" s="26">
        <v>44</v>
      </c>
      <c r="C315" s="22"/>
      <c r="D315" s="22"/>
      <c r="E315" s="22"/>
      <c r="F315" s="22"/>
    </row>
    <row r="316" spans="1:7" ht="14.5">
      <c r="A316" s="25">
        <v>44151</v>
      </c>
      <c r="B316" s="26">
        <v>45</v>
      </c>
      <c r="C316" s="32">
        <v>1</v>
      </c>
      <c r="D316" s="22"/>
      <c r="E316" s="22"/>
      <c r="F316" s="22"/>
      <c r="G316" s="20" t="s">
        <v>4</v>
      </c>
    </row>
    <row r="317" spans="1:7" ht="14.5">
      <c r="A317" s="25">
        <v>44152</v>
      </c>
      <c r="B317" s="26">
        <v>45</v>
      </c>
      <c r="C317" s="22"/>
      <c r="D317" s="22"/>
      <c r="E317" s="22"/>
      <c r="F317" s="22"/>
    </row>
    <row r="318" spans="1:7" ht="14.5">
      <c r="A318" s="25">
        <v>44153</v>
      </c>
      <c r="B318" s="26">
        <v>45</v>
      </c>
      <c r="C318" s="22"/>
      <c r="D318" s="22"/>
      <c r="E318" s="22"/>
      <c r="F318" s="22"/>
    </row>
    <row r="319" spans="1:7" ht="14.5">
      <c r="A319" s="25">
        <v>44154</v>
      </c>
      <c r="B319" s="26">
        <v>45</v>
      </c>
      <c r="C319" s="22">
        <f t="shared" ref="C319:C322" si="0">5/4</f>
        <v>1.25</v>
      </c>
      <c r="D319" s="22"/>
      <c r="E319" s="22" t="s">
        <v>191</v>
      </c>
      <c r="F319" s="22"/>
    </row>
    <row r="320" spans="1:7" ht="14.5">
      <c r="A320" s="25">
        <v>44155</v>
      </c>
      <c r="B320" s="26">
        <v>45</v>
      </c>
      <c r="C320" s="22">
        <f t="shared" si="0"/>
        <v>1.25</v>
      </c>
      <c r="D320" s="22"/>
      <c r="E320" s="22" t="s">
        <v>191</v>
      </c>
      <c r="F320" s="22"/>
    </row>
    <row r="321" spans="1:6" ht="14.5">
      <c r="A321" s="25">
        <v>44156</v>
      </c>
      <c r="B321" s="26">
        <v>45</v>
      </c>
      <c r="C321" s="22">
        <f t="shared" si="0"/>
        <v>1.25</v>
      </c>
      <c r="D321" s="22"/>
      <c r="E321" s="22" t="s">
        <v>191</v>
      </c>
      <c r="F321" s="22"/>
    </row>
    <row r="322" spans="1:6" ht="14.5">
      <c r="A322" s="25">
        <v>44157</v>
      </c>
      <c r="B322" s="26">
        <v>45</v>
      </c>
      <c r="C322" s="22">
        <f t="shared" si="0"/>
        <v>1.25</v>
      </c>
      <c r="D322" s="22"/>
      <c r="E322" s="22" t="s">
        <v>191</v>
      </c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>
        <v>2</v>
      </c>
      <c r="D325" s="22"/>
      <c r="E325" s="22" t="s">
        <v>191</v>
      </c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35"/>
      <c r="F327" s="22"/>
    </row>
    <row r="328" spans="1:6" ht="14.5">
      <c r="A328" s="25">
        <v>44163</v>
      </c>
      <c r="B328" s="26">
        <v>46</v>
      </c>
      <c r="C328" s="22">
        <v>2</v>
      </c>
      <c r="D328" s="22"/>
      <c r="E328" s="22" t="s">
        <v>191</v>
      </c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35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35"/>
      <c r="F333" s="22"/>
    </row>
    <row r="334" spans="1:6" ht="14.5">
      <c r="A334" s="25">
        <v>44169</v>
      </c>
      <c r="B334" s="26">
        <v>47</v>
      </c>
      <c r="C334" s="22">
        <v>1</v>
      </c>
      <c r="D334" s="22"/>
      <c r="E334" s="22" t="s">
        <v>191</v>
      </c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>
        <v>2</v>
      </c>
      <c r="D338" s="22"/>
      <c r="E338" s="22" t="s">
        <v>191</v>
      </c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>
        <v>1</v>
      </c>
      <c r="D340" s="22"/>
      <c r="E340" s="22" t="s">
        <v>191</v>
      </c>
      <c r="F340" s="22"/>
    </row>
    <row r="341" spans="1:6" ht="14.5">
      <c r="A341" s="25">
        <v>44176</v>
      </c>
      <c r="B341" s="26">
        <v>48</v>
      </c>
      <c r="C341" s="22">
        <v>3</v>
      </c>
      <c r="D341" s="22"/>
      <c r="E341" s="22" t="s">
        <v>191</v>
      </c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>
        <v>1</v>
      </c>
      <c r="D344" s="22"/>
      <c r="E344" s="22" t="s">
        <v>191</v>
      </c>
      <c r="F344" s="22"/>
    </row>
    <row r="345" spans="1:6" ht="14.5">
      <c r="A345" s="25">
        <v>44180</v>
      </c>
      <c r="B345" s="26">
        <v>49</v>
      </c>
      <c r="C345" s="22">
        <v>2</v>
      </c>
      <c r="D345" s="22"/>
      <c r="E345" s="22" t="s">
        <v>191</v>
      </c>
      <c r="F345" s="22"/>
    </row>
    <row r="346" spans="1:6" ht="14.5">
      <c r="A346" s="25">
        <v>44181</v>
      </c>
      <c r="B346" s="26">
        <v>49</v>
      </c>
      <c r="C346" s="22">
        <v>2</v>
      </c>
      <c r="D346" s="22"/>
      <c r="E346" s="22" t="s">
        <v>202</v>
      </c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>
        <v>2</v>
      </c>
      <c r="D352" s="22"/>
      <c r="E352" s="22" t="s">
        <v>191</v>
      </c>
      <c r="F352" s="22"/>
    </row>
    <row r="353" spans="1:6" ht="14.5">
      <c r="A353" s="25">
        <v>44188</v>
      </c>
      <c r="B353" s="26">
        <v>50</v>
      </c>
      <c r="C353" s="22">
        <v>1</v>
      </c>
      <c r="D353" s="22"/>
      <c r="E353" s="22" t="s">
        <v>190</v>
      </c>
      <c r="F353" s="22"/>
    </row>
    <row r="354" spans="1:6" ht="14.5">
      <c r="A354" s="25">
        <v>44189</v>
      </c>
      <c r="B354" s="26">
        <v>50</v>
      </c>
      <c r="C354" s="22">
        <v>1</v>
      </c>
      <c r="D354" s="22">
        <v>1</v>
      </c>
      <c r="E354" s="22" t="s">
        <v>191</v>
      </c>
      <c r="F354" s="22" t="s">
        <v>191</v>
      </c>
    </row>
    <row r="355" spans="1:6" ht="14.5">
      <c r="A355" s="25">
        <v>44190</v>
      </c>
      <c r="B355" s="26">
        <v>50</v>
      </c>
      <c r="C355" s="22">
        <v>1</v>
      </c>
      <c r="D355" s="22"/>
      <c r="E355" s="22" t="s">
        <v>191</v>
      </c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>
        <v>1</v>
      </c>
      <c r="D358" s="22">
        <v>1</v>
      </c>
      <c r="E358" s="22" t="s">
        <v>191</v>
      </c>
      <c r="F358" s="22" t="s">
        <v>191</v>
      </c>
    </row>
    <row r="359" spans="1:6" ht="14.5">
      <c r="A359" s="25">
        <v>44194</v>
      </c>
      <c r="B359" s="26">
        <v>51</v>
      </c>
      <c r="C359" s="22"/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/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>
        <v>2</v>
      </c>
      <c r="D365" s="22"/>
      <c r="E365" s="22" t="s">
        <v>191</v>
      </c>
      <c r="F365" s="22"/>
    </row>
    <row r="366" spans="1:6" ht="14.5">
      <c r="A366" s="25">
        <v>44201</v>
      </c>
      <c r="B366" s="26">
        <v>1</v>
      </c>
      <c r="C366" s="22"/>
      <c r="D366" s="22"/>
      <c r="E366" s="22"/>
      <c r="F366" s="22"/>
    </row>
    <row r="367" spans="1:6" ht="14.5">
      <c r="A367" s="25">
        <v>44202</v>
      </c>
      <c r="B367" s="26">
        <v>1</v>
      </c>
      <c r="C367" s="22"/>
      <c r="D367" s="22"/>
      <c r="E367" s="22"/>
      <c r="F367" s="22"/>
    </row>
    <row r="368" spans="1:6" ht="14.5">
      <c r="A368" s="25">
        <v>44203</v>
      </c>
      <c r="B368" s="26">
        <v>1</v>
      </c>
      <c r="C368" s="22">
        <v>1</v>
      </c>
      <c r="D368" s="22"/>
      <c r="E368" s="22" t="s">
        <v>191</v>
      </c>
      <c r="F368" s="22"/>
    </row>
    <row r="369" spans="1:7" ht="14.5">
      <c r="A369" s="25">
        <v>44204</v>
      </c>
      <c r="B369" s="26">
        <v>1</v>
      </c>
      <c r="C369" s="22"/>
      <c r="D369" s="22">
        <v>1</v>
      </c>
      <c r="E369" s="22"/>
      <c r="F369" s="22" t="s">
        <v>191</v>
      </c>
    </row>
    <row r="370" spans="1:7" ht="14.5">
      <c r="A370" s="25">
        <v>44205</v>
      </c>
      <c r="B370" s="26">
        <v>1</v>
      </c>
      <c r="C370" s="22"/>
      <c r="D370" s="22"/>
      <c r="E370" s="22"/>
      <c r="F370" s="22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1</v>
      </c>
      <c r="D373" s="22"/>
      <c r="E373" s="22" t="s">
        <v>190</v>
      </c>
      <c r="F373" s="35"/>
    </row>
    <row r="374" spans="1:7" ht="14.5">
      <c r="A374" s="25">
        <v>44209</v>
      </c>
      <c r="B374" s="26">
        <v>2</v>
      </c>
      <c r="C374" s="22">
        <v>1</v>
      </c>
      <c r="D374" s="22"/>
      <c r="E374" s="22" t="s">
        <v>191</v>
      </c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35"/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>
        <v>1</v>
      </c>
      <c r="D382" s="22"/>
      <c r="E382" s="22" t="s">
        <v>191</v>
      </c>
      <c r="F382" s="22"/>
    </row>
    <row r="383" spans="1:7" ht="14.5">
      <c r="A383" s="25">
        <v>44218</v>
      </c>
      <c r="B383" s="26">
        <v>3</v>
      </c>
      <c r="C383" s="22"/>
      <c r="D383" s="22"/>
      <c r="E383" s="35"/>
      <c r="F383" s="22"/>
    </row>
    <row r="384" spans="1:7" ht="14.5">
      <c r="A384" s="25">
        <v>44219</v>
      </c>
      <c r="B384" s="26">
        <v>3</v>
      </c>
      <c r="C384" s="22">
        <v>1</v>
      </c>
      <c r="D384" s="22"/>
      <c r="E384" s="22" t="s">
        <v>191</v>
      </c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>
        <v>4</v>
      </c>
      <c r="D387" s="22"/>
      <c r="E387" s="22" t="s">
        <v>191</v>
      </c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43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35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>
        <v>1</v>
      </c>
      <c r="D430" s="22"/>
      <c r="E430" s="22" t="s">
        <v>191</v>
      </c>
      <c r="F430" s="22"/>
    </row>
    <row r="431" spans="1:6" ht="14.5">
      <c r="A431" s="25">
        <v>44266</v>
      </c>
      <c r="B431" s="26">
        <v>10</v>
      </c>
      <c r="C431" s="22">
        <v>1</v>
      </c>
      <c r="D431" s="22"/>
      <c r="E431" s="22" t="s">
        <v>191</v>
      </c>
      <c r="F431" s="22"/>
    </row>
    <row r="432" spans="1:6" ht="14.5">
      <c r="A432" s="25">
        <v>44267</v>
      </c>
      <c r="B432" s="26">
        <v>10</v>
      </c>
      <c r="C432" s="22">
        <v>3</v>
      </c>
      <c r="D432" s="22"/>
      <c r="E432" s="22" t="s">
        <v>191</v>
      </c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>
        <v>1</v>
      </c>
      <c r="D435" s="22"/>
      <c r="E435" s="22" t="s">
        <v>190</v>
      </c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>
        <v>1</v>
      </c>
      <c r="D439" s="22"/>
      <c r="E439" s="22" t="s">
        <v>191</v>
      </c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>
        <v>1</v>
      </c>
      <c r="D446" s="22"/>
      <c r="E446" s="22" t="s">
        <v>203</v>
      </c>
      <c r="F446" s="22"/>
    </row>
    <row r="447" spans="1:6" ht="14.5">
      <c r="A447" s="25">
        <v>44282</v>
      </c>
      <c r="B447" s="26">
        <v>12</v>
      </c>
      <c r="C447" s="22">
        <v>1</v>
      </c>
      <c r="D447" s="22"/>
      <c r="E447" s="22" t="s">
        <v>191</v>
      </c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2</v>
      </c>
      <c r="D452" s="22"/>
      <c r="E452" s="22" t="s">
        <v>191</v>
      </c>
      <c r="F452" s="22"/>
    </row>
    <row r="453" spans="1:6" ht="14.5">
      <c r="A453" s="25">
        <v>44288</v>
      </c>
      <c r="B453" s="26">
        <v>13</v>
      </c>
      <c r="C453" s="22"/>
      <c r="D453" s="22"/>
      <c r="E453" s="35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35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>
        <v>1</v>
      </c>
      <c r="D472" s="22"/>
      <c r="E472" s="22" t="s">
        <v>191</v>
      </c>
      <c r="F472" s="22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>
        <v>1</v>
      </c>
      <c r="D480" s="22"/>
      <c r="E480" s="22" t="s">
        <v>190</v>
      </c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4.5">
      <c r="A482" s="25">
        <v>44317</v>
      </c>
      <c r="B482" s="26">
        <v>17</v>
      </c>
      <c r="C482" s="22"/>
      <c r="D482" s="22">
        <v>1</v>
      </c>
      <c r="E482" s="22"/>
      <c r="F482" s="22" t="s">
        <v>191</v>
      </c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35"/>
      <c r="F487" s="22"/>
    </row>
    <row r="488" spans="1:7" ht="14.5">
      <c r="A488" s="25">
        <v>44323</v>
      </c>
      <c r="B488" s="26">
        <v>18</v>
      </c>
      <c r="C488" s="22">
        <v>2</v>
      </c>
      <c r="D488" s="22"/>
      <c r="E488" s="22" t="s">
        <v>191</v>
      </c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>
        <v>1</v>
      </c>
      <c r="D492" s="22"/>
      <c r="E492" s="22" t="s">
        <v>191</v>
      </c>
      <c r="F492" s="22"/>
    </row>
    <row r="493" spans="1:7" ht="14.5">
      <c r="A493" s="25">
        <v>44328</v>
      </c>
      <c r="B493" s="26">
        <v>19</v>
      </c>
      <c r="C493" s="22"/>
      <c r="D493" s="22"/>
      <c r="E493" s="35"/>
      <c r="F493" s="22"/>
    </row>
    <row r="494" spans="1:7" ht="14.5">
      <c r="A494" s="25">
        <v>44329</v>
      </c>
      <c r="B494" s="26">
        <v>19</v>
      </c>
      <c r="C494" s="22"/>
      <c r="D494" s="22"/>
      <c r="E494" s="35"/>
      <c r="F494" s="22"/>
    </row>
    <row r="495" spans="1:7" ht="14.5">
      <c r="A495" s="25">
        <v>44330</v>
      </c>
      <c r="B495" s="26">
        <v>19</v>
      </c>
      <c r="C495" s="22"/>
      <c r="D495" s="22"/>
      <c r="E495" s="35"/>
      <c r="F495" s="22"/>
    </row>
    <row r="496" spans="1:7" ht="14.5">
      <c r="A496" s="25">
        <v>44331</v>
      </c>
      <c r="B496" s="26">
        <v>19</v>
      </c>
      <c r="C496" s="22">
        <v>2</v>
      </c>
      <c r="D496" s="22"/>
      <c r="E496" s="22" t="s">
        <v>191</v>
      </c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>
        <v>1</v>
      </c>
      <c r="E499" s="22" t="s">
        <v>191</v>
      </c>
      <c r="F499" s="22" t="s">
        <v>191</v>
      </c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>
        <v>2</v>
      </c>
      <c r="D501" s="22"/>
      <c r="E501" s="22" t="s">
        <v>191</v>
      </c>
      <c r="F501" s="22"/>
    </row>
    <row r="502" spans="1:6" ht="14.5">
      <c r="A502" s="25">
        <v>44337</v>
      </c>
      <c r="B502" s="26">
        <v>20</v>
      </c>
      <c r="C502" s="22">
        <v>3</v>
      </c>
      <c r="D502" s="22"/>
      <c r="E502" s="22" t="s">
        <v>201</v>
      </c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>
        <v>2</v>
      </c>
      <c r="D505" s="22"/>
      <c r="E505" s="22" t="s">
        <v>191</v>
      </c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v>1</v>
      </c>
      <c r="D508" s="22"/>
      <c r="E508" s="22" t="s">
        <v>191</v>
      </c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>
        <v>1</v>
      </c>
      <c r="D512" s="22"/>
      <c r="E512" s="22" t="s">
        <v>191</v>
      </c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>
        <v>1</v>
      </c>
      <c r="D514" s="22"/>
      <c r="E514" s="22" t="s">
        <v>191</v>
      </c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>
        <v>1</v>
      </c>
      <c r="D519" s="22"/>
      <c r="E519" s="22" t="s">
        <v>191</v>
      </c>
      <c r="F519" s="22"/>
    </row>
    <row r="520" spans="1:6" ht="14.5">
      <c r="A520" s="25">
        <v>44355</v>
      </c>
      <c r="B520" s="26">
        <v>23</v>
      </c>
      <c r="C520" s="22"/>
      <c r="D520" s="22">
        <v>1</v>
      </c>
      <c r="E520" s="22"/>
      <c r="F520" s="22" t="s">
        <v>191</v>
      </c>
    </row>
    <row r="521" spans="1:6" ht="14.5">
      <c r="A521" s="25">
        <v>44356</v>
      </c>
      <c r="B521" s="26">
        <v>23</v>
      </c>
      <c r="C521" s="22"/>
      <c r="D521" s="22">
        <v>1</v>
      </c>
      <c r="E521" s="22"/>
      <c r="F521" s="22" t="s">
        <v>191</v>
      </c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35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>
        <v>1</v>
      </c>
      <c r="D528" s="22">
        <v>1</v>
      </c>
      <c r="E528" s="22" t="s">
        <v>191</v>
      </c>
      <c r="F528" s="22" t="s">
        <v>203</v>
      </c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35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44381</v>
      </c>
      <c r="B547" s="26">
        <v>26</v>
      </c>
      <c r="C547" s="22"/>
      <c r="D547" s="22"/>
      <c r="E547" s="22"/>
      <c r="F547" s="22"/>
    </row>
    <row r="548" spans="1:6" ht="14.5">
      <c r="A548" s="25">
        <v>44382</v>
      </c>
      <c r="B548" s="26">
        <v>27</v>
      </c>
      <c r="C548" s="22"/>
      <c r="D548" s="22"/>
      <c r="E548" s="22"/>
      <c r="F548" s="22"/>
    </row>
    <row r="549" spans="1:6" ht="14.5">
      <c r="A549" s="25">
        <v>44383</v>
      </c>
      <c r="B549" s="26">
        <v>27</v>
      </c>
      <c r="C549" s="22">
        <v>1</v>
      </c>
      <c r="D549" s="22"/>
      <c r="E549" s="22" t="s">
        <v>191</v>
      </c>
      <c r="F549" s="22"/>
    </row>
    <row r="550" spans="1:6" ht="14.5">
      <c r="A550" s="25">
        <v>44384</v>
      </c>
      <c r="B550" s="26">
        <v>27</v>
      </c>
      <c r="C550" s="22"/>
      <c r="D550" s="22"/>
      <c r="E550" s="22"/>
      <c r="F550" s="22"/>
    </row>
    <row r="551" spans="1:6" ht="14.5">
      <c r="A551" s="25">
        <v>44385</v>
      </c>
      <c r="B551" s="26">
        <v>27</v>
      </c>
      <c r="C551" s="22"/>
      <c r="D551" s="22"/>
      <c r="E551" s="22"/>
      <c r="F551" s="22"/>
    </row>
    <row r="552" spans="1:6" ht="14.5">
      <c r="A552" s="25">
        <v>44386</v>
      </c>
      <c r="B552" s="26">
        <v>27</v>
      </c>
      <c r="C552" s="22"/>
      <c r="D552" s="22"/>
      <c r="E552" s="22"/>
      <c r="F552" s="22"/>
    </row>
    <row r="553" spans="1:6" ht="14.5">
      <c r="A553" s="25">
        <v>44387</v>
      </c>
      <c r="B553" s="26">
        <v>27</v>
      </c>
      <c r="C553" s="22"/>
      <c r="D553" s="22"/>
      <c r="E553" s="22"/>
      <c r="F553" s="22"/>
    </row>
    <row r="554" spans="1:6" ht="14.5">
      <c r="A554" s="25">
        <v>44388</v>
      </c>
      <c r="B554" s="26">
        <v>27</v>
      </c>
      <c r="C554" s="22"/>
      <c r="D554" s="22"/>
      <c r="E554" s="22"/>
      <c r="F554" s="22"/>
    </row>
    <row r="555" spans="1:6" ht="14.5">
      <c r="A555" s="25">
        <v>44389</v>
      </c>
      <c r="B555" s="26">
        <v>28</v>
      </c>
      <c r="C555" s="22"/>
      <c r="D555" s="22"/>
      <c r="E555" s="22"/>
      <c r="F555" s="22"/>
    </row>
    <row r="556" spans="1:6" ht="14.5">
      <c r="A556" s="25">
        <v>44390</v>
      </c>
      <c r="B556" s="26">
        <v>28</v>
      </c>
      <c r="C556" s="22"/>
      <c r="D556" s="22"/>
      <c r="E556" s="22"/>
      <c r="F556" s="22"/>
    </row>
    <row r="557" spans="1:6" ht="14.5">
      <c r="A557" s="25">
        <v>44391</v>
      </c>
      <c r="B557" s="26">
        <v>28</v>
      </c>
      <c r="C557" s="22"/>
      <c r="D557" s="22"/>
      <c r="E557" s="22"/>
      <c r="F557" s="22"/>
    </row>
    <row r="558" spans="1:6" ht="14.5">
      <c r="A558" s="25">
        <v>44392</v>
      </c>
      <c r="B558" s="26">
        <v>28</v>
      </c>
      <c r="C558" s="22"/>
      <c r="D558" s="22"/>
      <c r="E558" s="22"/>
      <c r="F558" s="22"/>
    </row>
    <row r="559" spans="1:6" ht="14.5">
      <c r="A559" s="25">
        <v>44393</v>
      </c>
      <c r="B559" s="26">
        <v>28</v>
      </c>
      <c r="C559" s="22"/>
      <c r="D559" s="22"/>
      <c r="E559" s="22"/>
      <c r="F559" s="22"/>
    </row>
    <row r="560" spans="1:6" ht="14.5">
      <c r="A560" s="25">
        <v>44394</v>
      </c>
      <c r="B560" s="26">
        <v>28</v>
      </c>
      <c r="C560" s="22"/>
      <c r="D560" s="22"/>
      <c r="E560" s="22"/>
      <c r="F560" s="22"/>
    </row>
    <row r="561" spans="1:6" ht="14.5">
      <c r="A561" s="25">
        <v>44395</v>
      </c>
      <c r="B561" s="26">
        <v>28</v>
      </c>
      <c r="C561" s="22"/>
      <c r="D561" s="22"/>
      <c r="E561" s="22"/>
      <c r="F561" s="22"/>
    </row>
    <row r="562" spans="1:6" ht="14.5">
      <c r="A562" s="25">
        <v>44396</v>
      </c>
      <c r="B562" s="26">
        <v>29</v>
      </c>
      <c r="C562" s="22"/>
      <c r="D562" s="22"/>
      <c r="E562" s="22"/>
      <c r="F562" s="22"/>
    </row>
    <row r="563" spans="1:6" ht="14.5">
      <c r="A563" s="25">
        <v>44397</v>
      </c>
      <c r="B563" s="26">
        <v>29</v>
      </c>
      <c r="C563" s="22"/>
      <c r="D563" s="22"/>
      <c r="E563" s="22"/>
      <c r="F563" s="22"/>
    </row>
    <row r="564" spans="1:6" ht="14.5">
      <c r="A564" s="25">
        <v>44398</v>
      </c>
      <c r="B564" s="26">
        <v>29</v>
      </c>
      <c r="C564" s="22"/>
      <c r="D564" s="22"/>
      <c r="E564" s="22"/>
      <c r="F564" s="22"/>
    </row>
    <row r="565" spans="1:6" ht="14.5">
      <c r="A565" s="25">
        <v>44399</v>
      </c>
      <c r="B565" s="26">
        <v>29</v>
      </c>
      <c r="C565" s="22"/>
      <c r="D565" s="22"/>
      <c r="E565" s="22"/>
      <c r="F565" s="22"/>
    </row>
    <row r="566" spans="1:6" ht="14.5">
      <c r="A566" s="25">
        <v>44400</v>
      </c>
      <c r="B566" s="26">
        <v>29</v>
      </c>
      <c r="C566" s="22"/>
      <c r="D566" s="22"/>
      <c r="E566" s="22"/>
      <c r="F566" s="22"/>
    </row>
    <row r="567" spans="1:6" ht="14.5">
      <c r="A567" s="25">
        <v>44401</v>
      </c>
      <c r="B567" s="26">
        <v>29</v>
      </c>
      <c r="C567" s="22"/>
      <c r="D567" s="22"/>
      <c r="E567" s="22"/>
      <c r="F567" s="22"/>
    </row>
    <row r="568" spans="1:6" ht="14.5">
      <c r="A568" s="25">
        <v>44402</v>
      </c>
      <c r="B568" s="26">
        <v>29</v>
      </c>
      <c r="C568" s="22"/>
      <c r="D568" s="22"/>
      <c r="E568" s="22"/>
      <c r="F568" s="22"/>
    </row>
    <row r="569" spans="1:6" ht="14.5">
      <c r="A569" s="25">
        <v>44403</v>
      </c>
      <c r="B569" s="26">
        <v>30</v>
      </c>
      <c r="C569" s="22"/>
      <c r="D569" s="22"/>
      <c r="E569" s="35"/>
      <c r="F569" s="22"/>
    </row>
    <row r="570" spans="1:6" ht="14.5">
      <c r="A570" s="25">
        <v>44404</v>
      </c>
      <c r="B570" s="26">
        <v>30</v>
      </c>
      <c r="C570" s="22">
        <v>1</v>
      </c>
      <c r="D570" s="22"/>
      <c r="E570" s="22" t="s">
        <v>191</v>
      </c>
      <c r="F570" s="22"/>
    </row>
    <row r="571" spans="1:6" ht="14.5">
      <c r="A571" s="28">
        <v>44405</v>
      </c>
      <c r="B571" s="22">
        <v>30</v>
      </c>
      <c r="C571" s="22"/>
      <c r="D571" s="22"/>
      <c r="E571" s="22"/>
      <c r="F571" s="22"/>
    </row>
    <row r="572" spans="1:6" ht="14.5">
      <c r="A572" s="28">
        <v>44406</v>
      </c>
      <c r="B572" s="22">
        <v>30</v>
      </c>
      <c r="C572" s="22"/>
      <c r="D572" s="22"/>
      <c r="E572" s="22"/>
      <c r="F572" s="22"/>
    </row>
    <row r="573" spans="1:6" ht="14.5">
      <c r="A573" s="28">
        <v>44407</v>
      </c>
      <c r="B573" s="22">
        <v>30</v>
      </c>
      <c r="C573" s="22"/>
      <c r="D573" s="22"/>
      <c r="E573" s="22"/>
      <c r="F573" s="22"/>
    </row>
    <row r="574" spans="1:6" ht="14.5">
      <c r="A574" s="28">
        <v>44408</v>
      </c>
      <c r="B574" s="22">
        <v>30</v>
      </c>
      <c r="C574" s="22">
        <v>1</v>
      </c>
      <c r="D574" s="22"/>
      <c r="E574" s="22" t="s">
        <v>191</v>
      </c>
      <c r="F574" s="22"/>
    </row>
    <row r="575" spans="1:6" ht="14.5">
      <c r="A575" s="28">
        <v>44409</v>
      </c>
      <c r="B575" s="22">
        <v>30</v>
      </c>
      <c r="C575" s="22"/>
      <c r="D575" s="22"/>
      <c r="E575" s="22"/>
      <c r="F575" s="22"/>
    </row>
    <row r="576" spans="1:6" ht="14.5">
      <c r="A576" s="28">
        <v>44410</v>
      </c>
      <c r="B576" s="22">
        <v>31</v>
      </c>
      <c r="C576" s="22"/>
      <c r="D576" s="22">
        <v>1</v>
      </c>
      <c r="E576" s="22"/>
      <c r="F576" s="22" t="s">
        <v>191</v>
      </c>
    </row>
    <row r="577" spans="1:6" ht="14.5">
      <c r="A577" s="28">
        <v>44411</v>
      </c>
      <c r="B577" s="22">
        <v>31</v>
      </c>
      <c r="C577" s="22"/>
      <c r="D577" s="22">
        <v>1</v>
      </c>
      <c r="E577" s="22"/>
      <c r="F577" s="22" t="s">
        <v>191</v>
      </c>
    </row>
    <row r="578" spans="1:6" ht="14.5">
      <c r="A578" s="28">
        <v>44412</v>
      </c>
      <c r="B578" s="22">
        <v>31</v>
      </c>
      <c r="C578" s="22"/>
      <c r="D578" s="22"/>
      <c r="E578" s="22"/>
      <c r="F578" s="22"/>
    </row>
    <row r="579" spans="1:6" ht="14.5">
      <c r="A579" s="28">
        <v>44413</v>
      </c>
      <c r="B579" s="22">
        <v>31</v>
      </c>
      <c r="C579" s="22"/>
      <c r="D579" s="22"/>
      <c r="E579" s="22"/>
      <c r="F579" s="22"/>
    </row>
    <row r="580" spans="1:6" ht="14.5">
      <c r="A580" s="28">
        <v>44414</v>
      </c>
      <c r="B580" s="22">
        <v>31</v>
      </c>
      <c r="C580" s="22"/>
      <c r="D580" s="22"/>
      <c r="E580" s="22"/>
      <c r="F580" s="22"/>
    </row>
    <row r="581" spans="1:6" ht="14.5">
      <c r="A581" s="28">
        <v>44415</v>
      </c>
      <c r="B581" s="22">
        <v>31</v>
      </c>
      <c r="C581" s="22">
        <v>1</v>
      </c>
      <c r="D581" s="22"/>
      <c r="E581" s="22" t="s">
        <v>191</v>
      </c>
      <c r="F581" s="22"/>
    </row>
    <row r="582" spans="1:6" ht="14.5">
      <c r="A582" s="28">
        <v>44416</v>
      </c>
      <c r="B582" s="22">
        <v>31</v>
      </c>
      <c r="C582" s="22"/>
      <c r="D582" s="22"/>
      <c r="E582" s="22"/>
      <c r="F582" s="22"/>
    </row>
    <row r="583" spans="1:6" ht="14.5">
      <c r="A583" s="28">
        <v>44417</v>
      </c>
      <c r="B583" s="22">
        <v>32</v>
      </c>
      <c r="C583" s="22"/>
      <c r="D583" s="22"/>
      <c r="E583" s="22"/>
      <c r="F583" s="22"/>
    </row>
    <row r="584" spans="1:6" ht="14.5">
      <c r="A584" s="28">
        <v>44418</v>
      </c>
      <c r="B584" s="22">
        <v>32</v>
      </c>
      <c r="C584" s="22">
        <v>1</v>
      </c>
      <c r="D584" s="22"/>
      <c r="E584" s="22" t="s">
        <v>191</v>
      </c>
      <c r="F584" s="22"/>
    </row>
    <row r="585" spans="1:6" ht="14.5">
      <c r="A585" s="28">
        <v>44419</v>
      </c>
      <c r="B585" s="22">
        <v>32</v>
      </c>
      <c r="C585" s="22"/>
      <c r="D585" s="22"/>
      <c r="E585" s="22"/>
      <c r="F585" s="22"/>
    </row>
    <row r="586" spans="1:6" ht="14.5">
      <c r="A586" s="28">
        <v>44420</v>
      </c>
      <c r="B586" s="22">
        <v>32</v>
      </c>
      <c r="C586" s="22"/>
      <c r="D586" s="22"/>
      <c r="E586" s="22"/>
      <c r="F586" s="22"/>
    </row>
    <row r="587" spans="1:6" ht="14.5">
      <c r="A587" s="28">
        <v>44421</v>
      </c>
      <c r="B587" s="22">
        <v>32</v>
      </c>
      <c r="C587" s="22"/>
      <c r="D587" s="22"/>
      <c r="E587" s="22"/>
      <c r="F587" s="22"/>
    </row>
    <row r="588" spans="1:6" ht="14.5">
      <c r="A588" s="28">
        <v>44422</v>
      </c>
      <c r="B588" s="22">
        <v>32</v>
      </c>
      <c r="C588" s="22">
        <v>1</v>
      </c>
      <c r="D588" s="22"/>
      <c r="E588" s="22" t="s">
        <v>190</v>
      </c>
      <c r="F588" s="22"/>
    </row>
    <row r="589" spans="1:6" ht="14.5">
      <c r="A589" s="28">
        <v>44423</v>
      </c>
      <c r="B589" s="22">
        <v>32</v>
      </c>
      <c r="C589" s="22"/>
      <c r="D589" s="22"/>
      <c r="E589" s="22"/>
      <c r="F589" s="22"/>
    </row>
    <row r="590" spans="1:6" ht="14.5">
      <c r="A590" s="28">
        <v>44424</v>
      </c>
      <c r="B590" s="22">
        <v>33</v>
      </c>
      <c r="C590" s="22"/>
      <c r="D590" s="22"/>
      <c r="E590" s="22"/>
      <c r="F590" s="22"/>
    </row>
    <row r="591" spans="1:6" ht="14.5">
      <c r="A591" s="28">
        <v>44425</v>
      </c>
      <c r="B591" s="22">
        <v>33</v>
      </c>
      <c r="C591" s="22"/>
      <c r="D591" s="22">
        <v>1</v>
      </c>
      <c r="E591" s="22"/>
      <c r="F591" s="22" t="s">
        <v>191</v>
      </c>
    </row>
    <row r="592" spans="1:6" ht="14.5">
      <c r="A592" s="28">
        <v>44426</v>
      </c>
      <c r="B592" s="22">
        <v>33</v>
      </c>
      <c r="C592" s="22">
        <f>2+1</f>
        <v>3</v>
      </c>
      <c r="D592" s="22">
        <v>1</v>
      </c>
      <c r="E592" s="22" t="s">
        <v>206</v>
      </c>
      <c r="F592" s="22" t="s">
        <v>203</v>
      </c>
    </row>
    <row r="593" spans="1:6" ht="14.5">
      <c r="A593" s="28">
        <v>44427</v>
      </c>
      <c r="B593" s="22">
        <v>33</v>
      </c>
      <c r="C593" s="22">
        <v>1</v>
      </c>
      <c r="D593" s="22">
        <v>1</v>
      </c>
      <c r="E593" s="22" t="s">
        <v>191</v>
      </c>
      <c r="F593" s="22" t="s">
        <v>191</v>
      </c>
    </row>
    <row r="594" spans="1:6" ht="14.5">
      <c r="A594" s="28">
        <v>44428</v>
      </c>
      <c r="B594" s="22">
        <v>33</v>
      </c>
      <c r="C594" s="22"/>
      <c r="D594" s="22"/>
      <c r="E594" s="22"/>
      <c r="F594" s="22"/>
    </row>
    <row r="595" spans="1:6" ht="14.5">
      <c r="A595" s="28">
        <v>44429</v>
      </c>
      <c r="B595" s="22">
        <v>33</v>
      </c>
      <c r="C595" s="22"/>
      <c r="D595" s="22">
        <v>1</v>
      </c>
      <c r="E595" s="22"/>
      <c r="F595" s="22" t="s">
        <v>191</v>
      </c>
    </row>
    <row r="596" spans="1:6" ht="14.5">
      <c r="A596" s="28">
        <v>44430</v>
      </c>
      <c r="B596" s="22">
        <v>33</v>
      </c>
      <c r="C596" s="22"/>
      <c r="D596" s="22"/>
      <c r="E596" s="22"/>
      <c r="F596" s="22"/>
    </row>
    <row r="597" spans="1:6" ht="14.5">
      <c r="A597" s="28">
        <v>44431</v>
      </c>
      <c r="B597" s="22">
        <v>34</v>
      </c>
      <c r="C597" s="22"/>
      <c r="D597" s="22"/>
      <c r="E597" s="22"/>
      <c r="F597" s="22"/>
    </row>
    <row r="598" spans="1:6" ht="14.5">
      <c r="A598" s="28">
        <v>44432</v>
      </c>
      <c r="B598" s="22">
        <v>34</v>
      </c>
      <c r="C598" s="22">
        <v>1</v>
      </c>
      <c r="D598" s="22">
        <f>1+1</f>
        <v>2</v>
      </c>
      <c r="E598" s="22" t="s">
        <v>191</v>
      </c>
      <c r="F598" s="22" t="s">
        <v>207</v>
      </c>
    </row>
    <row r="599" spans="1:6" ht="14.5">
      <c r="A599" s="28">
        <v>44433</v>
      </c>
      <c r="B599" s="22">
        <v>34</v>
      </c>
      <c r="C599" s="22">
        <v>3</v>
      </c>
      <c r="D599" s="22"/>
      <c r="E599" s="22" t="s">
        <v>191</v>
      </c>
      <c r="F599" s="22"/>
    </row>
    <row r="600" spans="1:6" ht="14.5">
      <c r="A600" s="28">
        <v>44434</v>
      </c>
      <c r="B600" s="22">
        <v>34</v>
      </c>
      <c r="C600" s="22">
        <v>1</v>
      </c>
      <c r="D600" s="22"/>
      <c r="E600" s="22" t="s">
        <v>204</v>
      </c>
      <c r="F600" s="22"/>
    </row>
    <row r="601" spans="1:6" ht="14.5">
      <c r="A601" s="28">
        <v>44435</v>
      </c>
      <c r="B601" s="22">
        <v>34</v>
      </c>
      <c r="C601" s="22">
        <v>3</v>
      </c>
      <c r="D601" s="22"/>
      <c r="E601" s="22" t="s">
        <v>191</v>
      </c>
      <c r="F601" s="22"/>
    </row>
    <row r="602" spans="1:6" ht="14.5">
      <c r="A602" s="28">
        <v>44436</v>
      </c>
      <c r="B602" s="22">
        <v>34</v>
      </c>
      <c r="C602" s="22">
        <v>3</v>
      </c>
      <c r="D602" s="22"/>
      <c r="E602" s="22" t="s">
        <v>191</v>
      </c>
      <c r="F602" s="22"/>
    </row>
    <row r="603" spans="1:6" ht="14.5">
      <c r="A603" s="28">
        <v>44437</v>
      </c>
      <c r="B603" s="22">
        <v>34</v>
      </c>
      <c r="C603" s="22"/>
      <c r="D603" s="22"/>
      <c r="E603" s="22"/>
      <c r="F603" s="22"/>
    </row>
    <row r="604" spans="1:6" ht="14.5">
      <c r="A604" s="28">
        <v>44438</v>
      </c>
      <c r="B604" s="22">
        <v>35</v>
      </c>
      <c r="C604" s="22">
        <v>1</v>
      </c>
      <c r="D604" s="22"/>
      <c r="E604" s="22" t="s">
        <v>191</v>
      </c>
      <c r="F604" s="22"/>
    </row>
    <row r="605" spans="1:6" ht="14.5">
      <c r="A605" s="28">
        <v>44439</v>
      </c>
      <c r="B605" s="22">
        <v>35</v>
      </c>
      <c r="C605" s="22">
        <v>1</v>
      </c>
      <c r="D605" s="22">
        <v>1</v>
      </c>
      <c r="E605" s="22" t="s">
        <v>191</v>
      </c>
      <c r="F605" s="22" t="s">
        <v>191</v>
      </c>
    </row>
    <row r="606" spans="1:6" ht="14.5">
      <c r="A606" s="28">
        <v>44440</v>
      </c>
      <c r="B606" s="22">
        <v>35</v>
      </c>
      <c r="C606" s="22">
        <v>1</v>
      </c>
      <c r="D606" s="22"/>
      <c r="E606" s="22" t="s">
        <v>190</v>
      </c>
      <c r="F606" s="22"/>
    </row>
    <row r="607" spans="1:6" ht="14.5">
      <c r="A607" s="28">
        <v>44441</v>
      </c>
      <c r="B607" s="22">
        <v>35</v>
      </c>
      <c r="C607" s="22"/>
      <c r="D607" s="22"/>
      <c r="E607" s="22"/>
      <c r="F607" s="22"/>
    </row>
    <row r="608" spans="1:6" ht="14.5">
      <c r="A608" s="28">
        <v>44442</v>
      </c>
      <c r="B608" s="22">
        <v>35</v>
      </c>
      <c r="C608" s="22">
        <v>1</v>
      </c>
      <c r="D608" s="22"/>
      <c r="E608" s="22" t="s">
        <v>191</v>
      </c>
      <c r="F608" s="22"/>
    </row>
    <row r="609" spans="1:6" ht="14.5">
      <c r="A609" s="28">
        <v>44443</v>
      </c>
      <c r="B609" s="22">
        <v>35</v>
      </c>
      <c r="C609" s="22"/>
      <c r="D609" s="22"/>
      <c r="E609" s="22"/>
      <c r="F609" s="22"/>
    </row>
    <row r="610" spans="1:6" ht="14.5">
      <c r="A610" s="28">
        <v>44444</v>
      </c>
      <c r="B610" s="22">
        <v>35</v>
      </c>
      <c r="C610" s="22"/>
      <c r="D610" s="22"/>
      <c r="E610" s="22"/>
      <c r="F610" s="22"/>
    </row>
    <row r="611" spans="1:6" ht="14.5">
      <c r="A611" s="28">
        <v>44445</v>
      </c>
      <c r="B611" s="22">
        <v>36</v>
      </c>
      <c r="C611" s="22"/>
      <c r="D611" s="22"/>
      <c r="E611" s="22"/>
      <c r="F611" s="22"/>
    </row>
    <row r="612" spans="1:6" ht="14.5">
      <c r="A612" s="28">
        <v>44446</v>
      </c>
      <c r="B612" s="22">
        <v>36</v>
      </c>
      <c r="C612" s="22"/>
      <c r="D612" s="22"/>
      <c r="E612" s="22"/>
      <c r="F612" s="22"/>
    </row>
    <row r="613" spans="1:6" ht="14.5">
      <c r="A613" s="28">
        <v>44447</v>
      </c>
      <c r="B613" s="22">
        <v>36</v>
      </c>
      <c r="C613" s="22"/>
      <c r="D613" s="22"/>
      <c r="E613" s="22"/>
      <c r="F613" s="22"/>
    </row>
    <row r="614" spans="1:6" ht="14.5">
      <c r="A614" s="28">
        <v>44448</v>
      </c>
      <c r="B614" s="22">
        <v>36</v>
      </c>
      <c r="C614" s="22"/>
      <c r="D614" s="22">
        <v>1</v>
      </c>
      <c r="E614" s="22"/>
      <c r="F614" s="22" t="s">
        <v>191</v>
      </c>
    </row>
    <row r="615" spans="1:6" ht="14.5">
      <c r="A615" s="28">
        <v>44449</v>
      </c>
      <c r="B615" s="22">
        <v>36</v>
      </c>
      <c r="C615" s="22">
        <v>1</v>
      </c>
      <c r="D615" s="22"/>
      <c r="E615" s="22" t="s">
        <v>191</v>
      </c>
      <c r="F615" s="22"/>
    </row>
    <row r="616" spans="1:6" ht="14.5">
      <c r="A616" s="28">
        <v>44450</v>
      </c>
      <c r="B616" s="22">
        <v>36</v>
      </c>
      <c r="C616" s="22"/>
      <c r="D616" s="22"/>
      <c r="E616" s="22"/>
      <c r="F616" s="22"/>
    </row>
    <row r="617" spans="1:6" ht="14.5">
      <c r="A617" s="28">
        <v>44451</v>
      </c>
      <c r="B617" s="22">
        <v>36</v>
      </c>
      <c r="C617" s="22"/>
      <c r="D617" s="22">
        <v>1</v>
      </c>
      <c r="E617" s="22"/>
      <c r="F617" s="22" t="s">
        <v>191</v>
      </c>
    </row>
    <row r="618" spans="1:6" ht="14.5">
      <c r="A618" s="28">
        <v>44452</v>
      </c>
      <c r="B618" s="22">
        <v>37</v>
      </c>
      <c r="C618" s="22"/>
      <c r="D618" s="22"/>
      <c r="E618" s="22"/>
      <c r="F618" s="22"/>
    </row>
    <row r="619" spans="1:6" ht="14.5">
      <c r="A619" s="28">
        <v>44453</v>
      </c>
      <c r="B619" s="22">
        <v>37</v>
      </c>
      <c r="C619" s="22"/>
      <c r="D619" s="22"/>
      <c r="E619" s="22"/>
      <c r="F619" s="22"/>
    </row>
    <row r="620" spans="1:6" ht="14.5">
      <c r="A620" s="28">
        <v>44454</v>
      </c>
      <c r="B620" s="22">
        <v>37</v>
      </c>
      <c r="C620" s="22"/>
      <c r="D620" s="22"/>
      <c r="E620" s="22"/>
      <c r="F620" s="22"/>
    </row>
    <row r="621" spans="1:6" ht="14.5">
      <c r="A621" s="28">
        <v>44455</v>
      </c>
      <c r="B621" s="22">
        <v>37</v>
      </c>
      <c r="C621" s="22"/>
      <c r="D621" s="22"/>
      <c r="E621" s="22"/>
      <c r="F621" s="22"/>
    </row>
    <row r="622" spans="1:6" ht="14.5">
      <c r="A622" s="28">
        <v>44456</v>
      </c>
      <c r="B622" s="22">
        <v>37</v>
      </c>
      <c r="C622" s="22"/>
      <c r="D622" s="22"/>
      <c r="E622" s="22"/>
      <c r="F622" s="22"/>
    </row>
    <row r="623" spans="1:6" ht="14.5">
      <c r="A623" s="28">
        <v>44457</v>
      </c>
      <c r="B623" s="22">
        <v>37</v>
      </c>
      <c r="C623" s="22"/>
      <c r="D623" s="22"/>
      <c r="E623" s="22"/>
      <c r="F623" s="22"/>
    </row>
    <row r="624" spans="1:6" ht="14.5">
      <c r="A624" s="28">
        <v>44458</v>
      </c>
      <c r="B624" s="22">
        <v>37</v>
      </c>
      <c r="C624" s="22"/>
      <c r="D624" s="22"/>
      <c r="E624" s="22"/>
      <c r="F624" s="22"/>
    </row>
    <row r="625" spans="1:6" ht="14.5">
      <c r="A625" s="28">
        <v>44459</v>
      </c>
      <c r="B625" s="22">
        <v>38</v>
      </c>
      <c r="C625" s="22"/>
      <c r="D625" s="22"/>
      <c r="E625" s="22"/>
      <c r="F625" s="22"/>
    </row>
    <row r="626" spans="1:6" ht="14.5">
      <c r="A626" s="28">
        <v>44460</v>
      </c>
      <c r="B626" s="22">
        <v>38</v>
      </c>
      <c r="C626" s="22"/>
      <c r="D626" s="22"/>
      <c r="E626" s="22"/>
      <c r="F626" s="22"/>
    </row>
    <row r="627" spans="1:6" ht="14.5">
      <c r="A627" s="28">
        <v>44461</v>
      </c>
      <c r="B627" s="22">
        <v>38</v>
      </c>
      <c r="C627" s="22"/>
      <c r="D627" s="22"/>
      <c r="E627" s="22"/>
      <c r="F627" s="22"/>
    </row>
    <row r="628" spans="1:6" ht="14.5">
      <c r="A628" s="28">
        <v>44462</v>
      </c>
      <c r="B628" s="22">
        <v>38</v>
      </c>
      <c r="C628" s="22"/>
      <c r="D628" s="22"/>
      <c r="E628" s="22"/>
      <c r="F628" s="22"/>
    </row>
    <row r="629" spans="1:6" ht="14.5">
      <c r="A629" s="28">
        <v>44463</v>
      </c>
      <c r="B629" s="22">
        <v>38</v>
      </c>
      <c r="C629" s="22"/>
      <c r="D629" s="22"/>
      <c r="E629" s="22"/>
      <c r="F629" s="22"/>
    </row>
    <row r="630" spans="1:6" ht="14.5">
      <c r="A630" s="28">
        <v>44464</v>
      </c>
      <c r="B630" s="22">
        <v>38</v>
      </c>
      <c r="C630" s="22"/>
      <c r="D630" s="22"/>
      <c r="E630" s="22"/>
      <c r="F630" s="22"/>
    </row>
    <row r="631" spans="1:6" ht="14.5">
      <c r="A631" s="28">
        <v>44465</v>
      </c>
      <c r="B631" s="22">
        <v>38</v>
      </c>
      <c r="C631" s="22"/>
      <c r="D631" s="22"/>
      <c r="E631" s="22"/>
      <c r="F631" s="22"/>
    </row>
    <row r="632" spans="1:6" ht="14.5">
      <c r="A632" s="28">
        <v>44466</v>
      </c>
      <c r="B632" s="22">
        <v>39</v>
      </c>
      <c r="C632" s="22"/>
      <c r="D632" s="22"/>
      <c r="E632" s="22"/>
      <c r="F632" s="22"/>
    </row>
    <row r="633" spans="1:6" ht="14.5">
      <c r="A633" s="28">
        <v>44467</v>
      </c>
      <c r="B633" s="22">
        <v>39</v>
      </c>
      <c r="C633" s="22"/>
      <c r="D633" s="22"/>
      <c r="E633" s="22"/>
      <c r="F633" s="22"/>
    </row>
    <row r="634" spans="1:6" ht="14.5">
      <c r="A634" s="28">
        <v>44468</v>
      </c>
      <c r="B634" s="22">
        <v>39</v>
      </c>
      <c r="C634" s="22"/>
      <c r="D634" s="22"/>
      <c r="E634" s="22"/>
      <c r="F634" s="22"/>
    </row>
    <row r="635" spans="1:6" ht="14.5">
      <c r="A635" s="28">
        <v>44469</v>
      </c>
      <c r="B635" s="22">
        <v>39</v>
      </c>
      <c r="C635" s="22"/>
      <c r="D635" s="22"/>
      <c r="E635" s="22"/>
      <c r="F635" s="22"/>
    </row>
    <row r="636" spans="1:6" ht="14.5">
      <c r="A636" s="28">
        <v>44470</v>
      </c>
      <c r="B636" s="22">
        <v>39</v>
      </c>
      <c r="C636" s="22"/>
      <c r="D636" s="22"/>
      <c r="E636" s="22"/>
      <c r="F636" s="22"/>
    </row>
    <row r="637" spans="1:6" ht="14.5">
      <c r="A637" s="28">
        <v>44471</v>
      </c>
      <c r="B637" s="22">
        <v>39</v>
      </c>
      <c r="C637" s="22"/>
      <c r="D637" s="22"/>
      <c r="E637" s="22"/>
      <c r="F637" s="22"/>
    </row>
    <row r="638" spans="1:6" ht="14.5">
      <c r="A638" s="28">
        <v>44472</v>
      </c>
      <c r="B638" s="22">
        <v>39</v>
      </c>
      <c r="C638" s="22"/>
      <c r="D638" s="22"/>
      <c r="E638" s="22"/>
      <c r="F638" s="22"/>
    </row>
    <row r="639" spans="1:6" ht="14.5">
      <c r="A639" s="28">
        <v>44473</v>
      </c>
      <c r="B639" s="22">
        <v>40</v>
      </c>
      <c r="C639" s="22"/>
      <c r="D639" s="22"/>
      <c r="E639" s="22"/>
      <c r="F639" s="22"/>
    </row>
    <row r="640" spans="1:6" ht="14.5">
      <c r="A640" s="28">
        <v>44474</v>
      </c>
      <c r="B640" s="22">
        <v>40</v>
      </c>
      <c r="C640" s="22"/>
      <c r="D640" s="22"/>
      <c r="E640" s="22"/>
      <c r="F640" s="22"/>
    </row>
    <row r="641" spans="1:6" ht="14.5">
      <c r="A641" s="28">
        <v>44475</v>
      </c>
      <c r="B641" s="22">
        <v>40</v>
      </c>
      <c r="C641" s="22"/>
      <c r="D641" s="22">
        <v>1</v>
      </c>
      <c r="E641" s="22"/>
      <c r="F641" s="22" t="s">
        <v>191</v>
      </c>
    </row>
    <row r="642" spans="1:6" ht="14.5">
      <c r="A642" s="28">
        <v>44476</v>
      </c>
      <c r="B642" s="22">
        <v>40</v>
      </c>
      <c r="C642" s="22"/>
      <c r="D642" s="22"/>
      <c r="E642" s="22"/>
      <c r="F642" s="22"/>
    </row>
    <row r="643" spans="1:6" ht="14.5">
      <c r="A643" s="28">
        <v>44477</v>
      </c>
      <c r="B643" s="22">
        <v>40</v>
      </c>
      <c r="C643" s="22">
        <v>1</v>
      </c>
      <c r="D643" s="22"/>
      <c r="E643" s="22" t="s">
        <v>190</v>
      </c>
      <c r="F643" s="22"/>
    </row>
    <row r="644" spans="1:6" ht="14.5">
      <c r="A644" s="28">
        <v>44478</v>
      </c>
      <c r="B644" s="22">
        <v>40</v>
      </c>
      <c r="C644" s="22"/>
      <c r="D644" s="22"/>
      <c r="E644" s="22"/>
      <c r="F644" s="22"/>
    </row>
    <row r="645" spans="1:6" ht="14.5">
      <c r="A645" s="28">
        <v>44479</v>
      </c>
      <c r="B645" s="22">
        <v>40</v>
      </c>
      <c r="C645" s="22"/>
      <c r="D645" s="22"/>
      <c r="E645" s="22"/>
      <c r="F645" s="22"/>
    </row>
    <row r="646" spans="1:6" ht="14.5">
      <c r="A646" s="28">
        <v>44480</v>
      </c>
      <c r="B646" s="22">
        <v>41</v>
      </c>
      <c r="C646" s="22"/>
      <c r="D646" s="22"/>
      <c r="E646" s="22"/>
      <c r="F646" s="22"/>
    </row>
    <row r="647" spans="1:6" ht="14.5">
      <c r="A647" s="28">
        <v>44481</v>
      </c>
      <c r="B647" s="22">
        <v>41</v>
      </c>
      <c r="C647" s="22"/>
      <c r="D647" s="22"/>
      <c r="E647" s="22"/>
      <c r="F647" s="22"/>
    </row>
    <row r="648" spans="1:6" ht="14.5">
      <c r="A648" s="28">
        <v>44482</v>
      </c>
      <c r="B648" s="22">
        <v>41</v>
      </c>
      <c r="C648" s="22"/>
      <c r="D648" s="22"/>
      <c r="E648" s="22"/>
      <c r="F648" s="22"/>
    </row>
    <row r="649" spans="1:6" ht="14.5">
      <c r="A649" s="28">
        <v>44483</v>
      </c>
      <c r="B649" s="22">
        <v>41</v>
      </c>
      <c r="C649" s="22"/>
      <c r="D649" s="22"/>
      <c r="E649" s="22"/>
      <c r="F649" s="22"/>
    </row>
    <row r="650" spans="1:6" ht="14.5">
      <c r="A650" s="28">
        <v>44484</v>
      </c>
      <c r="B650" s="22">
        <v>41</v>
      </c>
      <c r="C650" s="22"/>
      <c r="D650" s="22"/>
      <c r="E650" s="22"/>
      <c r="F650" s="22"/>
    </row>
    <row r="651" spans="1:6" ht="14.5">
      <c r="A651" s="28">
        <v>44485</v>
      </c>
      <c r="B651" s="22">
        <v>41</v>
      </c>
      <c r="C651" s="22"/>
      <c r="D651" s="22"/>
      <c r="E651" s="22"/>
      <c r="F651" s="22"/>
    </row>
    <row r="652" spans="1:6" ht="14.5">
      <c r="A652" s="28">
        <v>44486</v>
      </c>
      <c r="B652" s="22">
        <v>41</v>
      </c>
      <c r="C652" s="22"/>
      <c r="D652" s="22"/>
      <c r="E652" s="22"/>
      <c r="F652" s="22"/>
    </row>
    <row r="653" spans="1:6" ht="14.5">
      <c r="A653" s="28">
        <v>44487</v>
      </c>
      <c r="B653" s="22">
        <v>42</v>
      </c>
      <c r="C653" s="22"/>
      <c r="D653" s="22"/>
      <c r="E653" s="22"/>
      <c r="F653" s="22"/>
    </row>
    <row r="654" spans="1:6" ht="14.5">
      <c r="A654" s="28">
        <v>44488</v>
      </c>
      <c r="B654" s="22">
        <v>42</v>
      </c>
      <c r="C654" s="22"/>
      <c r="D654" s="22"/>
      <c r="E654" s="22"/>
      <c r="F654" s="22"/>
    </row>
    <row r="655" spans="1:6" ht="14.5">
      <c r="A655" s="28">
        <v>44489</v>
      </c>
      <c r="B655" s="22">
        <v>42</v>
      </c>
      <c r="C655" s="22"/>
      <c r="D655" s="22"/>
      <c r="E655" s="22"/>
      <c r="F655" s="22"/>
    </row>
    <row r="656" spans="1:6" ht="14.5">
      <c r="A656" s="28">
        <v>44490</v>
      </c>
      <c r="B656" s="22">
        <v>42</v>
      </c>
      <c r="C656" s="22"/>
      <c r="D656" s="22"/>
      <c r="E656" s="22"/>
      <c r="F656" s="22"/>
    </row>
    <row r="657" spans="1:6" ht="14.5">
      <c r="A657" s="28">
        <v>44491</v>
      </c>
      <c r="B657" s="22">
        <v>42</v>
      </c>
      <c r="C657" s="22"/>
      <c r="D657" s="22"/>
      <c r="E657" s="22"/>
      <c r="F657" s="22"/>
    </row>
    <row r="658" spans="1:6" ht="14.5">
      <c r="A658" s="28">
        <v>44492</v>
      </c>
      <c r="B658" s="22">
        <v>42</v>
      </c>
      <c r="C658" s="22"/>
      <c r="D658" s="22"/>
      <c r="E658" s="22"/>
      <c r="F658" s="22"/>
    </row>
    <row r="659" spans="1:6" ht="14.5">
      <c r="A659" s="28">
        <v>44493</v>
      </c>
      <c r="B659" s="22">
        <v>42</v>
      </c>
      <c r="C659" s="22"/>
      <c r="D659" s="22"/>
      <c r="E659" s="22"/>
      <c r="F659" s="22"/>
    </row>
    <row r="660" spans="1:6" ht="14.5">
      <c r="A660" s="28">
        <v>44494</v>
      </c>
      <c r="B660" s="22">
        <v>43</v>
      </c>
      <c r="C660" s="22"/>
      <c r="D660" s="22"/>
      <c r="E660" s="22"/>
      <c r="F660" s="22"/>
    </row>
    <row r="661" spans="1:6" ht="14.5">
      <c r="A661" s="28">
        <v>44495</v>
      </c>
      <c r="B661" s="22">
        <v>43</v>
      </c>
      <c r="C661" s="22"/>
      <c r="D661" s="22"/>
      <c r="E661" s="22"/>
      <c r="F661" s="22"/>
    </row>
    <row r="662" spans="1:6" ht="14.5">
      <c r="A662" s="28">
        <v>44496</v>
      </c>
      <c r="B662" s="22">
        <v>43</v>
      </c>
      <c r="C662" s="22"/>
      <c r="D662" s="22"/>
      <c r="E662" s="22"/>
      <c r="F662" s="22"/>
    </row>
    <row r="663" spans="1:6" ht="14.5">
      <c r="A663" s="28">
        <v>44497</v>
      </c>
      <c r="B663" s="22">
        <v>43</v>
      </c>
      <c r="C663" s="22"/>
      <c r="D663" s="22"/>
      <c r="E663" s="22"/>
      <c r="F663" s="22"/>
    </row>
    <row r="664" spans="1:6" ht="14.5">
      <c r="A664" s="28">
        <v>44498</v>
      </c>
      <c r="B664" s="22">
        <v>43</v>
      </c>
      <c r="C664" s="22"/>
      <c r="D664" s="22"/>
      <c r="E664" s="22"/>
      <c r="F664" s="22"/>
    </row>
    <row r="665" spans="1:6" ht="14.5">
      <c r="A665" s="28">
        <v>44499</v>
      </c>
      <c r="B665" s="22">
        <v>43</v>
      </c>
      <c r="C665" s="22"/>
      <c r="D665" s="22"/>
      <c r="E665" s="22"/>
      <c r="F665" s="22"/>
    </row>
    <row r="666" spans="1:6" ht="14.5">
      <c r="A666" s="28">
        <v>44500</v>
      </c>
      <c r="B666" s="22">
        <v>43</v>
      </c>
      <c r="C666" s="22"/>
      <c r="D666" s="22"/>
      <c r="E666" s="22"/>
      <c r="F666" s="22"/>
    </row>
    <row r="667" spans="1:6" ht="14.5">
      <c r="A667" s="28">
        <v>44501</v>
      </c>
      <c r="B667" s="22">
        <v>44</v>
      </c>
      <c r="C667" s="22"/>
      <c r="D667" s="22"/>
      <c r="E667" s="22"/>
      <c r="F667" s="22"/>
    </row>
    <row r="668" spans="1:6" ht="14.5">
      <c r="A668" s="28">
        <v>44502</v>
      </c>
      <c r="B668" s="22">
        <v>44</v>
      </c>
      <c r="C668" s="22"/>
      <c r="D668" s="22"/>
      <c r="E668" s="22"/>
      <c r="F668" s="22"/>
    </row>
    <row r="669" spans="1:6" ht="14.5">
      <c r="A669" s="28">
        <v>44503</v>
      </c>
      <c r="B669" s="22">
        <v>44</v>
      </c>
      <c r="C669" s="22"/>
      <c r="D669" s="22"/>
      <c r="E669" s="22"/>
      <c r="F669" s="22"/>
    </row>
    <row r="670" spans="1:6" ht="14.5">
      <c r="A670" s="28">
        <v>44504</v>
      </c>
      <c r="B670" s="22">
        <v>44</v>
      </c>
      <c r="C670" s="22"/>
      <c r="D670" s="22"/>
      <c r="E670" s="22"/>
      <c r="F670" s="22"/>
    </row>
    <row r="671" spans="1:6" ht="14.5">
      <c r="A671" s="28">
        <v>44505</v>
      </c>
      <c r="B671" s="22">
        <v>44</v>
      </c>
      <c r="C671" s="22"/>
      <c r="D671" s="22"/>
      <c r="E671" s="22"/>
      <c r="F671" s="22"/>
    </row>
    <row r="672" spans="1:6" ht="14.5">
      <c r="A672" s="28">
        <v>44506</v>
      </c>
      <c r="B672" s="22">
        <v>44</v>
      </c>
      <c r="C672" s="22"/>
      <c r="D672" s="22"/>
      <c r="E672" s="22"/>
      <c r="F672" s="22"/>
    </row>
    <row r="673" spans="1:6" ht="14.5">
      <c r="A673" s="28">
        <v>44507</v>
      </c>
      <c r="B673" s="22">
        <v>44</v>
      </c>
      <c r="C673" s="22"/>
      <c r="D673" s="22"/>
      <c r="E673" s="22"/>
      <c r="F673" s="22"/>
    </row>
    <row r="674" spans="1:6" ht="14.5">
      <c r="A674" s="28">
        <v>44508</v>
      </c>
      <c r="B674" s="22">
        <v>45</v>
      </c>
      <c r="C674" s="22"/>
      <c r="D674" s="22"/>
      <c r="E674" s="22"/>
      <c r="F674" s="22"/>
    </row>
    <row r="675" spans="1:6" ht="14.5">
      <c r="A675" s="28">
        <v>44509</v>
      </c>
      <c r="B675" s="22">
        <v>45</v>
      </c>
      <c r="C675" s="22"/>
      <c r="D675" s="22"/>
      <c r="E675" s="22"/>
      <c r="F675" s="22"/>
    </row>
    <row r="676" spans="1:6" ht="14.5">
      <c r="A676" s="28">
        <v>44510</v>
      </c>
      <c r="B676" s="22">
        <v>45</v>
      </c>
      <c r="C676" s="22"/>
      <c r="D676" s="22"/>
      <c r="E676" s="22"/>
      <c r="F676" s="22"/>
    </row>
    <row r="677" spans="1:6" ht="14.5">
      <c r="A677" s="28">
        <v>44511</v>
      </c>
      <c r="B677" s="22">
        <v>45</v>
      </c>
      <c r="C677" s="22"/>
      <c r="D677" s="22"/>
      <c r="E677" s="22"/>
      <c r="F677" s="22"/>
    </row>
    <row r="678" spans="1:6" ht="14.5">
      <c r="A678" s="28">
        <v>44512</v>
      </c>
      <c r="B678" s="22">
        <v>45</v>
      </c>
      <c r="C678" s="22"/>
      <c r="D678" s="22"/>
      <c r="E678" s="22"/>
      <c r="F678" s="22"/>
    </row>
    <row r="679" spans="1:6" ht="14.5">
      <c r="A679" s="28">
        <v>44513</v>
      </c>
      <c r="B679" s="22">
        <v>45</v>
      </c>
      <c r="C679" s="22"/>
      <c r="D679" s="22"/>
      <c r="E679" s="22"/>
      <c r="F679" s="22"/>
    </row>
    <row r="680" spans="1:6" ht="14.5">
      <c r="A680" s="28">
        <v>44514</v>
      </c>
      <c r="B680" s="22">
        <v>45</v>
      </c>
      <c r="C680" s="22"/>
      <c r="D680" s="22"/>
      <c r="E680" s="22"/>
      <c r="F680" s="22"/>
    </row>
    <row r="681" spans="1:6" ht="14.5">
      <c r="A681" s="28">
        <v>44515</v>
      </c>
      <c r="B681" s="22">
        <v>46</v>
      </c>
      <c r="C681" s="22"/>
      <c r="D681" s="22"/>
      <c r="E681" s="22"/>
      <c r="F681" s="22"/>
    </row>
    <row r="682" spans="1:6" ht="14.5">
      <c r="A682" s="28">
        <v>44516</v>
      </c>
      <c r="B682" s="22">
        <v>46</v>
      </c>
      <c r="C682" s="22"/>
      <c r="D682" s="22"/>
      <c r="E682" s="22"/>
      <c r="F682" s="22"/>
    </row>
    <row r="683" spans="1:6" ht="14.5">
      <c r="A683" s="28">
        <v>44517</v>
      </c>
      <c r="B683" s="22">
        <v>46</v>
      </c>
      <c r="C683" s="22"/>
      <c r="D683" s="22"/>
      <c r="E683" s="22"/>
      <c r="F683" s="22"/>
    </row>
    <row r="684" spans="1:6" ht="14.5">
      <c r="A684" s="28">
        <v>44518</v>
      </c>
      <c r="B684" s="22">
        <v>46</v>
      </c>
      <c r="C684" s="22"/>
      <c r="D684" s="22"/>
      <c r="E684" s="22"/>
      <c r="F684" s="22"/>
    </row>
    <row r="685" spans="1:6" ht="14.5">
      <c r="A685" s="28">
        <v>44519</v>
      </c>
      <c r="B685" s="22">
        <v>46</v>
      </c>
      <c r="C685" s="22"/>
      <c r="D685" s="22"/>
      <c r="E685" s="22"/>
      <c r="F685" s="22"/>
    </row>
    <row r="686" spans="1:6" ht="14.5">
      <c r="A686" s="28">
        <v>44520</v>
      </c>
      <c r="B686" s="22">
        <v>46</v>
      </c>
      <c r="C686" s="22"/>
      <c r="D686" s="22"/>
      <c r="E686" s="22"/>
      <c r="F686" s="22"/>
    </row>
    <row r="687" spans="1:6" ht="14.5">
      <c r="A687" s="28">
        <v>44521</v>
      </c>
      <c r="B687" s="22">
        <v>46</v>
      </c>
      <c r="C687" s="22"/>
      <c r="D687" s="22"/>
      <c r="E687" s="22"/>
      <c r="F687" s="22"/>
    </row>
    <row r="688" spans="1:6" ht="14.5">
      <c r="A688" s="28">
        <v>44522</v>
      </c>
      <c r="B688" s="22">
        <v>47</v>
      </c>
      <c r="C688" s="22"/>
      <c r="D688" s="22"/>
      <c r="E688" s="22"/>
      <c r="F688" s="22"/>
    </row>
    <row r="689" spans="1:6" ht="14.5">
      <c r="A689" s="28">
        <v>44523</v>
      </c>
      <c r="B689" s="22">
        <v>47</v>
      </c>
      <c r="C689" s="22"/>
      <c r="D689" s="22"/>
      <c r="E689" s="22"/>
      <c r="F689" s="22"/>
    </row>
    <row r="690" spans="1:6" ht="14.5">
      <c r="A690" s="28">
        <v>44524</v>
      </c>
      <c r="B690" s="22">
        <v>47</v>
      </c>
      <c r="C690" s="22"/>
      <c r="D690" s="22"/>
      <c r="E690" s="22"/>
      <c r="F690" s="22"/>
    </row>
    <row r="691" spans="1:6" ht="14.5">
      <c r="A691" s="28">
        <v>44525</v>
      </c>
      <c r="B691" s="22">
        <v>47</v>
      </c>
      <c r="C691" s="22"/>
      <c r="D691" s="22"/>
      <c r="E691" s="22"/>
      <c r="F691" s="22"/>
    </row>
    <row r="692" spans="1:6" ht="14.5">
      <c r="A692" s="28">
        <v>44526</v>
      </c>
      <c r="B692" s="22">
        <v>47</v>
      </c>
      <c r="C692" s="22"/>
      <c r="D692" s="22"/>
      <c r="E692" s="22"/>
      <c r="F692" s="22"/>
    </row>
    <row r="693" spans="1:6" ht="14.5">
      <c r="A693" s="28">
        <v>44527</v>
      </c>
      <c r="B693" s="22">
        <v>47</v>
      </c>
      <c r="C693" s="22"/>
      <c r="D693" s="22"/>
      <c r="E693" s="22"/>
      <c r="F693" s="22"/>
    </row>
    <row r="694" spans="1:6" ht="14.5">
      <c r="A694" s="28">
        <v>44528</v>
      </c>
      <c r="B694" s="22">
        <v>47</v>
      </c>
      <c r="C694" s="22"/>
      <c r="D694" s="22"/>
      <c r="E694" s="22"/>
      <c r="F694" s="22"/>
    </row>
    <row r="695" spans="1:6" ht="14.5">
      <c r="A695" s="28">
        <v>44529</v>
      </c>
      <c r="B695" s="22">
        <v>48</v>
      </c>
      <c r="C695" s="22">
        <v>1</v>
      </c>
      <c r="D695" s="22"/>
      <c r="E695" s="22" t="s">
        <v>191</v>
      </c>
      <c r="F695" s="22"/>
    </row>
    <row r="696" spans="1:6" ht="14.5">
      <c r="A696" s="28">
        <v>44530</v>
      </c>
      <c r="B696" s="22">
        <v>48</v>
      </c>
      <c r="C696" s="22"/>
      <c r="D696" s="22"/>
      <c r="E696" s="22"/>
      <c r="F696" s="22"/>
    </row>
    <row r="697" spans="1:6" ht="14.5">
      <c r="A697" s="28">
        <v>44531</v>
      </c>
      <c r="B697" s="22">
        <v>48</v>
      </c>
      <c r="C697" s="22"/>
      <c r="D697" s="22"/>
      <c r="E697" s="22"/>
      <c r="F697" s="22"/>
    </row>
    <row r="698" spans="1:6" ht="14.5">
      <c r="A698" s="28">
        <v>44532</v>
      </c>
      <c r="B698" s="22">
        <v>48</v>
      </c>
      <c r="C698" s="22"/>
      <c r="D698" s="22"/>
      <c r="E698" s="22"/>
      <c r="F698" s="22"/>
    </row>
    <row r="699" spans="1:6" ht="14.5">
      <c r="A699" s="28">
        <v>44533</v>
      </c>
      <c r="B699" s="22">
        <v>48</v>
      </c>
      <c r="C699" s="22"/>
      <c r="D699" s="22"/>
      <c r="E699" s="22"/>
      <c r="F699" s="22"/>
    </row>
    <row r="700" spans="1:6" ht="14.5">
      <c r="A700" s="28">
        <v>44534</v>
      </c>
      <c r="B700" s="22">
        <v>48</v>
      </c>
      <c r="C700" s="22"/>
      <c r="D700" s="22"/>
      <c r="E700" s="22"/>
      <c r="F700" s="22"/>
    </row>
    <row r="701" spans="1:6" ht="14.5">
      <c r="A701" s="28">
        <v>44535</v>
      </c>
      <c r="B701" s="22">
        <v>48</v>
      </c>
      <c r="C701" s="22"/>
      <c r="D701" s="22"/>
      <c r="E701" s="22"/>
      <c r="F701" s="22"/>
    </row>
    <row r="702" spans="1:6" ht="14.5">
      <c r="A702" s="28">
        <v>44536</v>
      </c>
      <c r="B702" s="22">
        <v>49</v>
      </c>
      <c r="C702" s="22"/>
      <c r="D702" s="22"/>
      <c r="E702" s="22"/>
      <c r="F702" s="22"/>
    </row>
    <row r="703" spans="1:6" ht="14.5">
      <c r="A703" s="28">
        <v>44537</v>
      </c>
      <c r="B703" s="22">
        <v>49</v>
      </c>
      <c r="C703" s="22"/>
      <c r="D703" s="22"/>
      <c r="E703" s="22"/>
      <c r="F703" s="22"/>
    </row>
    <row r="704" spans="1:6" ht="14.5">
      <c r="A704" s="28">
        <v>44538</v>
      </c>
      <c r="B704" s="22">
        <v>49</v>
      </c>
      <c r="C704" s="22"/>
      <c r="D704" s="22"/>
      <c r="E704" s="22"/>
      <c r="F704" s="22"/>
    </row>
    <row r="705" spans="1:6" ht="14.5">
      <c r="A705" s="28">
        <v>44539</v>
      </c>
      <c r="B705" s="22">
        <v>49</v>
      </c>
      <c r="C705" s="22"/>
      <c r="D705" s="22"/>
      <c r="E705" s="22"/>
      <c r="F705" s="22"/>
    </row>
    <row r="706" spans="1:6" ht="14.5">
      <c r="A706" s="28">
        <v>44540</v>
      </c>
      <c r="B706" s="22">
        <v>49</v>
      </c>
      <c r="C706" s="22"/>
      <c r="D706" s="22"/>
      <c r="E706" s="22"/>
      <c r="F706" s="22"/>
    </row>
    <row r="707" spans="1:6" ht="14.5">
      <c r="A707" s="28">
        <v>44541</v>
      </c>
      <c r="B707" s="22">
        <v>49</v>
      </c>
      <c r="C707" s="22"/>
      <c r="D707" s="22"/>
      <c r="E707" s="22"/>
      <c r="F707" s="22"/>
    </row>
    <row r="708" spans="1:6" ht="14.5">
      <c r="A708" s="28">
        <v>44542</v>
      </c>
      <c r="B708" s="22">
        <v>49</v>
      </c>
      <c r="C708" s="22"/>
      <c r="D708" s="22"/>
      <c r="E708" s="22"/>
      <c r="F708" s="22"/>
    </row>
    <row r="709" spans="1:6" ht="14.5">
      <c r="A709" s="28">
        <v>44543</v>
      </c>
      <c r="B709" s="22">
        <v>50</v>
      </c>
      <c r="C709" s="22"/>
      <c r="D709" s="22"/>
      <c r="E709" s="22"/>
      <c r="F709" s="22"/>
    </row>
    <row r="710" spans="1:6" ht="14.5">
      <c r="A710" s="28">
        <v>44544</v>
      </c>
      <c r="B710" s="22">
        <v>50</v>
      </c>
      <c r="C710" s="22"/>
      <c r="D710" s="22"/>
      <c r="E710" s="22"/>
      <c r="F710" s="22"/>
    </row>
    <row r="711" spans="1:6" ht="14.5">
      <c r="A711" s="28">
        <v>44545</v>
      </c>
      <c r="B711" s="22">
        <v>50</v>
      </c>
      <c r="C711" s="22"/>
      <c r="D711" s="22"/>
      <c r="E711" s="22"/>
      <c r="F711" s="22"/>
    </row>
    <row r="712" spans="1:6" ht="14.5">
      <c r="A712" s="28">
        <v>44546</v>
      </c>
      <c r="B712" s="22">
        <v>50</v>
      </c>
      <c r="C712" s="22"/>
      <c r="D712" s="22"/>
      <c r="E712" s="22"/>
      <c r="F712" s="22"/>
    </row>
    <row r="713" spans="1:6" ht="14.5">
      <c r="A713" s="28">
        <v>44547</v>
      </c>
      <c r="B713" s="22">
        <v>50</v>
      </c>
      <c r="C713" s="22"/>
      <c r="D713" s="22"/>
      <c r="E713" s="22"/>
      <c r="F713" s="22"/>
    </row>
    <row r="714" spans="1:6" ht="14.5">
      <c r="A714" s="28">
        <v>44548</v>
      </c>
      <c r="B714" s="22">
        <v>50</v>
      </c>
      <c r="C714" s="22"/>
      <c r="D714" s="22"/>
      <c r="E714" s="22"/>
      <c r="F714" s="22"/>
    </row>
    <row r="715" spans="1:6" ht="14.5">
      <c r="A715" s="28">
        <v>44549</v>
      </c>
      <c r="B715" s="22">
        <v>50</v>
      </c>
      <c r="C715" s="22"/>
      <c r="D715" s="22"/>
      <c r="E715" s="22"/>
      <c r="F715" s="22"/>
    </row>
    <row r="716" spans="1:6" ht="14.5">
      <c r="A716" s="28">
        <v>44550</v>
      </c>
      <c r="B716" s="22">
        <v>51</v>
      </c>
      <c r="C716" s="22"/>
      <c r="D716" s="22"/>
      <c r="E716" s="22"/>
      <c r="F716" s="22"/>
    </row>
    <row r="717" spans="1:6" ht="14.5">
      <c r="A717" s="28">
        <v>44551</v>
      </c>
      <c r="B717" s="22">
        <v>51</v>
      </c>
      <c r="C717" s="22"/>
      <c r="D717" s="22"/>
      <c r="E717" s="22"/>
      <c r="F717" s="22"/>
    </row>
    <row r="718" spans="1:6" ht="14.5">
      <c r="A718" s="28">
        <v>44552</v>
      </c>
      <c r="B718" s="22">
        <v>51</v>
      </c>
      <c r="C718" s="22"/>
      <c r="D718" s="22"/>
      <c r="E718" s="22"/>
      <c r="F718" s="22"/>
    </row>
    <row r="719" spans="1:6" ht="14.5">
      <c r="A719" s="28">
        <v>44553</v>
      </c>
      <c r="B719" s="22">
        <v>51</v>
      </c>
      <c r="C719" s="22"/>
      <c r="D719" s="22"/>
      <c r="E719" s="22"/>
      <c r="F719" s="22"/>
    </row>
    <row r="720" spans="1:6" ht="14.5">
      <c r="A720" s="28">
        <v>44554</v>
      </c>
      <c r="B720" s="22">
        <v>51</v>
      </c>
      <c r="C720" s="22"/>
      <c r="D720" s="22"/>
      <c r="E720" s="22"/>
      <c r="F720" s="22"/>
    </row>
    <row r="721" spans="1:6" ht="14.5">
      <c r="A721" s="28">
        <v>44555</v>
      </c>
      <c r="B721" s="22">
        <v>51</v>
      </c>
      <c r="C721" s="22"/>
      <c r="D721" s="22"/>
      <c r="E721" s="22"/>
      <c r="F721" s="22"/>
    </row>
    <row r="722" spans="1:6" ht="14.5">
      <c r="A722" s="28">
        <v>44556</v>
      </c>
      <c r="B722" s="22">
        <v>51</v>
      </c>
      <c r="C722" s="22"/>
      <c r="D722" s="22"/>
      <c r="E722" s="22"/>
      <c r="F722" s="22"/>
    </row>
    <row r="723" spans="1:6" ht="14.5">
      <c r="A723" s="28">
        <v>44557</v>
      </c>
      <c r="B723" s="22">
        <v>52</v>
      </c>
      <c r="C723" s="22"/>
      <c r="D723" s="22"/>
      <c r="E723" s="22"/>
      <c r="F723" s="22"/>
    </row>
    <row r="724" spans="1:6" ht="14.5">
      <c r="A724" s="28">
        <v>44558</v>
      </c>
      <c r="B724" s="22">
        <v>52</v>
      </c>
      <c r="C724" s="22"/>
      <c r="D724" s="22"/>
      <c r="E724" s="22"/>
      <c r="F724" s="22"/>
    </row>
    <row r="725" spans="1:6" ht="14.5">
      <c r="A725" s="28">
        <v>44559</v>
      </c>
      <c r="B725" s="22">
        <v>52</v>
      </c>
      <c r="C725" s="22"/>
      <c r="D725" s="22"/>
      <c r="E725" s="22"/>
      <c r="F725" s="22"/>
    </row>
    <row r="726" spans="1:6" ht="14.5">
      <c r="A726" s="28">
        <v>44560</v>
      </c>
      <c r="B726" s="22">
        <v>52</v>
      </c>
      <c r="C726" s="22"/>
      <c r="D726" s="22"/>
      <c r="E726" s="22"/>
      <c r="F726" s="22"/>
    </row>
    <row r="727" spans="1:6" ht="14.5">
      <c r="A727" s="28">
        <v>44561</v>
      </c>
      <c r="B727" s="22">
        <v>52</v>
      </c>
      <c r="C727" s="22"/>
      <c r="D727" s="22"/>
      <c r="E727" s="22"/>
      <c r="F727" s="22"/>
    </row>
    <row r="728" spans="1:6" ht="14.5">
      <c r="A728" s="28">
        <v>44562</v>
      </c>
      <c r="B728" s="22">
        <v>52</v>
      </c>
      <c r="C728" s="22"/>
      <c r="D728" s="22"/>
      <c r="E728" s="22"/>
      <c r="F728" s="22"/>
    </row>
    <row r="729" spans="1:6" ht="14.5">
      <c r="A729" s="28">
        <v>44563</v>
      </c>
      <c r="B729" s="22">
        <v>52</v>
      </c>
      <c r="C729" s="22"/>
      <c r="D729" s="22"/>
      <c r="E729" s="22"/>
      <c r="F729" s="22"/>
    </row>
    <row r="730" spans="1:6" ht="14.5">
      <c r="A730" s="28">
        <v>44564</v>
      </c>
      <c r="B730" s="22">
        <v>1</v>
      </c>
      <c r="C730" s="22"/>
      <c r="D730" s="22"/>
      <c r="E730" s="22"/>
      <c r="F730" s="22"/>
    </row>
    <row r="731" spans="1:6" ht="14.5">
      <c r="A731" s="28">
        <v>44565</v>
      </c>
      <c r="B731" s="22">
        <v>1</v>
      </c>
      <c r="C731" s="22"/>
      <c r="D731" s="22"/>
      <c r="E731" s="22"/>
      <c r="F731" s="22"/>
    </row>
    <row r="732" spans="1:6" ht="14.5">
      <c r="A732" s="28">
        <v>44566</v>
      </c>
      <c r="B732" s="22">
        <v>1</v>
      </c>
      <c r="C732" s="22">
        <v>1</v>
      </c>
      <c r="D732" s="22"/>
      <c r="E732" s="22" t="s">
        <v>204</v>
      </c>
      <c r="F732" s="22"/>
    </row>
    <row r="733" spans="1:6" ht="14.5">
      <c r="A733" s="28">
        <v>44567</v>
      </c>
      <c r="B733" s="22">
        <v>1</v>
      </c>
      <c r="C733" s="22"/>
      <c r="D733" s="22"/>
      <c r="E733" s="22"/>
      <c r="F733" s="22"/>
    </row>
    <row r="734" spans="1:6" ht="14.5">
      <c r="A734" s="28">
        <v>44568</v>
      </c>
      <c r="B734" s="22">
        <v>1</v>
      </c>
      <c r="C734" s="22">
        <f>(10/4)</f>
        <v>2.5</v>
      </c>
      <c r="D734" s="22">
        <f>(1/4)</f>
        <v>0.25</v>
      </c>
      <c r="E734" s="22" t="s">
        <v>191</v>
      </c>
      <c r="F734" s="22" t="s">
        <v>191</v>
      </c>
    </row>
    <row r="735" spans="1:6" ht="14.5">
      <c r="A735" s="28">
        <v>44569</v>
      </c>
      <c r="B735" s="22">
        <v>1</v>
      </c>
      <c r="C735" s="22">
        <f t="shared" ref="C735:C737" si="1">(10/4)</f>
        <v>2.5</v>
      </c>
      <c r="D735" s="22">
        <f t="shared" ref="D735:D737" si="2">(1/4)</f>
        <v>0.25</v>
      </c>
      <c r="E735" s="22"/>
      <c r="F735" s="22"/>
    </row>
    <row r="736" spans="1:6" ht="14.5">
      <c r="A736" s="28">
        <v>44570</v>
      </c>
      <c r="B736" s="22">
        <v>1</v>
      </c>
      <c r="C736" s="22">
        <f t="shared" si="1"/>
        <v>2.5</v>
      </c>
      <c r="D736" s="22">
        <f t="shared" si="2"/>
        <v>0.25</v>
      </c>
      <c r="E736" s="22"/>
      <c r="F736" s="22"/>
    </row>
    <row r="737" spans="1:6" ht="14.5">
      <c r="A737" s="28">
        <v>44571</v>
      </c>
      <c r="B737" s="22">
        <v>2</v>
      </c>
      <c r="C737" s="71">
        <f t="shared" si="1"/>
        <v>2.5</v>
      </c>
      <c r="D737" s="22">
        <f t="shared" si="2"/>
        <v>0.25</v>
      </c>
      <c r="E737" s="22"/>
      <c r="F737" s="22"/>
    </row>
    <row r="738" spans="1:6" ht="14.5">
      <c r="A738" s="28">
        <v>44572</v>
      </c>
      <c r="B738" s="22">
        <v>2</v>
      </c>
      <c r="C738" s="22">
        <v>4</v>
      </c>
      <c r="D738" s="22">
        <v>2</v>
      </c>
      <c r="E738" s="22" t="s">
        <v>191</v>
      </c>
      <c r="F738" s="22" t="s">
        <v>191</v>
      </c>
    </row>
    <row r="739" spans="1:6" ht="14.5">
      <c r="A739" s="28">
        <v>44573</v>
      </c>
      <c r="B739" s="22">
        <v>2</v>
      </c>
      <c r="C739" s="22">
        <f>3+1+1</f>
        <v>5</v>
      </c>
      <c r="D739" s="22">
        <v>1</v>
      </c>
      <c r="E739" s="22" t="s">
        <v>208</v>
      </c>
      <c r="F739" s="22" t="s">
        <v>191</v>
      </c>
    </row>
    <row r="740" spans="1:6" ht="14.5">
      <c r="A740" s="28">
        <v>44574</v>
      </c>
      <c r="B740" s="22">
        <v>2</v>
      </c>
      <c r="C740" s="22">
        <f>6+1</f>
        <v>7</v>
      </c>
      <c r="D740" s="22"/>
      <c r="E740" s="22" t="s">
        <v>209</v>
      </c>
      <c r="F740" s="22"/>
    </row>
    <row r="741" spans="1:6" ht="14.5">
      <c r="A741" s="28">
        <v>44575</v>
      </c>
      <c r="B741" s="22">
        <v>2</v>
      </c>
      <c r="C741" s="22">
        <f>(15+1+4)/3</f>
        <v>6.666666666666667</v>
      </c>
      <c r="D741" s="22">
        <f>(1+1)/3</f>
        <v>0.66666666666666663</v>
      </c>
      <c r="E741" s="22" t="s">
        <v>210</v>
      </c>
      <c r="F741" s="22" t="s">
        <v>211</v>
      </c>
    </row>
    <row r="742" spans="1:6" ht="14.5">
      <c r="A742" s="28">
        <v>44576</v>
      </c>
      <c r="B742" s="22">
        <v>2</v>
      </c>
      <c r="C742" s="22">
        <f t="shared" ref="C742:C743" si="3">(15+1+4)/3</f>
        <v>6.666666666666667</v>
      </c>
      <c r="D742" s="22">
        <f t="shared" ref="D742:D743" si="4">(1+1)/3</f>
        <v>0.66666666666666663</v>
      </c>
      <c r="E742" s="22"/>
      <c r="F742" s="22" t="s">
        <v>211</v>
      </c>
    </row>
    <row r="743" spans="1:6" ht="14.5">
      <c r="A743" s="28">
        <v>44577</v>
      </c>
      <c r="B743" s="22">
        <v>2</v>
      </c>
      <c r="C743" s="22">
        <f t="shared" si="3"/>
        <v>6.666666666666667</v>
      </c>
      <c r="D743" s="22">
        <f t="shared" si="4"/>
        <v>0.66666666666666663</v>
      </c>
      <c r="E743" s="22"/>
      <c r="F743" s="22" t="s">
        <v>211</v>
      </c>
    </row>
    <row r="744" spans="1:6" ht="14.5">
      <c r="A744" s="28">
        <v>44578</v>
      </c>
      <c r="B744" s="22">
        <v>3</v>
      </c>
      <c r="C744" s="22">
        <f>7+1</f>
        <v>8</v>
      </c>
      <c r="D744" s="22"/>
      <c r="E744" s="22" t="s">
        <v>212</v>
      </c>
      <c r="F744" s="22"/>
    </row>
    <row r="745" spans="1:6" ht="14.5">
      <c r="A745" s="28">
        <v>44579</v>
      </c>
      <c r="B745" s="22">
        <v>3</v>
      </c>
      <c r="C745" s="22">
        <f>(8+3+4)</f>
        <v>15</v>
      </c>
      <c r="D745" s="22">
        <v>1</v>
      </c>
      <c r="E745" s="22" t="s">
        <v>213</v>
      </c>
      <c r="F745" s="22" t="s">
        <v>191</v>
      </c>
    </row>
    <row r="746" spans="1:6" ht="14.5">
      <c r="A746" s="28">
        <v>44580</v>
      </c>
      <c r="B746" s="22">
        <v>3</v>
      </c>
      <c r="C746" s="22">
        <f>(4+1)</f>
        <v>5</v>
      </c>
      <c r="D746" s="22">
        <v>1</v>
      </c>
      <c r="E746" s="22" t="s">
        <v>214</v>
      </c>
      <c r="F746" s="22" t="s">
        <v>191</v>
      </c>
    </row>
    <row r="747" spans="1:6" ht="14.5">
      <c r="A747" s="28">
        <v>44581</v>
      </c>
      <c r="B747" s="22">
        <v>3</v>
      </c>
      <c r="C747" s="22">
        <f>(8+1+3)</f>
        <v>12</v>
      </c>
      <c r="D747" s="22">
        <f>2</f>
        <v>2</v>
      </c>
      <c r="E747" s="22" t="s">
        <v>215</v>
      </c>
      <c r="F747" s="22" t="s">
        <v>191</v>
      </c>
    </row>
    <row r="748" spans="1:6" ht="14.5">
      <c r="A748" s="28">
        <v>44582</v>
      </c>
      <c r="B748" s="22">
        <v>3</v>
      </c>
      <c r="C748" s="22">
        <f>(17+1+1)/3</f>
        <v>6.333333333333333</v>
      </c>
      <c r="D748" s="22">
        <f>4/3</f>
        <v>1.3333333333333333</v>
      </c>
      <c r="E748" s="22" t="s">
        <v>216</v>
      </c>
      <c r="F748" s="22" t="s">
        <v>191</v>
      </c>
    </row>
    <row r="749" spans="1:6" ht="14.5">
      <c r="A749" s="28">
        <v>44583</v>
      </c>
      <c r="B749" s="22">
        <v>3</v>
      </c>
      <c r="C749" s="22">
        <f t="shared" ref="C749:C750" si="5">(17+1+1)/3</f>
        <v>6.333333333333333</v>
      </c>
      <c r="D749" s="22">
        <f t="shared" ref="D749:D750" si="6">4/3</f>
        <v>1.3333333333333333</v>
      </c>
      <c r="E749" s="22"/>
      <c r="F749" s="22"/>
    </row>
    <row r="750" spans="1:6" ht="14.5">
      <c r="A750" s="28">
        <v>44584</v>
      </c>
      <c r="B750" s="22">
        <v>3</v>
      </c>
      <c r="C750" s="22">
        <f t="shared" si="5"/>
        <v>6.333333333333333</v>
      </c>
      <c r="D750" s="22">
        <f t="shared" si="6"/>
        <v>1.3333333333333333</v>
      </c>
      <c r="E750" s="22"/>
      <c r="F750" s="22"/>
    </row>
    <row r="751" spans="1:6" ht="14.5">
      <c r="A751" s="28">
        <v>44585</v>
      </c>
      <c r="B751" s="22">
        <v>4</v>
      </c>
      <c r="C751" s="22">
        <f>(3+1)</f>
        <v>4</v>
      </c>
      <c r="D751" s="22">
        <v>2</v>
      </c>
      <c r="E751" s="22" t="s">
        <v>217</v>
      </c>
      <c r="F751" s="22" t="s">
        <v>191</v>
      </c>
    </row>
    <row r="752" spans="1:6" ht="14.5">
      <c r="A752" s="28">
        <v>44586</v>
      </c>
      <c r="B752" s="22">
        <v>4</v>
      </c>
      <c r="C752" s="22">
        <v>3</v>
      </c>
      <c r="D752" s="22">
        <v>1</v>
      </c>
      <c r="E752" s="22" t="s">
        <v>191</v>
      </c>
      <c r="F752" s="22" t="s">
        <v>191</v>
      </c>
    </row>
    <row r="753" spans="1:6" ht="14.5">
      <c r="A753" s="28">
        <v>44587</v>
      </c>
      <c r="B753" s="22">
        <v>4</v>
      </c>
      <c r="C753" s="22">
        <f>12</f>
        <v>12</v>
      </c>
      <c r="D753" s="22">
        <f>2+1</f>
        <v>3</v>
      </c>
      <c r="E753" s="22" t="s">
        <v>192</v>
      </c>
      <c r="F753" s="22" t="s">
        <v>218</v>
      </c>
    </row>
    <row r="754" spans="1:6" ht="14.5">
      <c r="A754" s="28">
        <v>44588</v>
      </c>
      <c r="B754" s="22">
        <v>4</v>
      </c>
      <c r="C754" s="22">
        <f>6+1</f>
        <v>7</v>
      </c>
      <c r="D754" s="22">
        <f>1</f>
        <v>1</v>
      </c>
      <c r="E754" s="22" t="s">
        <v>219</v>
      </c>
      <c r="F754" s="22" t="s">
        <v>191</v>
      </c>
    </row>
    <row r="755" spans="1:6" ht="14.5">
      <c r="A755" s="28">
        <v>44589</v>
      </c>
      <c r="B755" s="22">
        <v>4</v>
      </c>
      <c r="C755" s="22">
        <f>(17/3)</f>
        <v>5.666666666666667</v>
      </c>
      <c r="D755" s="22">
        <f>(4/3)</f>
        <v>1.3333333333333333</v>
      </c>
      <c r="E755" s="22" t="s">
        <v>220</v>
      </c>
      <c r="F755" s="22" t="s">
        <v>221</v>
      </c>
    </row>
    <row r="756" spans="1:6" ht="14.5">
      <c r="A756" s="28">
        <v>44590</v>
      </c>
      <c r="B756" s="22">
        <v>4</v>
      </c>
      <c r="C756" s="22">
        <f t="shared" ref="C756:C757" si="7">(17/3)</f>
        <v>5.666666666666667</v>
      </c>
      <c r="D756" s="22">
        <f t="shared" ref="D756:D757" si="8">(4/3)</f>
        <v>1.3333333333333333</v>
      </c>
      <c r="E756" s="22"/>
      <c r="F756" s="22"/>
    </row>
    <row r="757" spans="1:6" ht="14.5">
      <c r="A757" s="28">
        <v>44591</v>
      </c>
      <c r="B757" s="22">
        <v>4</v>
      </c>
      <c r="C757" s="22">
        <f t="shared" si="7"/>
        <v>5.666666666666667</v>
      </c>
      <c r="D757" s="22">
        <f t="shared" si="8"/>
        <v>1.3333333333333333</v>
      </c>
      <c r="E757" s="22"/>
      <c r="F757" s="22"/>
    </row>
    <row r="758" spans="1:6" ht="14.5">
      <c r="A758" s="28">
        <v>44592</v>
      </c>
      <c r="B758" s="22">
        <v>5</v>
      </c>
      <c r="C758" s="22">
        <f>3+2</f>
        <v>5</v>
      </c>
      <c r="D758" s="22">
        <f>2+1</f>
        <v>3</v>
      </c>
      <c r="E758" s="22" t="s">
        <v>222</v>
      </c>
      <c r="F758" s="22" t="s">
        <v>218</v>
      </c>
    </row>
    <row r="759" spans="1:6" ht="14.5">
      <c r="A759" s="49">
        <v>44593</v>
      </c>
      <c r="B759" s="52">
        <v>5</v>
      </c>
      <c r="C759" s="52">
        <v>7</v>
      </c>
      <c r="D759" s="52">
        <v>2</v>
      </c>
      <c r="E759" s="22" t="s">
        <v>193</v>
      </c>
      <c r="F759" s="22" t="s">
        <v>194</v>
      </c>
    </row>
    <row r="760" spans="1:6" ht="14.5">
      <c r="A760" s="49">
        <v>44594</v>
      </c>
      <c r="B760" s="52">
        <v>5</v>
      </c>
      <c r="C760" s="52">
        <f>4</f>
        <v>4</v>
      </c>
      <c r="D760" s="52">
        <f>2+1</f>
        <v>3</v>
      </c>
      <c r="E760" s="22" t="s">
        <v>195</v>
      </c>
      <c r="F760" s="22" t="s">
        <v>218</v>
      </c>
    </row>
    <row r="761" spans="1:6" ht="14.5">
      <c r="A761" s="49">
        <v>44595</v>
      </c>
      <c r="B761" s="52">
        <v>5</v>
      </c>
      <c r="C761" s="52">
        <f>3+1</f>
        <v>4</v>
      </c>
      <c r="D761" s="52">
        <f>2</f>
        <v>2</v>
      </c>
      <c r="E761" s="22" t="s">
        <v>223</v>
      </c>
      <c r="F761" s="22" t="s">
        <v>194</v>
      </c>
    </row>
    <row r="762" spans="1:6" ht="14.5">
      <c r="A762" s="49">
        <v>44596</v>
      </c>
      <c r="B762" s="52">
        <v>5</v>
      </c>
      <c r="C762" s="52">
        <f>(10/3)</f>
        <v>3.3333333333333335</v>
      </c>
      <c r="D762" s="52">
        <f>(3/3)</f>
        <v>1</v>
      </c>
      <c r="E762" s="22" t="s">
        <v>196</v>
      </c>
      <c r="F762" s="22" t="s">
        <v>197</v>
      </c>
    </row>
    <row r="763" spans="1:6" ht="14.5">
      <c r="A763" s="49">
        <v>44597</v>
      </c>
      <c r="B763" s="52">
        <v>5</v>
      </c>
      <c r="C763" s="52">
        <f t="shared" ref="C763:C764" si="9">(10/3)</f>
        <v>3.3333333333333335</v>
      </c>
      <c r="D763" s="52">
        <f t="shared" ref="D763:D764" si="10">(3/3)</f>
        <v>1</v>
      </c>
      <c r="E763" s="52"/>
      <c r="F763" s="52"/>
    </row>
    <row r="764" spans="1:6" ht="14.5">
      <c r="A764" s="49">
        <v>44598</v>
      </c>
      <c r="B764" s="52">
        <v>5</v>
      </c>
      <c r="C764" s="52">
        <f t="shared" si="9"/>
        <v>3.3333333333333335</v>
      </c>
      <c r="D764" s="52">
        <f t="shared" si="10"/>
        <v>1</v>
      </c>
      <c r="E764" s="52"/>
      <c r="F764" s="52"/>
    </row>
    <row r="765" spans="1:6" ht="14.5">
      <c r="A765" s="49">
        <v>44599</v>
      </c>
      <c r="B765" s="52">
        <v>6</v>
      </c>
      <c r="C765" s="52">
        <f>6</f>
        <v>6</v>
      </c>
      <c r="D765" s="52">
        <f>4+1</f>
        <v>5</v>
      </c>
      <c r="E765" s="22" t="s">
        <v>198</v>
      </c>
      <c r="F765" s="22" t="s">
        <v>224</v>
      </c>
    </row>
    <row r="766" spans="1:6" ht="14.5">
      <c r="A766" s="49">
        <v>44600</v>
      </c>
      <c r="B766" s="52">
        <v>6</v>
      </c>
      <c r="C766" s="52">
        <f>2+1</f>
        <v>3</v>
      </c>
      <c r="D766" s="52">
        <f>3+1</f>
        <v>4</v>
      </c>
      <c r="E766" s="22" t="s">
        <v>225</v>
      </c>
      <c r="F766" s="22" t="s">
        <v>223</v>
      </c>
    </row>
    <row r="767" spans="1:6" ht="14.5">
      <c r="A767" s="49">
        <v>44601</v>
      </c>
      <c r="B767" s="52">
        <v>6</v>
      </c>
      <c r="C767" s="52">
        <f>5</f>
        <v>5</v>
      </c>
      <c r="D767" s="52"/>
      <c r="E767" s="22" t="s">
        <v>199</v>
      </c>
      <c r="F767" s="52"/>
    </row>
    <row r="768" spans="1:6" ht="14.5">
      <c r="A768" s="49">
        <v>44602</v>
      </c>
      <c r="B768" s="52">
        <v>6</v>
      </c>
      <c r="C768" s="52">
        <f>(12/4)</f>
        <v>3</v>
      </c>
      <c r="D768" s="52">
        <f>(3/4)</f>
        <v>0.75</v>
      </c>
      <c r="E768" s="22" t="s">
        <v>226</v>
      </c>
      <c r="F768" s="22" t="s">
        <v>197</v>
      </c>
    </row>
    <row r="769" spans="1:6" ht="14.5">
      <c r="A769" s="49">
        <v>44603</v>
      </c>
      <c r="B769" s="52">
        <v>6</v>
      </c>
      <c r="C769" s="52">
        <f t="shared" ref="C769:C771" si="11">(12/4)</f>
        <v>3</v>
      </c>
      <c r="D769" s="52">
        <f t="shared" ref="D769:D771" si="12">(3/4)</f>
        <v>0.75</v>
      </c>
      <c r="E769" s="52"/>
      <c r="F769" s="52"/>
    </row>
    <row r="770" spans="1:6" ht="14.5">
      <c r="A770" s="49">
        <v>44604</v>
      </c>
      <c r="B770" s="52">
        <v>6</v>
      </c>
      <c r="C770" s="52">
        <f t="shared" si="11"/>
        <v>3</v>
      </c>
      <c r="D770" s="52">
        <f t="shared" si="12"/>
        <v>0.75</v>
      </c>
      <c r="E770" s="52"/>
      <c r="F770" s="52"/>
    </row>
    <row r="771" spans="1:6" ht="14.5">
      <c r="A771" s="49">
        <v>44605</v>
      </c>
      <c r="B771" s="52">
        <v>6</v>
      </c>
      <c r="C771" s="52">
        <f t="shared" si="11"/>
        <v>3</v>
      </c>
      <c r="D771" s="52">
        <f t="shared" si="12"/>
        <v>0.75</v>
      </c>
      <c r="E771" s="52"/>
      <c r="F771" s="52"/>
    </row>
    <row r="772" spans="1:6" ht="14.5">
      <c r="A772" s="49">
        <v>44606</v>
      </c>
      <c r="B772" s="52">
        <v>7</v>
      </c>
      <c r="C772" s="52">
        <f>3+1</f>
        <v>4</v>
      </c>
      <c r="D772" s="52">
        <v>4</v>
      </c>
      <c r="E772" s="22" t="s">
        <v>217</v>
      </c>
      <c r="F772" s="22" t="s">
        <v>195</v>
      </c>
    </row>
    <row r="773" spans="1:6" ht="14.5">
      <c r="A773" s="49">
        <v>44607</v>
      </c>
      <c r="B773" s="52">
        <v>7</v>
      </c>
      <c r="C773" s="52">
        <v>3</v>
      </c>
      <c r="D773" s="52"/>
      <c r="E773" s="22" t="s">
        <v>197</v>
      </c>
      <c r="F773" s="52"/>
    </row>
    <row r="774" spans="1:6" ht="14.5">
      <c r="A774" s="49">
        <v>44608</v>
      </c>
      <c r="B774" s="52">
        <v>7</v>
      </c>
      <c r="C774" s="52">
        <f>2+1</f>
        <v>3</v>
      </c>
      <c r="D774" s="52">
        <f>1</f>
        <v>1</v>
      </c>
      <c r="E774" s="22" t="s">
        <v>218</v>
      </c>
      <c r="F774" s="22" t="s">
        <v>200</v>
      </c>
    </row>
    <row r="775" spans="1:6" ht="14.5">
      <c r="A775" s="49">
        <v>44609</v>
      </c>
      <c r="B775" s="52">
        <v>7</v>
      </c>
      <c r="C775" s="52">
        <f>5</f>
        <v>5</v>
      </c>
      <c r="D775" s="52">
        <f>2+1</f>
        <v>3</v>
      </c>
      <c r="E775" s="22" t="s">
        <v>199</v>
      </c>
      <c r="F775" s="22" t="s">
        <v>218</v>
      </c>
    </row>
    <row r="776" spans="1:6" ht="14.5">
      <c r="A776" s="49">
        <v>44610</v>
      </c>
      <c r="B776" s="52">
        <v>7</v>
      </c>
      <c r="C776" s="52">
        <f>4/3</f>
        <v>1.3333333333333333</v>
      </c>
      <c r="D776" s="52"/>
      <c r="E776" s="22" t="s">
        <v>217</v>
      </c>
      <c r="F776" s="52"/>
    </row>
    <row r="777" spans="1:6" ht="14.5">
      <c r="A777" s="49">
        <v>44611</v>
      </c>
      <c r="B777" s="52">
        <v>7</v>
      </c>
      <c r="C777" s="52">
        <f t="shared" ref="C777:C778" si="13">4/3</f>
        <v>1.3333333333333333</v>
      </c>
      <c r="D777" s="52"/>
      <c r="E777" s="52"/>
      <c r="F777" s="52"/>
    </row>
    <row r="778" spans="1:6" ht="14.5">
      <c r="A778" s="49">
        <v>44612</v>
      </c>
      <c r="B778" s="52">
        <v>7</v>
      </c>
      <c r="C778" s="52">
        <f t="shared" si="13"/>
        <v>1.3333333333333333</v>
      </c>
      <c r="D778" s="52"/>
      <c r="E778" s="52"/>
      <c r="F778" s="52"/>
    </row>
    <row r="779" spans="1:6" ht="14.5">
      <c r="A779" s="49">
        <v>44613</v>
      </c>
      <c r="B779" s="52">
        <v>8</v>
      </c>
      <c r="C779" s="52">
        <v>2</v>
      </c>
      <c r="D779" s="52">
        <v>2</v>
      </c>
      <c r="E779" s="22" t="s">
        <v>194</v>
      </c>
      <c r="F779" s="22" t="s">
        <v>194</v>
      </c>
    </row>
    <row r="780" spans="1:6" ht="14.5">
      <c r="A780" s="49">
        <v>44614</v>
      </c>
      <c r="B780" s="52">
        <v>8</v>
      </c>
      <c r="C780" s="52">
        <f>5/2</f>
        <v>2.5</v>
      </c>
      <c r="D780" s="52">
        <f>3/2</f>
        <v>1.5</v>
      </c>
      <c r="E780" s="22" t="s">
        <v>199</v>
      </c>
      <c r="F780" s="22" t="s">
        <v>225</v>
      </c>
    </row>
    <row r="781" spans="1:6" ht="14.5">
      <c r="A781" s="49">
        <v>44615</v>
      </c>
      <c r="B781" s="52">
        <v>8</v>
      </c>
      <c r="C781" s="52">
        <f>5/2</f>
        <v>2.5</v>
      </c>
      <c r="D781" s="52">
        <f>3/2</f>
        <v>1.5</v>
      </c>
      <c r="E781" s="52"/>
      <c r="F781" s="52"/>
    </row>
    <row r="782" spans="1:6" ht="14.5">
      <c r="A782" s="49">
        <v>44616</v>
      </c>
      <c r="B782" s="52">
        <v>8</v>
      </c>
      <c r="C782" s="52">
        <f>1+1</f>
        <v>2</v>
      </c>
      <c r="D782" s="52">
        <v>1</v>
      </c>
      <c r="E782" s="22" t="s">
        <v>211</v>
      </c>
      <c r="F782" s="22" t="s">
        <v>200</v>
      </c>
    </row>
    <row r="783" spans="1:6" ht="14.5">
      <c r="A783" s="49">
        <v>44617</v>
      </c>
      <c r="B783" s="52">
        <v>8</v>
      </c>
      <c r="C783" s="52">
        <f>(5/3)</f>
        <v>1.6666666666666667</v>
      </c>
      <c r="D783" s="52">
        <f>(4/3)</f>
        <v>1.3333333333333333</v>
      </c>
      <c r="E783" s="22" t="s">
        <v>222</v>
      </c>
      <c r="F783" s="22" t="s">
        <v>221</v>
      </c>
    </row>
    <row r="784" spans="1:6" ht="14.5">
      <c r="A784" s="49">
        <v>44618</v>
      </c>
      <c r="B784" s="52">
        <v>8</v>
      </c>
      <c r="C784" s="52">
        <f t="shared" ref="C784:C785" si="14">(5/3)</f>
        <v>1.6666666666666667</v>
      </c>
      <c r="D784" s="52">
        <f t="shared" ref="D784:D785" si="15">(4/3)</f>
        <v>1.3333333333333333</v>
      </c>
      <c r="E784" s="52"/>
      <c r="F784" s="52"/>
    </row>
    <row r="785" spans="1:6" ht="14.5">
      <c r="A785" s="49">
        <v>44619</v>
      </c>
      <c r="B785" s="52">
        <v>8</v>
      </c>
      <c r="C785" s="52">
        <f t="shared" si="14"/>
        <v>1.6666666666666667</v>
      </c>
      <c r="D785" s="52">
        <f t="shared" si="15"/>
        <v>1.3333333333333333</v>
      </c>
      <c r="E785" s="52"/>
      <c r="F785" s="52"/>
    </row>
    <row r="786" spans="1:6" ht="14.5">
      <c r="A786" s="50">
        <v>44620</v>
      </c>
      <c r="B786" s="52">
        <v>9</v>
      </c>
      <c r="C786" s="52">
        <v>3</v>
      </c>
      <c r="D786" s="52">
        <v>3</v>
      </c>
      <c r="E786" s="22" t="s">
        <v>197</v>
      </c>
      <c r="F786" s="22" t="s">
        <v>197</v>
      </c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</sheetData>
  <mergeCells count="8">
    <mergeCell ref="A6:F6"/>
    <mergeCell ref="G375:G376"/>
    <mergeCell ref="G470:G471"/>
    <mergeCell ref="A1:F1"/>
    <mergeCell ref="A2:F2"/>
    <mergeCell ref="A3:F3"/>
    <mergeCell ref="A4:F4"/>
    <mergeCell ref="A5:F5"/>
  </mergeCells>
  <phoneticPr fontId="13"/>
  <hyperlinks>
    <hyperlink ref="A2" r:id="rId1" xr:uid="{00000000-0004-0000-0D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activeCell="G2" sqref="G2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49</v>
      </c>
      <c r="B1" s="112"/>
      <c r="C1" s="112"/>
      <c r="D1" s="112"/>
      <c r="E1" s="112"/>
      <c r="F1" s="113"/>
      <c r="G1" s="69" t="s">
        <v>86</v>
      </c>
    </row>
    <row r="2" spans="1:7" ht="30" customHeight="1">
      <c r="A2" s="129" t="s">
        <v>28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227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>
        <v>1</v>
      </c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>
        <v>1</v>
      </c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/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/>
      <c r="D233" s="22"/>
      <c r="E233" s="22"/>
      <c r="F233" s="22"/>
    </row>
    <row r="234" spans="1:6" ht="14.5">
      <c r="A234" s="25">
        <v>44069</v>
      </c>
      <c r="B234" s="26">
        <v>33</v>
      </c>
      <c r="C234" s="22"/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/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7" ht="14.5">
      <c r="A321" s="25">
        <v>44156</v>
      </c>
      <c r="B321" s="26">
        <v>45</v>
      </c>
      <c r="C321" s="22"/>
      <c r="D321" s="22"/>
      <c r="E321" s="22"/>
      <c r="F321" s="22"/>
    </row>
    <row r="322" spans="1:7" ht="14.5">
      <c r="A322" s="25">
        <v>44157</v>
      </c>
      <c r="B322" s="26">
        <v>45</v>
      </c>
      <c r="C322" s="22"/>
      <c r="D322" s="22"/>
      <c r="E322" s="22"/>
      <c r="F322" s="22"/>
    </row>
    <row r="323" spans="1:7" ht="14.5">
      <c r="A323" s="25">
        <v>44158</v>
      </c>
      <c r="B323" s="26">
        <v>46</v>
      </c>
      <c r="C323" s="22"/>
      <c r="D323" s="22"/>
      <c r="E323" s="22"/>
      <c r="F323" s="22"/>
    </row>
    <row r="324" spans="1:7" ht="14.5">
      <c r="A324" s="25">
        <v>44159</v>
      </c>
      <c r="B324" s="26">
        <v>46</v>
      </c>
      <c r="C324" s="22"/>
      <c r="D324" s="22"/>
      <c r="E324" s="22"/>
      <c r="F324" s="22"/>
    </row>
    <row r="325" spans="1:7" ht="14.5">
      <c r="A325" s="25">
        <v>44160</v>
      </c>
      <c r="B325" s="26">
        <v>46</v>
      </c>
      <c r="C325" s="22"/>
      <c r="D325" s="22"/>
      <c r="E325" s="22"/>
      <c r="F325" s="22"/>
    </row>
    <row r="326" spans="1:7" ht="14.5">
      <c r="A326" s="25">
        <v>44161</v>
      </c>
      <c r="B326" s="26">
        <v>46</v>
      </c>
      <c r="C326" s="22"/>
      <c r="D326" s="22"/>
      <c r="E326" s="22"/>
      <c r="F326" s="22"/>
    </row>
    <row r="327" spans="1:7" ht="14.5">
      <c r="A327" s="25">
        <v>44162</v>
      </c>
      <c r="B327" s="26">
        <v>46</v>
      </c>
      <c r="C327" s="22"/>
      <c r="D327" s="22"/>
      <c r="E327" s="22"/>
      <c r="F327" s="22"/>
    </row>
    <row r="328" spans="1:7" ht="14.5">
      <c r="A328" s="25">
        <v>44163</v>
      </c>
      <c r="B328" s="26">
        <v>46</v>
      </c>
      <c r="C328" s="22"/>
      <c r="D328" s="22"/>
      <c r="E328" s="22"/>
      <c r="F328" s="22"/>
    </row>
    <row r="329" spans="1:7" ht="14.5">
      <c r="A329" s="25">
        <v>44164</v>
      </c>
      <c r="B329" s="26">
        <v>46</v>
      </c>
      <c r="C329" s="22"/>
      <c r="D329" s="22"/>
      <c r="E329" s="22"/>
      <c r="F329" s="22"/>
    </row>
    <row r="330" spans="1:7" ht="14.5">
      <c r="A330" s="25">
        <v>44165</v>
      </c>
      <c r="B330" s="26">
        <v>47</v>
      </c>
      <c r="C330" s="22">
        <v>1</v>
      </c>
      <c r="D330" s="22"/>
      <c r="E330" s="22"/>
      <c r="F330" s="22"/>
    </row>
    <row r="331" spans="1:7" ht="14.5">
      <c r="A331" s="25">
        <v>44166</v>
      </c>
      <c r="B331" s="26">
        <v>47</v>
      </c>
      <c r="C331" s="22"/>
      <c r="D331" s="22"/>
      <c r="E331" s="22"/>
      <c r="F331" s="22"/>
    </row>
    <row r="332" spans="1:7" ht="14.5">
      <c r="A332" s="25">
        <v>44167</v>
      </c>
      <c r="B332" s="26">
        <v>47</v>
      </c>
      <c r="C332" s="32">
        <v>2</v>
      </c>
      <c r="D332" s="22"/>
      <c r="E332" s="22"/>
      <c r="F332" s="22"/>
      <c r="G332" s="20" t="s">
        <v>228</v>
      </c>
    </row>
    <row r="333" spans="1:7" ht="14.5">
      <c r="A333" s="25">
        <v>44168</v>
      </c>
      <c r="B333" s="26">
        <v>47</v>
      </c>
      <c r="C333" s="22">
        <v>1</v>
      </c>
      <c r="D333" s="22"/>
      <c r="E333" s="22"/>
      <c r="F333" s="22"/>
    </row>
    <row r="334" spans="1:7" ht="14.5">
      <c r="A334" s="25">
        <v>44169</v>
      </c>
      <c r="B334" s="26">
        <v>47</v>
      </c>
      <c r="C334" s="22"/>
      <c r="D334" s="22"/>
      <c r="E334" s="22"/>
      <c r="F334" s="22"/>
    </row>
    <row r="335" spans="1:7" ht="14.5">
      <c r="A335" s="25">
        <v>44170</v>
      </c>
      <c r="B335" s="26">
        <v>47</v>
      </c>
      <c r="C335" s="22"/>
      <c r="D335" s="22"/>
      <c r="E335" s="22"/>
      <c r="F335" s="22"/>
    </row>
    <row r="336" spans="1:7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6" ht="14.5">
      <c r="A353" s="25">
        <v>44188</v>
      </c>
      <c r="B353" s="26">
        <v>50</v>
      </c>
      <c r="C353" s="22"/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/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>
        <v>1</v>
      </c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/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/>
      <c r="D365" s="22">
        <v>1</v>
      </c>
      <c r="E365" s="22"/>
      <c r="F365" s="22"/>
    </row>
    <row r="366" spans="1:6" ht="14.5">
      <c r="A366" s="25">
        <v>44201</v>
      </c>
      <c r="B366" s="26">
        <v>1</v>
      </c>
      <c r="C366" s="22"/>
      <c r="D366" s="22"/>
      <c r="E366" s="22"/>
      <c r="F366" s="22"/>
    </row>
    <row r="367" spans="1:6" ht="14.5">
      <c r="A367" s="25">
        <v>44202</v>
      </c>
      <c r="B367" s="26">
        <v>1</v>
      </c>
      <c r="C367" s="22">
        <v>1</v>
      </c>
      <c r="D367" s="22"/>
      <c r="E367" s="22"/>
      <c r="F367" s="22"/>
    </row>
    <row r="368" spans="1:6" ht="14.5">
      <c r="A368" s="25">
        <v>44203</v>
      </c>
      <c r="B368" s="26">
        <v>1</v>
      </c>
      <c r="C368" s="22">
        <v>1</v>
      </c>
      <c r="D368" s="22"/>
      <c r="E368" s="22"/>
      <c r="F368" s="22"/>
    </row>
    <row r="369" spans="1:6" ht="14.5">
      <c r="A369" s="25">
        <v>44204</v>
      </c>
      <c r="B369" s="26">
        <v>1</v>
      </c>
      <c r="C369" s="22"/>
      <c r="D369" s="22"/>
      <c r="E369" s="22"/>
      <c r="F369" s="22"/>
    </row>
    <row r="370" spans="1:6" ht="14.5">
      <c r="A370" s="25">
        <v>44205</v>
      </c>
      <c r="B370" s="26">
        <v>1</v>
      </c>
      <c r="C370" s="22"/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/>
      <c r="D373" s="22"/>
      <c r="E373" s="22"/>
      <c r="F373" s="22"/>
    </row>
    <row r="374" spans="1:6" ht="14.5">
      <c r="A374" s="25">
        <v>44209</v>
      </c>
      <c r="B374" s="26">
        <v>2</v>
      </c>
      <c r="C374" s="22">
        <v>1</v>
      </c>
      <c r="D374" s="22"/>
      <c r="E374" s="22"/>
      <c r="F374" s="22"/>
    </row>
    <row r="375" spans="1:6" ht="14.5">
      <c r="A375" s="25">
        <v>44210</v>
      </c>
      <c r="B375" s="26">
        <v>2</v>
      </c>
      <c r="C375" s="22"/>
      <c r="D375" s="22"/>
      <c r="E375" s="22"/>
      <c r="F375" s="22"/>
    </row>
    <row r="376" spans="1:6" ht="14.5">
      <c r="A376" s="25">
        <v>44211</v>
      </c>
      <c r="B376" s="26">
        <v>2</v>
      </c>
      <c r="C376" s="22">
        <v>1</v>
      </c>
      <c r="D376" s="22"/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/>
      <c r="D379" s="22"/>
      <c r="E379" s="22"/>
      <c r="F379" s="22"/>
    </row>
    <row r="380" spans="1:6" ht="14.5">
      <c r="A380" s="25">
        <v>44215</v>
      </c>
      <c r="B380" s="26">
        <v>3</v>
      </c>
      <c r="C380" s="22"/>
      <c r="D380" s="22">
        <v>1</v>
      </c>
      <c r="E380" s="22"/>
      <c r="F380" s="22"/>
    </row>
    <row r="381" spans="1:6" ht="14.5">
      <c r="A381" s="25">
        <v>44216</v>
      </c>
      <c r="B381" s="26">
        <v>3</v>
      </c>
      <c r="C381" s="22">
        <v>1</v>
      </c>
      <c r="D381" s="22"/>
      <c r="E381" s="22"/>
      <c r="F381" s="22"/>
    </row>
    <row r="382" spans="1:6" ht="14.5">
      <c r="A382" s="25">
        <v>44217</v>
      </c>
      <c r="B382" s="26">
        <v>3</v>
      </c>
      <c r="C382" s="22">
        <v>1</v>
      </c>
      <c r="D382" s="22"/>
      <c r="E382" s="22"/>
      <c r="F382" s="22"/>
    </row>
    <row r="383" spans="1:6" ht="14.5">
      <c r="A383" s="25">
        <v>44218</v>
      </c>
      <c r="B383" s="26">
        <v>3</v>
      </c>
      <c r="C383" s="22"/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>
        <v>1</v>
      </c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>
        <v>2</v>
      </c>
      <c r="D387" s="22"/>
      <c r="E387" s="22"/>
      <c r="F387" s="22"/>
    </row>
    <row r="388" spans="1:6" ht="14.5">
      <c r="A388" s="25">
        <v>44223</v>
      </c>
      <c r="B388" s="26">
        <v>4</v>
      </c>
      <c r="C388" s="22">
        <v>2</v>
      </c>
      <c r="D388" s="22"/>
      <c r="E388" s="22"/>
      <c r="F388" s="22"/>
    </row>
    <row r="389" spans="1:6" ht="14.5">
      <c r="A389" s="25">
        <v>44224</v>
      </c>
      <c r="B389" s="26">
        <v>4</v>
      </c>
      <c r="C389" s="22">
        <v>1</v>
      </c>
      <c r="D389" s="22"/>
      <c r="E389" s="22"/>
      <c r="F389" s="22"/>
    </row>
    <row r="390" spans="1:6" ht="17.5">
      <c r="A390" s="25">
        <v>44225</v>
      </c>
      <c r="B390" s="26">
        <v>4</v>
      </c>
      <c r="C390" s="22">
        <v>5</v>
      </c>
      <c r="D390" s="22"/>
      <c r="E390" s="36" t="s">
        <v>27</v>
      </c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>
        <v>1</v>
      </c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1</v>
      </c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1</v>
      </c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>
        <v>1</v>
      </c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6" ht="14.5">
      <c r="A465" s="25">
        <v>44300</v>
      </c>
      <c r="B465" s="26">
        <v>15</v>
      </c>
      <c r="C465" s="22">
        <v>1</v>
      </c>
      <c r="D465" s="22"/>
      <c r="E465" s="22"/>
      <c r="F465" s="22"/>
    </row>
    <row r="466" spans="1:6" ht="14.5">
      <c r="A466" s="25">
        <v>44301</v>
      </c>
      <c r="B466" s="26">
        <v>15</v>
      </c>
      <c r="C466" s="22"/>
      <c r="D466" s="22"/>
      <c r="E466" s="22"/>
      <c r="F466" s="22"/>
    </row>
    <row r="467" spans="1:6" ht="14.5">
      <c r="A467" s="25">
        <v>44302</v>
      </c>
      <c r="B467" s="26">
        <v>15</v>
      </c>
      <c r="C467" s="22"/>
      <c r="D467" s="22"/>
      <c r="E467" s="22"/>
      <c r="F467" s="22"/>
    </row>
    <row r="468" spans="1:6" ht="14.5">
      <c r="A468" s="25">
        <v>44303</v>
      </c>
      <c r="B468" s="26">
        <v>15</v>
      </c>
      <c r="C468" s="22"/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/>
      <c r="D470" s="22"/>
      <c r="E470" s="22"/>
      <c r="F470" s="22"/>
    </row>
    <row r="471" spans="1:6" ht="14.5">
      <c r="A471" s="25">
        <v>44306</v>
      </c>
      <c r="B471" s="26">
        <v>16</v>
      </c>
      <c r="C471" s="22"/>
      <c r="D471" s="22"/>
      <c r="E471" s="22"/>
      <c r="F471" s="22"/>
    </row>
    <row r="472" spans="1:6" ht="14.5">
      <c r="A472" s="25">
        <v>44307</v>
      </c>
      <c r="B472" s="26">
        <v>16</v>
      </c>
      <c r="C472" s="22"/>
      <c r="D472" s="22"/>
      <c r="E472" s="22"/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/>
      <c r="D475" s="22"/>
      <c r="E475" s="22"/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/>
      <c r="D477" s="22"/>
      <c r="E477" s="22"/>
      <c r="F477" s="22"/>
    </row>
    <row r="478" spans="1:6" ht="14.5">
      <c r="A478" s="25">
        <v>44313</v>
      </c>
      <c r="B478" s="26">
        <v>17</v>
      </c>
      <c r="C478" s="22"/>
      <c r="D478" s="22"/>
      <c r="E478" s="22"/>
      <c r="F478" s="22"/>
    </row>
    <row r="479" spans="1:6" ht="14.5">
      <c r="A479" s="25">
        <v>44314</v>
      </c>
      <c r="B479" s="26">
        <v>17</v>
      </c>
      <c r="C479" s="22"/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>
        <v>1</v>
      </c>
      <c r="D481" s="22"/>
      <c r="E481" s="22"/>
      <c r="F481" s="22"/>
    </row>
    <row r="482" spans="1:6" ht="14.5">
      <c r="A482" s="25">
        <v>44317</v>
      </c>
      <c r="B482" s="26">
        <v>17</v>
      </c>
      <c r="C482" s="22"/>
      <c r="D482" s="22"/>
      <c r="E482" s="22"/>
      <c r="F482" s="22"/>
    </row>
    <row r="483" spans="1:6" ht="14.5">
      <c r="A483" s="25">
        <v>44318</v>
      </c>
      <c r="B483" s="26">
        <v>17</v>
      </c>
      <c r="C483" s="22"/>
      <c r="D483" s="22"/>
      <c r="E483" s="22"/>
      <c r="F483" s="22"/>
    </row>
    <row r="484" spans="1:6" ht="14.5">
      <c r="A484" s="25">
        <v>44319</v>
      </c>
      <c r="B484" s="26">
        <v>18</v>
      </c>
      <c r="C484" s="22"/>
      <c r="D484" s="22"/>
      <c r="E484" s="22"/>
      <c r="F484" s="22"/>
    </row>
    <row r="485" spans="1:6" ht="14.5">
      <c r="A485" s="25">
        <v>44320</v>
      </c>
      <c r="B485" s="26">
        <v>18</v>
      </c>
      <c r="C485" s="22"/>
      <c r="D485" s="22"/>
      <c r="E485" s="22"/>
      <c r="F485" s="22"/>
    </row>
    <row r="486" spans="1:6" ht="14.5">
      <c r="A486" s="25">
        <v>44321</v>
      </c>
      <c r="B486" s="26">
        <v>18</v>
      </c>
      <c r="C486" s="22">
        <v>2</v>
      </c>
      <c r="D486" s="22"/>
      <c r="E486" s="22"/>
      <c r="F486" s="22"/>
    </row>
    <row r="487" spans="1:6" ht="14.5">
      <c r="A487" s="25">
        <v>44322</v>
      </c>
      <c r="B487" s="26">
        <v>18</v>
      </c>
      <c r="C487" s="22">
        <v>1</v>
      </c>
      <c r="D487" s="22"/>
      <c r="E487" s="22"/>
      <c r="F487" s="22"/>
    </row>
    <row r="488" spans="1:6" ht="14.5">
      <c r="A488" s="25">
        <v>44323</v>
      </c>
      <c r="B488" s="26">
        <v>18</v>
      </c>
      <c r="C488" s="22">
        <f t="shared" ref="C488:C490" si="0">8/3</f>
        <v>2.6666666666666665</v>
      </c>
      <c r="D488" s="22"/>
      <c r="E488" s="22"/>
      <c r="F488" s="22"/>
    </row>
    <row r="489" spans="1:6" ht="14.5">
      <c r="A489" s="25">
        <v>44324</v>
      </c>
      <c r="B489" s="26">
        <v>18</v>
      </c>
      <c r="C489" s="22">
        <f t="shared" si="0"/>
        <v>2.6666666666666665</v>
      </c>
      <c r="D489" s="22"/>
      <c r="E489" s="22"/>
      <c r="F489" s="22"/>
    </row>
    <row r="490" spans="1:6" ht="14.5">
      <c r="A490" s="25">
        <v>44325</v>
      </c>
      <c r="B490" s="26">
        <v>18</v>
      </c>
      <c r="C490" s="22">
        <f t="shared" si="0"/>
        <v>2.6666666666666665</v>
      </c>
      <c r="D490" s="22"/>
      <c r="E490" s="22"/>
      <c r="F490" s="22"/>
    </row>
    <row r="491" spans="1:6" ht="14.5">
      <c r="A491" s="25">
        <v>44326</v>
      </c>
      <c r="B491" s="26">
        <v>19</v>
      </c>
      <c r="C491" s="22">
        <v>5</v>
      </c>
      <c r="D491" s="22"/>
      <c r="E491" s="22"/>
      <c r="F491" s="22"/>
    </row>
    <row r="492" spans="1:6" ht="14.5">
      <c r="A492" s="25">
        <v>44327</v>
      </c>
      <c r="B492" s="26">
        <v>19</v>
      </c>
      <c r="C492" s="22"/>
      <c r="D492" s="22"/>
      <c r="E492" s="22"/>
      <c r="F492" s="22"/>
    </row>
    <row r="493" spans="1:6" ht="14.5">
      <c r="A493" s="25">
        <v>44328</v>
      </c>
      <c r="B493" s="26">
        <v>19</v>
      </c>
      <c r="C493" s="22">
        <v>3</v>
      </c>
      <c r="D493" s="22"/>
      <c r="E493" s="22"/>
      <c r="F493" s="22"/>
    </row>
    <row r="494" spans="1:6" ht="14.5">
      <c r="A494" s="25">
        <v>44329</v>
      </c>
      <c r="B494" s="26">
        <v>19</v>
      </c>
      <c r="C494" s="22">
        <v>5</v>
      </c>
      <c r="D494" s="22"/>
      <c r="E494" s="22"/>
      <c r="F494" s="22"/>
    </row>
    <row r="495" spans="1:6" ht="14.5">
      <c r="A495" s="25">
        <v>44330</v>
      </c>
      <c r="B495" s="26">
        <v>19</v>
      </c>
      <c r="C495" s="22">
        <f t="shared" ref="C495:C497" si="1">4/3</f>
        <v>1.3333333333333333</v>
      </c>
      <c r="D495" s="22"/>
      <c r="E495" s="22"/>
      <c r="F495" s="22"/>
    </row>
    <row r="496" spans="1:6" ht="14.5">
      <c r="A496" s="25">
        <v>44331</v>
      </c>
      <c r="B496" s="26">
        <v>19</v>
      </c>
      <c r="C496" s="22">
        <f t="shared" si="1"/>
        <v>1.3333333333333333</v>
      </c>
      <c r="D496" s="22"/>
      <c r="E496" s="22"/>
      <c r="F496" s="22"/>
    </row>
    <row r="497" spans="1:6" ht="14.5">
      <c r="A497" s="25">
        <v>44332</v>
      </c>
      <c r="B497" s="26">
        <v>19</v>
      </c>
      <c r="C497" s="22">
        <f t="shared" si="1"/>
        <v>1.3333333333333333</v>
      </c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v>1</v>
      </c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>
        <v>1</v>
      </c>
      <c r="E499" s="22"/>
      <c r="F499" s="22"/>
    </row>
    <row r="500" spans="1:6" ht="14.5">
      <c r="A500" s="25">
        <v>44335</v>
      </c>
      <c r="B500" s="26">
        <v>20</v>
      </c>
      <c r="C500" s="22">
        <v>2</v>
      </c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>
        <v>2</v>
      </c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>
        <v>1</v>
      </c>
      <c r="E506" s="22"/>
      <c r="F506" s="22"/>
    </row>
    <row r="507" spans="1:6" ht="14.5">
      <c r="A507" s="25">
        <v>44342</v>
      </c>
      <c r="B507" s="26">
        <v>21</v>
      </c>
      <c r="C507" s="22">
        <v>1</v>
      </c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v>1</v>
      </c>
      <c r="D508" s="22"/>
      <c r="E508" s="22"/>
      <c r="F508" s="22"/>
    </row>
    <row r="509" spans="1:6" ht="14.5">
      <c r="A509" s="25">
        <v>44344</v>
      </c>
      <c r="B509" s="26">
        <v>21</v>
      </c>
      <c r="C509" s="22">
        <v>1</v>
      </c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>
        <v>2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>
        <v>1</v>
      </c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>
        <v>1</v>
      </c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>
        <v>1</v>
      </c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>
        <v>4</v>
      </c>
      <c r="D522" s="22"/>
      <c r="E522" s="22"/>
      <c r="F522" s="22"/>
    </row>
    <row r="523" spans="1:6" ht="14.5">
      <c r="A523" s="25">
        <v>44358</v>
      </c>
      <c r="B523" s="26">
        <v>23</v>
      </c>
      <c r="C523" s="22">
        <v>2.5</v>
      </c>
      <c r="D523" s="22"/>
      <c r="E523" s="22"/>
      <c r="F523" s="22"/>
    </row>
    <row r="524" spans="1:6" ht="14.5">
      <c r="A524" s="25">
        <v>44359</v>
      </c>
      <c r="B524" s="26">
        <v>23</v>
      </c>
      <c r="C524" s="22">
        <v>2.5</v>
      </c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>
        <v>3</v>
      </c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35"/>
      <c r="F568" s="22"/>
    </row>
    <row r="569" spans="1:6" ht="14.5">
      <c r="A569" s="25">
        <v>44404</v>
      </c>
      <c r="B569" s="26">
        <v>30</v>
      </c>
      <c r="C569" s="22"/>
      <c r="D569" s="22"/>
      <c r="E569" s="22"/>
      <c r="F569" s="22"/>
    </row>
    <row r="570" spans="1:6" ht="14.5">
      <c r="A570" s="28">
        <v>44405</v>
      </c>
      <c r="B570" s="22">
        <v>30</v>
      </c>
      <c r="C570" s="22"/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>
        <v>1</v>
      </c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1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>
        <f>1+(1/7)</f>
        <v>1.1428571428571428</v>
      </c>
      <c r="D588" s="22">
        <f t="shared" ref="D588:D590" si="2">(1/7)</f>
        <v>0.14285714285714285</v>
      </c>
      <c r="E588" s="22"/>
      <c r="F588" s="22"/>
    </row>
    <row r="589" spans="1:6" ht="14.5">
      <c r="A589" s="28">
        <v>44424</v>
      </c>
      <c r="B589" s="22">
        <v>33</v>
      </c>
      <c r="C589" s="22">
        <f t="shared" ref="C589:C590" si="3">(1/7)</f>
        <v>0.14285714285714285</v>
      </c>
      <c r="D589" s="22">
        <f t="shared" si="2"/>
        <v>0.14285714285714285</v>
      </c>
      <c r="E589" s="22"/>
      <c r="F589" s="22"/>
    </row>
    <row r="590" spans="1:6" ht="14.5">
      <c r="A590" s="28">
        <v>44425</v>
      </c>
      <c r="B590" s="22">
        <v>33</v>
      </c>
      <c r="C590" s="22">
        <f t="shared" si="3"/>
        <v>0.14285714285714285</v>
      </c>
      <c r="D590" s="22">
        <f t="shared" si="2"/>
        <v>0.14285714285714285</v>
      </c>
      <c r="E590" s="22"/>
      <c r="F590" s="22"/>
    </row>
    <row r="591" spans="1:6" ht="14.5">
      <c r="A591" s="28">
        <v>44426</v>
      </c>
      <c r="B591" s="22">
        <v>33</v>
      </c>
      <c r="C591" s="22">
        <f>1+(1/7)</f>
        <v>1.1428571428571428</v>
      </c>
      <c r="D591" s="22">
        <f>1+(1/7)</f>
        <v>1.1428571428571428</v>
      </c>
      <c r="E591" s="22"/>
      <c r="F591" s="22"/>
    </row>
    <row r="592" spans="1:6" ht="14.5">
      <c r="A592" s="28">
        <v>44427</v>
      </c>
      <c r="B592" s="22">
        <v>33</v>
      </c>
      <c r="C592" s="22">
        <f>(1/7)</f>
        <v>0.14285714285714285</v>
      </c>
      <c r="D592" s="22">
        <f>(1/7)</f>
        <v>0.14285714285714285</v>
      </c>
      <c r="E592" s="22"/>
      <c r="F592" s="22"/>
    </row>
    <row r="593" spans="1:6" ht="14.5">
      <c r="A593" s="28">
        <v>44428</v>
      </c>
      <c r="B593" s="22">
        <v>33</v>
      </c>
      <c r="C593" s="22">
        <f t="shared" ref="C593:D593" si="4">(1/7)</f>
        <v>0.14285714285714285</v>
      </c>
      <c r="D593" s="22">
        <f t="shared" si="4"/>
        <v>0.14285714285714285</v>
      </c>
      <c r="E593" s="22"/>
      <c r="F593" s="22"/>
    </row>
    <row r="594" spans="1:6" ht="14.5">
      <c r="A594" s="28">
        <v>44429</v>
      </c>
      <c r="B594" s="22">
        <v>33</v>
      </c>
      <c r="C594" s="22">
        <f>(1/7)</f>
        <v>0.14285714285714285</v>
      </c>
      <c r="D594" s="22">
        <f>(1/7)</f>
        <v>0.14285714285714285</v>
      </c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v>1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1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>1+1</f>
        <v>2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v>1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>
        <v>1</v>
      </c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>
        <v>1</v>
      </c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>
        <v>1</v>
      </c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>
        <v>1</v>
      </c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>
        <v>1</v>
      </c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>
        <v>1</v>
      </c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>
        <v>1</v>
      </c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>
        <v>1</v>
      </c>
      <c r="D729" s="22"/>
      <c r="E729" s="22"/>
      <c r="F729" s="22"/>
    </row>
    <row r="730" spans="1:6" ht="14.5">
      <c r="A730" s="28">
        <v>44565</v>
      </c>
      <c r="B730" s="22">
        <v>1</v>
      </c>
      <c r="C730" s="22">
        <v>1</v>
      </c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v>1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v>2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2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v>2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v>2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7+5</f>
        <v>12</v>
      </c>
      <c r="D737" s="22">
        <v>1</v>
      </c>
      <c r="E737" s="22"/>
      <c r="F737" s="22"/>
    </row>
    <row r="738" spans="1:6" ht="14.5">
      <c r="A738" s="28">
        <v>44573</v>
      </c>
      <c r="B738" s="22">
        <v>2</v>
      </c>
      <c r="C738" s="22">
        <v>7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5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5</v>
      </c>
      <c r="D740" s="22">
        <v>2</v>
      </c>
      <c r="E740" s="22"/>
      <c r="F740" s="22"/>
    </row>
    <row r="741" spans="1:6" ht="14.5">
      <c r="A741" s="28">
        <v>44576</v>
      </c>
      <c r="B741" s="22">
        <v>2</v>
      </c>
      <c r="C741" s="22">
        <v>7</v>
      </c>
      <c r="D741" s="22">
        <v>1</v>
      </c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8</v>
      </c>
      <c r="D743" s="22">
        <v>4</v>
      </c>
      <c r="E743" s="22"/>
      <c r="F743" s="22"/>
    </row>
    <row r="744" spans="1:6" ht="14.5">
      <c r="A744" s="28">
        <v>44579</v>
      </c>
      <c r="B744" s="22">
        <v>3</v>
      </c>
      <c r="C744" s="22">
        <v>4</v>
      </c>
      <c r="D744" s="22">
        <v>3</v>
      </c>
      <c r="E744" s="22"/>
      <c r="F744" s="22"/>
    </row>
    <row r="745" spans="1:6" ht="14.5">
      <c r="A745" s="28">
        <v>44580</v>
      </c>
      <c r="B745" s="22">
        <v>3</v>
      </c>
      <c r="C745" s="22">
        <v>14</v>
      </c>
      <c r="D745" s="22">
        <v>2</v>
      </c>
      <c r="E745" s="22"/>
      <c r="F745" s="22"/>
    </row>
    <row r="746" spans="1:6" ht="14.5">
      <c r="A746" s="28">
        <v>44581</v>
      </c>
      <c r="B746" s="22">
        <v>3</v>
      </c>
      <c r="C746" s="22">
        <v>6</v>
      </c>
      <c r="D746" s="22">
        <v>2</v>
      </c>
      <c r="E746" s="22"/>
      <c r="F746" s="22"/>
    </row>
    <row r="747" spans="1:6" ht="14.5">
      <c r="A747" s="28">
        <v>44582</v>
      </c>
      <c r="B747" s="22">
        <v>3</v>
      </c>
      <c r="C747" s="22">
        <v>7</v>
      </c>
      <c r="D747" s="22">
        <v>1</v>
      </c>
      <c r="E747" s="22"/>
      <c r="F747" s="22"/>
    </row>
    <row r="748" spans="1:6" ht="14.5">
      <c r="A748" s="28">
        <v>44583</v>
      </c>
      <c r="B748" s="22">
        <v>3</v>
      </c>
      <c r="C748" s="22">
        <v>7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v>4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7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8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v>7</v>
      </c>
      <c r="D752" s="22">
        <v>1</v>
      </c>
      <c r="E752" s="22"/>
      <c r="F752" s="22"/>
    </row>
    <row r="753" spans="1:6" ht="14.5">
      <c r="A753" s="28">
        <v>44588</v>
      </c>
      <c r="B753" s="22">
        <v>4</v>
      </c>
      <c r="C753" s="22">
        <v>6</v>
      </c>
      <c r="D753" s="22">
        <v>3</v>
      </c>
      <c r="E753" s="22"/>
      <c r="F753" s="22"/>
    </row>
    <row r="754" spans="1:6" ht="14.5">
      <c r="A754" s="28">
        <v>44589</v>
      </c>
      <c r="B754" s="22">
        <v>4</v>
      </c>
      <c r="C754" s="22"/>
      <c r="D754" s="22">
        <v>1</v>
      </c>
      <c r="E754" s="22"/>
      <c r="F754" s="22"/>
    </row>
    <row r="755" spans="1:6" ht="14.5">
      <c r="A755" s="28">
        <v>44590</v>
      </c>
      <c r="B755" s="22">
        <v>4</v>
      </c>
      <c r="C755" s="22">
        <v>2</v>
      </c>
      <c r="D755" s="22">
        <v>1</v>
      </c>
      <c r="E755" s="22"/>
      <c r="F755" s="22"/>
    </row>
    <row r="756" spans="1:6" ht="14.5">
      <c r="A756" s="28">
        <v>44591</v>
      </c>
      <c r="B756" s="22">
        <v>4</v>
      </c>
      <c r="C756" s="22">
        <v>2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2</v>
      </c>
      <c r="D757" s="22">
        <v>11</v>
      </c>
      <c r="E757" s="22"/>
      <c r="F757" s="22"/>
    </row>
    <row r="758" spans="1:6" ht="14.5">
      <c r="A758" s="49">
        <v>44593</v>
      </c>
      <c r="B758" s="52">
        <v>5</v>
      </c>
      <c r="C758" s="52"/>
      <c r="D758" s="52">
        <v>1</v>
      </c>
      <c r="E758" s="52"/>
      <c r="F758" s="52"/>
    </row>
    <row r="759" spans="1:6" ht="14.5">
      <c r="A759" s="49">
        <v>44594</v>
      </c>
      <c r="B759" s="52">
        <v>5</v>
      </c>
      <c r="C759" s="52"/>
      <c r="D759" s="52"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v>2</v>
      </c>
      <c r="D760" s="52">
        <v>1</v>
      </c>
      <c r="E760" s="52"/>
      <c r="F760" s="52"/>
    </row>
    <row r="761" spans="1:6" ht="14.5">
      <c r="A761" s="49">
        <v>44596</v>
      </c>
      <c r="B761" s="52">
        <v>5</v>
      </c>
      <c r="C761" s="52">
        <v>1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>
        <v>1</v>
      </c>
      <c r="E763" s="52"/>
      <c r="F763" s="52"/>
    </row>
    <row r="764" spans="1:6" ht="14.5">
      <c r="A764" s="49">
        <v>44599</v>
      </c>
      <c r="B764" s="52">
        <v>6</v>
      </c>
      <c r="C764" s="52">
        <v>2</v>
      </c>
      <c r="D764" s="52">
        <v>7</v>
      </c>
      <c r="E764" s="52"/>
      <c r="F764" s="52"/>
    </row>
    <row r="765" spans="1:6" ht="14.5">
      <c r="A765" s="49">
        <v>44600</v>
      </c>
      <c r="B765" s="52">
        <v>6</v>
      </c>
      <c r="C765" s="52">
        <v>1</v>
      </c>
      <c r="D765" s="52">
        <v>1</v>
      </c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v>1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v>1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v>2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>
        <v>8</v>
      </c>
      <c r="E771" s="52"/>
      <c r="F771" s="52"/>
    </row>
    <row r="772" spans="1:6" ht="14.5">
      <c r="A772" s="49">
        <v>44607</v>
      </c>
      <c r="B772" s="52">
        <v>7</v>
      </c>
      <c r="C772" s="52"/>
      <c r="D772" s="52">
        <v>1</v>
      </c>
      <c r="E772" s="52"/>
      <c r="F772" s="52"/>
    </row>
    <row r="773" spans="1:6" ht="14.5">
      <c r="A773" s="49">
        <v>44608</v>
      </c>
      <c r="B773" s="52">
        <v>7</v>
      </c>
      <c r="C773" s="52"/>
      <c r="D773" s="52">
        <v>2</v>
      </c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>
        <v>1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/>
      <c r="D778" s="52">
        <v>5</v>
      </c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v>1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v>1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>1</f>
        <v>1</v>
      </c>
      <c r="D782" s="52">
        <f>1</f>
        <v>1</v>
      </c>
      <c r="E782" s="52"/>
      <c r="F782" s="52"/>
    </row>
    <row r="783" spans="1:6" ht="14.5">
      <c r="A783" s="49">
        <v>44618</v>
      </c>
      <c r="B783" s="52">
        <v>8</v>
      </c>
      <c r="C783" s="52">
        <f>2</f>
        <v>2</v>
      </c>
      <c r="D783" s="52">
        <f>1</f>
        <v>1</v>
      </c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v>1</v>
      </c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10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859"/>
  <sheetViews>
    <sheetView workbookViewId="0">
      <pane ySplit="7" topLeftCell="A11" activePane="bottomLeft" state="frozen"/>
      <selection pane="bottomLeft" activeCell="G2" sqref="G2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30" t="s">
        <v>46</v>
      </c>
      <c r="B1" s="131"/>
      <c r="C1" s="131"/>
      <c r="D1" s="131"/>
      <c r="E1" s="131"/>
      <c r="F1" s="132"/>
      <c r="G1" s="69" t="s">
        <v>86</v>
      </c>
    </row>
    <row r="2" spans="1:7" ht="15" customHeight="1">
      <c r="A2" s="133" t="s">
        <v>29</v>
      </c>
      <c r="B2" s="134"/>
      <c r="C2" s="134"/>
      <c r="D2" s="134"/>
      <c r="E2" s="134"/>
      <c r="F2" s="135"/>
      <c r="G2" s="72" t="s">
        <v>231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72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>
        <v>1</v>
      </c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/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/>
      <c r="D233" s="22"/>
      <c r="E233" s="22"/>
      <c r="F233" s="22"/>
    </row>
    <row r="234" spans="1:6" ht="14.5">
      <c r="A234" s="25">
        <v>44069</v>
      </c>
      <c r="B234" s="26">
        <v>33</v>
      </c>
      <c r="C234" s="22"/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/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>
        <v>1</v>
      </c>
      <c r="D269" s="22">
        <v>2</v>
      </c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>
        <v>1</v>
      </c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>
        <v>1</v>
      </c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>
        <v>1</v>
      </c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>
        <v>1</v>
      </c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>
        <v>1</v>
      </c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>
        <v>1</v>
      </c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>
        <v>4</v>
      </c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6" ht="14.5">
      <c r="A353" s="25">
        <v>44188</v>
      </c>
      <c r="B353" s="26">
        <v>50</v>
      </c>
      <c r="C353" s="22">
        <v>3</v>
      </c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>
        <f t="shared" ref="C358:C364" si="0">3/7</f>
        <v>0.42857142857142855</v>
      </c>
      <c r="D358" s="22">
        <f t="shared" ref="D358:D364" si="1">2/7</f>
        <v>0.2857142857142857</v>
      </c>
      <c r="E358" s="22"/>
      <c r="F358" s="22"/>
    </row>
    <row r="359" spans="1:6" ht="14.5">
      <c r="A359" s="25">
        <v>44194</v>
      </c>
      <c r="B359" s="26">
        <v>51</v>
      </c>
      <c r="C359" s="22">
        <f t="shared" si="0"/>
        <v>0.42857142857142855</v>
      </c>
      <c r="D359" s="22">
        <f t="shared" si="1"/>
        <v>0.2857142857142857</v>
      </c>
      <c r="E359" s="22"/>
      <c r="F359" s="22"/>
    </row>
    <row r="360" spans="1:6" ht="14.5">
      <c r="A360" s="25">
        <v>44195</v>
      </c>
      <c r="B360" s="26">
        <v>51</v>
      </c>
      <c r="C360" s="22">
        <f t="shared" si="0"/>
        <v>0.42857142857142855</v>
      </c>
      <c r="D360" s="22">
        <f t="shared" si="1"/>
        <v>0.2857142857142857</v>
      </c>
      <c r="E360" s="22"/>
      <c r="F360" s="22"/>
    </row>
    <row r="361" spans="1:6" ht="14.5">
      <c r="A361" s="25">
        <v>44196</v>
      </c>
      <c r="B361" s="26">
        <v>51</v>
      </c>
      <c r="C361" s="22">
        <f t="shared" si="0"/>
        <v>0.42857142857142855</v>
      </c>
      <c r="D361" s="22">
        <f t="shared" si="1"/>
        <v>0.2857142857142857</v>
      </c>
      <c r="E361" s="22"/>
      <c r="F361" s="22"/>
    </row>
    <row r="362" spans="1:6" ht="14.5">
      <c r="A362" s="25">
        <v>44197</v>
      </c>
      <c r="B362" s="26">
        <v>51</v>
      </c>
      <c r="C362" s="22">
        <f t="shared" si="0"/>
        <v>0.42857142857142855</v>
      </c>
      <c r="D362" s="22">
        <f t="shared" si="1"/>
        <v>0.2857142857142857</v>
      </c>
      <c r="E362" s="22"/>
      <c r="F362" s="22"/>
    </row>
    <row r="363" spans="1:6" ht="14.5">
      <c r="A363" s="25">
        <v>44198</v>
      </c>
      <c r="B363" s="26">
        <v>51</v>
      </c>
      <c r="C363" s="22">
        <f t="shared" si="0"/>
        <v>0.42857142857142855</v>
      </c>
      <c r="D363" s="22">
        <f t="shared" si="1"/>
        <v>0.2857142857142857</v>
      </c>
      <c r="E363" s="22"/>
      <c r="F363" s="22"/>
    </row>
    <row r="364" spans="1:6" ht="14.5">
      <c r="A364" s="25">
        <v>44199</v>
      </c>
      <c r="B364" s="26">
        <v>51</v>
      </c>
      <c r="C364" s="22">
        <f t="shared" si="0"/>
        <v>0.42857142857142855</v>
      </c>
      <c r="D364" s="22">
        <f t="shared" si="1"/>
        <v>0.2857142857142857</v>
      </c>
      <c r="E364" s="22"/>
      <c r="F364" s="22"/>
    </row>
    <row r="365" spans="1:6" ht="14.5">
      <c r="A365" s="25">
        <v>44200</v>
      </c>
      <c r="B365" s="26">
        <v>1</v>
      </c>
      <c r="C365" s="22"/>
      <c r="D365" s="22"/>
      <c r="E365" s="22"/>
      <c r="F365" s="22"/>
    </row>
    <row r="366" spans="1:6" ht="14.5">
      <c r="A366" s="25">
        <v>44201</v>
      </c>
      <c r="B366" s="26">
        <v>1</v>
      </c>
      <c r="C366" s="22"/>
      <c r="D366" s="22"/>
      <c r="E366" s="22"/>
      <c r="F366" s="22"/>
    </row>
    <row r="367" spans="1:6" ht="14.5">
      <c r="A367" s="25">
        <v>44202</v>
      </c>
      <c r="B367" s="26">
        <v>1</v>
      </c>
      <c r="C367" s="22"/>
      <c r="D367" s="22"/>
      <c r="E367" s="22"/>
      <c r="F367" s="22"/>
    </row>
    <row r="368" spans="1:6" ht="14.5">
      <c r="A368" s="25">
        <v>44203</v>
      </c>
      <c r="B368" s="26">
        <v>1</v>
      </c>
      <c r="C368" s="22"/>
      <c r="D368" s="22"/>
      <c r="E368" s="22"/>
      <c r="F368" s="22"/>
    </row>
    <row r="369" spans="1:6" ht="14.5">
      <c r="A369" s="25">
        <v>44204</v>
      </c>
      <c r="B369" s="26">
        <v>1</v>
      </c>
      <c r="C369" s="22"/>
      <c r="D369" s="22"/>
      <c r="E369" s="22"/>
      <c r="F369" s="22"/>
    </row>
    <row r="370" spans="1:6" ht="14.5">
      <c r="A370" s="25">
        <v>44205</v>
      </c>
      <c r="B370" s="26">
        <v>1</v>
      </c>
      <c r="C370" s="22"/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>
        <v>1</v>
      </c>
      <c r="D373" s="22"/>
      <c r="E373" s="22"/>
      <c r="F373" s="22"/>
    </row>
    <row r="374" spans="1:6" ht="14.5">
      <c r="A374" s="25">
        <v>44209</v>
      </c>
      <c r="B374" s="26">
        <v>2</v>
      </c>
      <c r="C374" s="22"/>
      <c r="D374" s="22"/>
      <c r="E374" s="22"/>
      <c r="F374" s="22"/>
    </row>
    <row r="375" spans="1:6" ht="14.5">
      <c r="A375" s="25">
        <v>44210</v>
      </c>
      <c r="B375" s="26">
        <v>2</v>
      </c>
      <c r="C375" s="22"/>
      <c r="D375" s="22"/>
      <c r="E375" s="22"/>
      <c r="F375" s="22"/>
    </row>
    <row r="376" spans="1:6" ht="14.5">
      <c r="A376" s="25">
        <v>44211</v>
      </c>
      <c r="B376" s="26">
        <v>2</v>
      </c>
      <c r="C376" s="22">
        <v>1</v>
      </c>
      <c r="D376" s="22"/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>
        <v>2</v>
      </c>
      <c r="D379" s="22">
        <v>1</v>
      </c>
      <c r="E379" s="22"/>
      <c r="F379" s="22"/>
    </row>
    <row r="380" spans="1:6" ht="14.5">
      <c r="A380" s="25">
        <v>44215</v>
      </c>
      <c r="B380" s="26">
        <v>3</v>
      </c>
      <c r="C380" s="22">
        <v>1</v>
      </c>
      <c r="D380" s="22">
        <v>1</v>
      </c>
      <c r="E380" s="22"/>
      <c r="F380" s="22"/>
    </row>
    <row r="381" spans="1:6" ht="14.5">
      <c r="A381" s="25">
        <v>44216</v>
      </c>
      <c r="B381" s="26">
        <v>3</v>
      </c>
      <c r="C381" s="22"/>
      <c r="D381" s="22"/>
      <c r="E381" s="22"/>
      <c r="F381" s="22"/>
    </row>
    <row r="382" spans="1:6" ht="14.5">
      <c r="A382" s="25">
        <v>44217</v>
      </c>
      <c r="B382" s="26">
        <v>3</v>
      </c>
      <c r="C382" s="22">
        <v>1</v>
      </c>
      <c r="D382" s="22">
        <v>1</v>
      </c>
      <c r="E382" s="22"/>
      <c r="F382" s="22"/>
    </row>
    <row r="383" spans="1:6" ht="14.5">
      <c r="A383" s="25">
        <v>44218</v>
      </c>
      <c r="B383" s="26">
        <v>3</v>
      </c>
      <c r="C383" s="22"/>
      <c r="D383" s="22">
        <v>1</v>
      </c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>
        <v>1</v>
      </c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>
        <v>1</v>
      </c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>
        <v>6</v>
      </c>
      <c r="E390" s="22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>
        <v>2</v>
      </c>
      <c r="E394" s="22"/>
      <c r="F394" s="22"/>
    </row>
    <row r="395" spans="1:6" ht="14.5">
      <c r="A395" s="25">
        <v>44230</v>
      </c>
      <c r="B395" s="26">
        <v>5</v>
      </c>
      <c r="C395" s="22"/>
      <c r="D395" s="22">
        <v>2</v>
      </c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>
        <v>1</v>
      </c>
      <c r="D397" s="22">
        <v>1</v>
      </c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>
        <v>2</v>
      </c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>
        <v>1</v>
      </c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>
        <v>2</v>
      </c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>
        <v>2</v>
      </c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>
        <v>1</v>
      </c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1</v>
      </c>
      <c r="D450" s="22">
        <v>1</v>
      </c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2</v>
      </c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>
        <v>1</v>
      </c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6" ht="14.5">
      <c r="A465" s="25">
        <v>44300</v>
      </c>
      <c r="B465" s="26">
        <v>15</v>
      </c>
      <c r="C465" s="22"/>
      <c r="D465" s="22"/>
      <c r="E465" s="22"/>
      <c r="F465" s="22"/>
    </row>
    <row r="466" spans="1:6" ht="14.5">
      <c r="A466" s="25">
        <v>44301</v>
      </c>
      <c r="B466" s="26">
        <v>15</v>
      </c>
      <c r="C466" s="22">
        <v>2</v>
      </c>
      <c r="D466" s="22"/>
      <c r="E466" s="22"/>
      <c r="F466" s="22"/>
    </row>
    <row r="467" spans="1:6" ht="14.5">
      <c r="A467" s="25">
        <v>44302</v>
      </c>
      <c r="B467" s="26">
        <v>15</v>
      </c>
      <c r="C467" s="22"/>
      <c r="D467" s="22"/>
      <c r="E467" s="22"/>
      <c r="F467" s="22"/>
    </row>
    <row r="468" spans="1:6" ht="14.5">
      <c r="A468" s="25">
        <v>44303</v>
      </c>
      <c r="B468" s="26">
        <v>15</v>
      </c>
      <c r="C468" s="22"/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/>
      <c r="D470" s="22"/>
      <c r="E470" s="22"/>
      <c r="F470" s="22"/>
    </row>
    <row r="471" spans="1:6" ht="14.5">
      <c r="A471" s="25">
        <v>44306</v>
      </c>
      <c r="B471" s="26">
        <v>16</v>
      </c>
      <c r="C471" s="22"/>
      <c r="D471" s="22"/>
      <c r="E471" s="22"/>
      <c r="F471" s="22"/>
    </row>
    <row r="472" spans="1:6" ht="14.5">
      <c r="A472" s="25">
        <v>44307</v>
      </c>
      <c r="B472" s="26">
        <v>16</v>
      </c>
      <c r="C472" s="22"/>
      <c r="D472" s="22"/>
      <c r="E472" s="22"/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/>
      <c r="D475" s="22"/>
      <c r="E475" s="22"/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>
        <v>1</v>
      </c>
      <c r="D477" s="22"/>
      <c r="E477" s="22"/>
      <c r="F477" s="22"/>
    </row>
    <row r="478" spans="1:6" ht="14.5">
      <c r="A478" s="25">
        <v>44313</v>
      </c>
      <c r="B478" s="26">
        <v>17</v>
      </c>
      <c r="C478" s="22">
        <v>5</v>
      </c>
      <c r="D478" s="22"/>
      <c r="E478" s="22"/>
      <c r="F478" s="22"/>
    </row>
    <row r="479" spans="1:6" ht="14.5">
      <c r="A479" s="25">
        <v>44314</v>
      </c>
      <c r="B479" s="26">
        <v>17</v>
      </c>
      <c r="C479" s="22"/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>
        <f>2+(6/5)</f>
        <v>3.2</v>
      </c>
      <c r="D481" s="22"/>
      <c r="E481" s="22"/>
      <c r="F481" s="22"/>
    </row>
    <row r="482" spans="1:6" ht="14.5">
      <c r="A482" s="25">
        <v>44317</v>
      </c>
      <c r="B482" s="26">
        <v>17</v>
      </c>
      <c r="C482" s="22">
        <f t="shared" ref="C482:C487" si="2">6/5</f>
        <v>1.2</v>
      </c>
      <c r="D482" s="22"/>
      <c r="E482" s="22"/>
      <c r="F482" s="22"/>
    </row>
    <row r="483" spans="1:6" ht="14.5">
      <c r="A483" s="25">
        <v>44318</v>
      </c>
      <c r="B483" s="26">
        <v>17</v>
      </c>
      <c r="C483" s="22">
        <f t="shared" si="2"/>
        <v>1.2</v>
      </c>
      <c r="D483" s="22"/>
      <c r="E483" s="22"/>
      <c r="F483" s="22"/>
    </row>
    <row r="484" spans="1:6" ht="14.5">
      <c r="A484" s="25">
        <v>44319</v>
      </c>
      <c r="B484" s="26">
        <v>18</v>
      </c>
      <c r="C484" s="22">
        <f t="shared" si="2"/>
        <v>1.2</v>
      </c>
      <c r="D484" s="22"/>
      <c r="E484" s="22"/>
      <c r="F484" s="22"/>
    </row>
    <row r="485" spans="1:6" ht="14.5">
      <c r="A485" s="25">
        <v>44320</v>
      </c>
      <c r="B485" s="26">
        <v>18</v>
      </c>
      <c r="C485" s="22">
        <f t="shared" si="2"/>
        <v>1.2</v>
      </c>
      <c r="D485" s="22"/>
      <c r="E485" s="22"/>
      <c r="F485" s="22"/>
    </row>
    <row r="486" spans="1:6" ht="14.5">
      <c r="A486" s="25">
        <v>44321</v>
      </c>
      <c r="B486" s="26">
        <v>18</v>
      </c>
      <c r="C486" s="22">
        <f t="shared" si="2"/>
        <v>1.2</v>
      </c>
      <c r="D486" s="22"/>
      <c r="E486" s="22"/>
      <c r="F486" s="22"/>
    </row>
    <row r="487" spans="1:6" ht="14.5">
      <c r="A487" s="25">
        <v>44322</v>
      </c>
      <c r="B487" s="26">
        <v>18</v>
      </c>
      <c r="C487" s="22">
        <f t="shared" si="2"/>
        <v>1.2</v>
      </c>
      <c r="D487" s="22"/>
      <c r="E487" s="22"/>
      <c r="F487" s="22"/>
    </row>
    <row r="488" spans="1:6" ht="14.5">
      <c r="A488" s="25">
        <v>44323</v>
      </c>
      <c r="B488" s="26">
        <v>18</v>
      </c>
      <c r="C488" s="22">
        <v>1</v>
      </c>
      <c r="D488" s="22"/>
      <c r="E488" s="22"/>
      <c r="F488" s="22"/>
    </row>
    <row r="489" spans="1:6" ht="14.5">
      <c r="A489" s="25">
        <v>44324</v>
      </c>
      <c r="B489" s="26">
        <v>18</v>
      </c>
      <c r="C489" s="22"/>
      <c r="D489" s="22"/>
      <c r="E489" s="22"/>
      <c r="F489" s="22"/>
    </row>
    <row r="490" spans="1:6" ht="14.5">
      <c r="A490" s="25">
        <v>44325</v>
      </c>
      <c r="B490" s="26">
        <v>18</v>
      </c>
      <c r="C490" s="22"/>
      <c r="D490" s="22"/>
      <c r="E490" s="22"/>
      <c r="F490" s="22"/>
    </row>
    <row r="491" spans="1:6" ht="14.5">
      <c r="A491" s="25">
        <v>44326</v>
      </c>
      <c r="B491" s="26">
        <v>19</v>
      </c>
      <c r="C491" s="22"/>
      <c r="D491" s="22"/>
      <c r="E491" s="22"/>
      <c r="F491" s="22"/>
    </row>
    <row r="492" spans="1:6" ht="14.5">
      <c r="A492" s="25">
        <v>44327</v>
      </c>
      <c r="B492" s="26">
        <v>19</v>
      </c>
      <c r="C492" s="22">
        <v>6</v>
      </c>
      <c r="D492" s="22"/>
      <c r="E492" s="22"/>
      <c r="F492" s="22"/>
    </row>
    <row r="493" spans="1:6" ht="14.5">
      <c r="A493" s="25">
        <v>44328</v>
      </c>
      <c r="B493" s="26">
        <v>19</v>
      </c>
      <c r="C493" s="22"/>
      <c r="D493" s="22"/>
      <c r="E493" s="22"/>
      <c r="F493" s="22"/>
    </row>
    <row r="494" spans="1:6" ht="14.5">
      <c r="A494" s="25">
        <v>44329</v>
      </c>
      <c r="B494" s="26">
        <v>19</v>
      </c>
      <c r="C494" s="22">
        <v>4</v>
      </c>
      <c r="D494" s="22"/>
      <c r="E494" s="22"/>
      <c r="F494" s="22"/>
    </row>
    <row r="495" spans="1:6" ht="14.5">
      <c r="A495" s="25">
        <v>44330</v>
      </c>
      <c r="B495" s="26">
        <v>19</v>
      </c>
      <c r="C495" s="22"/>
      <c r="D495" s="22"/>
      <c r="E495" s="22"/>
      <c r="F495" s="22"/>
    </row>
    <row r="496" spans="1:6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v>3</v>
      </c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/>
      <c r="E499" s="22"/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>
        <v>1</v>
      </c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v>2</v>
      </c>
      <c r="D508" s="22"/>
      <c r="E508" s="22"/>
      <c r="F508" s="22"/>
    </row>
    <row r="509" spans="1:6" ht="14.5">
      <c r="A509" s="25">
        <v>44344</v>
      </c>
      <c r="B509" s="26">
        <v>21</v>
      </c>
      <c r="C509" s="22">
        <v>1</v>
      </c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>
        <v>1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>
        <v>1</v>
      </c>
      <c r="D514" s="22"/>
      <c r="E514" s="22"/>
      <c r="F514" s="22"/>
    </row>
    <row r="515" spans="1:6" ht="14.5">
      <c r="A515" s="25">
        <v>44350</v>
      </c>
      <c r="B515" s="26">
        <v>22</v>
      </c>
      <c r="C515" s="22">
        <v>1</v>
      </c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>
        <v>1</v>
      </c>
      <c r="D541" s="22"/>
      <c r="E541" s="22"/>
      <c r="F541" s="22"/>
    </row>
    <row r="542" spans="1:6" ht="14.5">
      <c r="A542" s="25">
        <v>44377</v>
      </c>
      <c r="B542" s="26">
        <v>26</v>
      </c>
      <c r="C542" s="22">
        <v>1</v>
      </c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>
        <v>1</v>
      </c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>
        <v>1</v>
      </c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>
        <v>3</v>
      </c>
      <c r="D550" s="22"/>
      <c r="E550" s="22"/>
      <c r="F550" s="22"/>
    </row>
    <row r="551" spans="1:6" ht="14.5">
      <c r="A551" s="25">
        <v>44386</v>
      </c>
      <c r="B551" s="26">
        <v>27</v>
      </c>
      <c r="C551" s="22">
        <v>4</v>
      </c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>
        <v>3</v>
      </c>
      <c r="D554" s="22"/>
      <c r="E554" s="22"/>
      <c r="F554" s="22"/>
    </row>
    <row r="555" spans="1:6" ht="14.5">
      <c r="A555" s="25">
        <v>44390</v>
      </c>
      <c r="B555" s="26">
        <v>28</v>
      </c>
      <c r="C555" s="22">
        <v>2</v>
      </c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>
        <v>2</v>
      </c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>
        <v>3</v>
      </c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>
        <v>1</v>
      </c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>
        <v>3</v>
      </c>
      <c r="D568" s="22"/>
      <c r="E568" s="22"/>
      <c r="F568" s="22"/>
    </row>
    <row r="569" spans="1:6" ht="14.5">
      <c r="A569" s="28">
        <v>44404</v>
      </c>
      <c r="B569" s="22">
        <v>30</v>
      </c>
      <c r="C569" s="22">
        <v>1</v>
      </c>
      <c r="D569" s="22"/>
      <c r="E569" s="22"/>
      <c r="F569" s="22"/>
    </row>
    <row r="570" spans="1:6" ht="14.5">
      <c r="A570" s="28">
        <v>44405</v>
      </c>
      <c r="B570" s="22">
        <v>30</v>
      </c>
      <c r="C570" s="22">
        <v>2</v>
      </c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>
        <v>1</v>
      </c>
      <c r="D572" s="22">
        <v>1</v>
      </c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>
        <v>4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v>10</v>
      </c>
      <c r="D578" s="22">
        <v>1</v>
      </c>
      <c r="E578" s="22"/>
      <c r="F578" s="22"/>
    </row>
    <row r="579" spans="1:6" ht="14.5">
      <c r="A579" s="28">
        <v>44414</v>
      </c>
      <c r="B579" s="22">
        <v>31</v>
      </c>
      <c r="C579" s="22">
        <v>4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6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4</v>
      </c>
      <c r="D584" s="22">
        <v>3</v>
      </c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v>1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v>6</v>
      </c>
      <c r="D591" s="22">
        <v>1</v>
      </c>
      <c r="E591" s="22"/>
      <c r="F591" s="22"/>
    </row>
    <row r="592" spans="1:6" ht="14.5">
      <c r="A592" s="28">
        <v>44427</v>
      </c>
      <c r="B592" s="22">
        <v>33</v>
      </c>
      <c r="C592" s="22">
        <v>3</v>
      </c>
      <c r="D592" s="22">
        <v>2</v>
      </c>
      <c r="E592" s="22"/>
      <c r="F592" s="22"/>
    </row>
    <row r="593" spans="1:6" ht="14.5">
      <c r="A593" s="28">
        <v>44428</v>
      </c>
      <c r="B593" s="22">
        <v>33</v>
      </c>
      <c r="C593" s="22">
        <v>2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v>1</v>
      </c>
      <c r="D596" s="22">
        <v>3</v>
      </c>
      <c r="E596" s="22"/>
      <c r="F596" s="22"/>
    </row>
    <row r="597" spans="1:6" ht="14.5">
      <c r="A597" s="28">
        <v>44432</v>
      </c>
      <c r="B597" s="22">
        <v>34</v>
      </c>
      <c r="C597" s="22">
        <v>2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5</v>
      </c>
      <c r="D598" s="22">
        <v>1</v>
      </c>
      <c r="E598" s="22"/>
      <c r="F598" s="22"/>
    </row>
    <row r="599" spans="1:6" ht="14.5">
      <c r="A599" s="28">
        <v>44434</v>
      </c>
      <c r="B599" s="22">
        <v>34</v>
      </c>
      <c r="C599" s="22">
        <v>3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>
        <v>2</v>
      </c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1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v>5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v>2</v>
      </c>
      <c r="D606" s="22">
        <v>1</v>
      </c>
      <c r="E606" s="22"/>
      <c r="F606" s="22"/>
    </row>
    <row r="607" spans="1:6" ht="14.5">
      <c r="A607" s="28">
        <v>44442</v>
      </c>
      <c r="B607" s="22">
        <v>35</v>
      </c>
      <c r="C607" s="22">
        <v>2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v>2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v>3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v>1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v>2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v>1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>
        <v>2</v>
      </c>
      <c r="D631" s="22"/>
      <c r="E631" s="22"/>
      <c r="F631" s="22"/>
    </row>
    <row r="632" spans="1:6" ht="14.5">
      <c r="A632" s="28">
        <v>44467</v>
      </c>
      <c r="B632" s="22">
        <v>39</v>
      </c>
      <c r="C632" s="22">
        <v>1</v>
      </c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>
        <v>1</v>
      </c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>
        <v>1</v>
      </c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>
        <v>1</v>
      </c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2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v>1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6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12</v>
      </c>
      <c r="D740" s="22">
        <v>1</v>
      </c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13</v>
      </c>
      <c r="D743" s="22">
        <v>5</v>
      </c>
      <c r="E743" s="22"/>
      <c r="F743" s="22"/>
    </row>
    <row r="744" spans="1:6" ht="14.5">
      <c r="A744" s="28">
        <v>44579</v>
      </c>
      <c r="B744" s="22">
        <v>3</v>
      </c>
      <c r="C744" s="22">
        <v>26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/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v>9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18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20</v>
      </c>
      <c r="D750" s="22">
        <v>5</v>
      </c>
      <c r="E750" s="22"/>
      <c r="F750" s="22"/>
    </row>
    <row r="751" spans="1:6" ht="14.5">
      <c r="A751" s="28">
        <v>44586</v>
      </c>
      <c r="B751" s="22">
        <v>4</v>
      </c>
      <c r="C751" s="22">
        <v>25</v>
      </c>
      <c r="D751" s="22">
        <v>3</v>
      </c>
      <c r="E751" s="22"/>
      <c r="F751" s="22"/>
    </row>
    <row r="752" spans="1:6" ht="14.5">
      <c r="A752" s="28">
        <v>44587</v>
      </c>
      <c r="B752" s="22">
        <v>4</v>
      </c>
      <c r="C752" s="22">
        <v>15</v>
      </c>
      <c r="D752" s="22">
        <v>1</v>
      </c>
      <c r="E752" s="22"/>
      <c r="F752" s="22"/>
    </row>
    <row r="753" spans="1:6" ht="14.5">
      <c r="A753" s="28">
        <v>44588</v>
      </c>
      <c r="B753" s="22">
        <v>4</v>
      </c>
      <c r="C753" s="22">
        <v>15</v>
      </c>
      <c r="D753" s="22">
        <v>2</v>
      </c>
      <c r="E753" s="22"/>
      <c r="F753" s="22"/>
    </row>
    <row r="754" spans="1:6" ht="14.5">
      <c r="A754" s="28">
        <v>44589</v>
      </c>
      <c r="B754" s="22">
        <v>4</v>
      </c>
      <c r="C754" s="22">
        <v>14</v>
      </c>
      <c r="D754" s="22">
        <v>2</v>
      </c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7</v>
      </c>
      <c r="D757" s="22">
        <v>10</v>
      </c>
      <c r="E757" s="22"/>
      <c r="F757" s="22"/>
    </row>
    <row r="758" spans="1:6" ht="14.5">
      <c r="A758" s="49">
        <v>44593</v>
      </c>
      <c r="B758" s="52">
        <v>5</v>
      </c>
      <c r="C758" s="52">
        <v>10</v>
      </c>
      <c r="D758" s="52">
        <v>1</v>
      </c>
      <c r="E758" s="52"/>
      <c r="F758" s="52"/>
    </row>
    <row r="759" spans="1:6" ht="14.5">
      <c r="A759" s="49">
        <v>44594</v>
      </c>
      <c r="B759" s="52">
        <v>5</v>
      </c>
      <c r="C759" s="52">
        <v>7</v>
      </c>
      <c r="D759" s="52">
        <v>2</v>
      </c>
      <c r="E759" s="52"/>
      <c r="F759" s="52"/>
    </row>
    <row r="760" spans="1:6" ht="14.5">
      <c r="A760" s="49">
        <v>44595</v>
      </c>
      <c r="B760" s="52">
        <v>5</v>
      </c>
      <c r="C760" s="52">
        <v>10</v>
      </c>
      <c r="D760" s="52">
        <v>7</v>
      </c>
      <c r="E760" s="52"/>
      <c r="F760" s="52"/>
    </row>
    <row r="761" spans="1:6" ht="14.5">
      <c r="A761" s="49">
        <v>44596</v>
      </c>
      <c r="B761" s="52">
        <v>5</v>
      </c>
      <c r="C761" s="52">
        <v>14</v>
      </c>
      <c r="D761" s="52">
        <v>3</v>
      </c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v>9</v>
      </c>
      <c r="D764" s="52">
        <v>11</v>
      </c>
      <c r="E764" s="52"/>
      <c r="F764" s="52"/>
    </row>
    <row r="765" spans="1:6" ht="14.5">
      <c r="A765" s="49">
        <v>44600</v>
      </c>
      <c r="B765" s="52">
        <v>6</v>
      </c>
      <c r="C765" s="52">
        <v>14</v>
      </c>
      <c r="D765" s="52">
        <v>2</v>
      </c>
      <c r="E765" s="52"/>
      <c r="F765" s="52"/>
    </row>
    <row r="766" spans="1:6" ht="14.5">
      <c r="A766" s="49">
        <v>44601</v>
      </c>
      <c r="B766" s="52">
        <v>6</v>
      </c>
      <c r="C766" s="52">
        <v>13</v>
      </c>
      <c r="D766" s="52">
        <v>3</v>
      </c>
      <c r="E766" s="52"/>
      <c r="F766" s="52"/>
    </row>
    <row r="767" spans="1:6" ht="14.5">
      <c r="A767" s="49">
        <v>44602</v>
      </c>
      <c r="B767" s="52">
        <v>6</v>
      </c>
      <c r="C767" s="52">
        <v>6</v>
      </c>
      <c r="D767" s="52">
        <v>4</v>
      </c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v>16</v>
      </c>
      <c r="D771" s="52">
        <v>12</v>
      </c>
      <c r="E771" s="52"/>
      <c r="F771" s="52"/>
    </row>
    <row r="772" spans="1:6" ht="14.5">
      <c r="A772" s="49">
        <v>44607</v>
      </c>
      <c r="B772" s="52">
        <v>7</v>
      </c>
      <c r="C772" s="52">
        <v>9</v>
      </c>
      <c r="D772" s="52">
        <v>9</v>
      </c>
      <c r="E772" s="52"/>
      <c r="F772" s="52"/>
    </row>
    <row r="773" spans="1:6" ht="14.5">
      <c r="A773" s="49">
        <v>44608</v>
      </c>
      <c r="B773" s="52">
        <v>7</v>
      </c>
      <c r="E773" s="52"/>
      <c r="F773" s="52"/>
    </row>
    <row r="774" spans="1:6" ht="14.5">
      <c r="A774" s="49">
        <v>44609</v>
      </c>
      <c r="B774" s="52">
        <v>7</v>
      </c>
      <c r="C774" s="52">
        <v>5</v>
      </c>
      <c r="D774" s="52">
        <v>3</v>
      </c>
      <c r="E774" s="52"/>
      <c r="F774" s="52"/>
    </row>
    <row r="775" spans="1:6" ht="14.5">
      <c r="A775" s="49">
        <v>44610</v>
      </c>
      <c r="B775" s="52">
        <v>7</v>
      </c>
      <c r="C775" s="52">
        <v>4</v>
      </c>
      <c r="D775" s="52">
        <v>7</v>
      </c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v>6</v>
      </c>
      <c r="D778" s="52">
        <v>5</v>
      </c>
      <c r="E778" s="52"/>
      <c r="F778" s="52"/>
    </row>
    <row r="779" spans="1:6" ht="14.5">
      <c r="A779" s="49">
        <v>44614</v>
      </c>
      <c r="B779" s="52">
        <v>8</v>
      </c>
      <c r="C779" s="52">
        <v>13</v>
      </c>
      <c r="D779" s="52">
        <v>5</v>
      </c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v>4</v>
      </c>
      <c r="D781" s="52">
        <v>2</v>
      </c>
      <c r="E781" s="52"/>
      <c r="F781" s="52"/>
    </row>
    <row r="782" spans="1:6" ht="14.5">
      <c r="A782" s="49">
        <v>44617</v>
      </c>
      <c r="B782" s="52">
        <v>8</v>
      </c>
      <c r="C782" s="52">
        <v>6</v>
      </c>
      <c r="D782" s="52">
        <v>2</v>
      </c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v>15</v>
      </c>
      <c r="D785" s="52">
        <v>2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activeCell="A3" sqref="A3:F3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47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36" t="s">
        <v>30</v>
      </c>
      <c r="B2" s="134"/>
      <c r="C2" s="134"/>
      <c r="D2" s="134"/>
      <c r="E2" s="134"/>
      <c r="F2" s="135"/>
      <c r="G2" s="68"/>
    </row>
    <row r="3" spans="1:7" ht="15" customHeight="1">
      <c r="A3" s="118" t="s">
        <v>230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>
        <v>1</v>
      </c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>
        <v>4</v>
      </c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/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/>
      <c r="D233" s="22"/>
      <c r="E233" s="22"/>
      <c r="F233" s="22"/>
    </row>
    <row r="234" spans="1:6" ht="14.5">
      <c r="A234" s="25">
        <v>44069</v>
      </c>
      <c r="B234" s="26">
        <v>33</v>
      </c>
      <c r="C234" s="22"/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/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6" ht="14.5">
      <c r="A353" s="25">
        <v>44188</v>
      </c>
      <c r="B353" s="26">
        <v>50</v>
      </c>
      <c r="C353" s="22"/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/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/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/>
      <c r="D365" s="22"/>
      <c r="E365" s="22"/>
      <c r="F365" s="22"/>
    </row>
    <row r="366" spans="1:6" ht="14.5">
      <c r="A366" s="25">
        <v>44201</v>
      </c>
      <c r="B366" s="26">
        <v>1</v>
      </c>
      <c r="C366" s="22"/>
      <c r="D366" s="22"/>
      <c r="E366" s="22"/>
      <c r="F366" s="22"/>
    </row>
    <row r="367" spans="1:6" ht="14.5">
      <c r="A367" s="25">
        <v>44202</v>
      </c>
      <c r="B367" s="26">
        <v>1</v>
      </c>
      <c r="C367" s="22"/>
      <c r="D367" s="22"/>
      <c r="E367" s="22"/>
      <c r="F367" s="22"/>
    </row>
    <row r="368" spans="1:6" ht="14.5">
      <c r="A368" s="25">
        <v>44203</v>
      </c>
      <c r="B368" s="26">
        <v>1</v>
      </c>
      <c r="C368" s="22"/>
      <c r="D368" s="22"/>
      <c r="E368" s="22"/>
      <c r="F368" s="22"/>
    </row>
    <row r="369" spans="1:6" ht="14.5">
      <c r="A369" s="25">
        <v>44204</v>
      </c>
      <c r="B369" s="26">
        <v>1</v>
      </c>
      <c r="C369" s="22"/>
      <c r="D369" s="22"/>
      <c r="E369" s="22"/>
      <c r="F369" s="22"/>
    </row>
    <row r="370" spans="1:6" ht="14.5">
      <c r="A370" s="25">
        <v>44205</v>
      </c>
      <c r="B370" s="26">
        <v>1</v>
      </c>
      <c r="C370" s="22"/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/>
      <c r="D373" s="22"/>
      <c r="E373" s="22"/>
      <c r="F373" s="22"/>
    </row>
    <row r="374" spans="1:6" ht="14.5">
      <c r="A374" s="25">
        <v>44209</v>
      </c>
      <c r="B374" s="26">
        <v>2</v>
      </c>
      <c r="C374" s="22">
        <v>1</v>
      </c>
      <c r="D374" s="22"/>
      <c r="E374" s="22"/>
      <c r="F374" s="22"/>
    </row>
    <row r="375" spans="1:6" ht="14.5">
      <c r="A375" s="25">
        <v>44210</v>
      </c>
      <c r="B375" s="26">
        <v>2</v>
      </c>
      <c r="C375" s="22"/>
      <c r="D375" s="22"/>
      <c r="E375" s="22"/>
      <c r="F375" s="22"/>
    </row>
    <row r="376" spans="1:6" ht="14.5">
      <c r="A376" s="25">
        <v>44211</v>
      </c>
      <c r="B376" s="26">
        <v>2</v>
      </c>
      <c r="C376" s="22"/>
      <c r="D376" s="22"/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/>
      <c r="D379" s="22"/>
      <c r="E379" s="22"/>
      <c r="F379" s="22"/>
    </row>
    <row r="380" spans="1:6" ht="14.5">
      <c r="A380" s="25">
        <v>44215</v>
      </c>
      <c r="B380" s="26">
        <v>3</v>
      </c>
      <c r="C380" s="22"/>
      <c r="D380" s="22"/>
      <c r="E380" s="22"/>
      <c r="F380" s="22"/>
    </row>
    <row r="381" spans="1:6" ht="14.5">
      <c r="A381" s="25">
        <v>44216</v>
      </c>
      <c r="B381" s="26">
        <v>3</v>
      </c>
      <c r="C381" s="22"/>
      <c r="D381" s="22"/>
      <c r="E381" s="22"/>
      <c r="F381" s="22"/>
    </row>
    <row r="382" spans="1:6" ht="14.5">
      <c r="A382" s="25">
        <v>44217</v>
      </c>
      <c r="B382" s="26">
        <v>3</v>
      </c>
      <c r="C382" s="22"/>
      <c r="D382" s="22"/>
      <c r="E382" s="22"/>
      <c r="F382" s="22"/>
    </row>
    <row r="383" spans="1:6" ht="14.5">
      <c r="A383" s="25">
        <v>44218</v>
      </c>
      <c r="B383" s="26">
        <v>3</v>
      </c>
      <c r="C383" s="22"/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>
        <v>1</v>
      </c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22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>
        <v>1</v>
      </c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>
        <v>1</v>
      </c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>
        <v>1</v>
      </c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>
        <v>1</v>
      </c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>
        <v>3</v>
      </c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2.5</v>
      </c>
      <c r="D458" s="22"/>
      <c r="E458" s="22"/>
      <c r="F458" s="22"/>
    </row>
    <row r="459" spans="1:6" ht="14.5">
      <c r="A459" s="25">
        <v>44294</v>
      </c>
      <c r="B459" s="26">
        <v>14</v>
      </c>
      <c r="C459" s="22">
        <v>2.5</v>
      </c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>
        <v>1</v>
      </c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>
        <v>1.5</v>
      </c>
      <c r="D463" s="22"/>
      <c r="E463" s="22"/>
      <c r="F463" s="22"/>
    </row>
    <row r="464" spans="1:6" ht="14.5">
      <c r="A464" s="25">
        <v>44299</v>
      </c>
      <c r="B464" s="26">
        <v>15</v>
      </c>
      <c r="C464" s="22">
        <v>1.5</v>
      </c>
      <c r="D464" s="22"/>
      <c r="E464" s="22"/>
      <c r="F464" s="22"/>
    </row>
    <row r="465" spans="1:6" ht="14.5">
      <c r="A465" s="25">
        <v>44300</v>
      </c>
      <c r="B465" s="26">
        <v>15</v>
      </c>
      <c r="C465" s="22">
        <v>3</v>
      </c>
      <c r="D465" s="22"/>
      <c r="E465" s="22"/>
      <c r="F465" s="22"/>
    </row>
    <row r="466" spans="1:6" ht="14.5">
      <c r="A466" s="25">
        <v>44301</v>
      </c>
      <c r="B466" s="26">
        <v>15</v>
      </c>
      <c r="C466" s="22"/>
      <c r="D466" s="22"/>
      <c r="E466" s="22"/>
      <c r="F466" s="22"/>
    </row>
    <row r="467" spans="1:6" ht="14.5">
      <c r="A467" s="25">
        <v>44302</v>
      </c>
      <c r="B467" s="26">
        <v>15</v>
      </c>
      <c r="C467" s="22">
        <v>1</v>
      </c>
      <c r="D467" s="22"/>
      <c r="E467" s="22"/>
      <c r="F467" s="22"/>
    </row>
    <row r="468" spans="1:6" ht="14.5">
      <c r="A468" s="25">
        <v>44303</v>
      </c>
      <c r="B468" s="26">
        <v>15</v>
      </c>
      <c r="C468" s="22">
        <v>1</v>
      </c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/>
      <c r="D470" s="22"/>
      <c r="E470" s="22"/>
      <c r="F470" s="22"/>
    </row>
    <row r="471" spans="1:6" ht="14.5">
      <c r="A471" s="25">
        <v>44306</v>
      </c>
      <c r="B471" s="26">
        <v>16</v>
      </c>
      <c r="C471" s="22">
        <v>1</v>
      </c>
      <c r="D471" s="22"/>
      <c r="E471" s="22"/>
      <c r="F471" s="22"/>
    </row>
    <row r="472" spans="1:6" ht="14.5">
      <c r="A472" s="25">
        <v>44307</v>
      </c>
      <c r="B472" s="26">
        <v>16</v>
      </c>
      <c r="C472" s="22"/>
      <c r="D472" s="22"/>
      <c r="E472" s="22"/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/>
      <c r="D475" s="22"/>
      <c r="E475" s="22"/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/>
      <c r="D477" s="22"/>
      <c r="E477" s="22"/>
      <c r="F477" s="22"/>
    </row>
    <row r="478" spans="1:6" ht="14.5">
      <c r="A478" s="25">
        <v>44313</v>
      </c>
      <c r="B478" s="26">
        <v>17</v>
      </c>
      <c r="C478" s="22"/>
      <c r="D478" s="22"/>
      <c r="E478" s="22"/>
      <c r="F478" s="22"/>
    </row>
    <row r="479" spans="1:6" ht="14.5">
      <c r="A479" s="25">
        <v>44314</v>
      </c>
      <c r="B479" s="26">
        <v>17</v>
      </c>
      <c r="C479" s="22"/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/>
      <c r="D481" s="22"/>
      <c r="E481" s="22"/>
      <c r="F481" s="22"/>
    </row>
    <row r="482" spans="1:6" ht="14.5">
      <c r="A482" s="25">
        <v>44317</v>
      </c>
      <c r="B482" s="26">
        <v>17</v>
      </c>
      <c r="C482" s="22"/>
      <c r="D482" s="22"/>
      <c r="E482" s="22"/>
      <c r="F482" s="22"/>
    </row>
    <row r="483" spans="1:6" ht="14.5">
      <c r="A483" s="25">
        <v>44318</v>
      </c>
      <c r="B483" s="26">
        <v>17</v>
      </c>
      <c r="C483" s="22"/>
      <c r="D483" s="22"/>
      <c r="E483" s="22"/>
      <c r="F483" s="22"/>
    </row>
    <row r="484" spans="1:6" ht="14.5">
      <c r="A484" s="25">
        <v>44319</v>
      </c>
      <c r="B484" s="26">
        <v>18</v>
      </c>
      <c r="C484" s="22"/>
      <c r="D484" s="22"/>
      <c r="E484" s="22"/>
      <c r="F484" s="22"/>
    </row>
    <row r="485" spans="1:6" ht="14.5">
      <c r="A485" s="25">
        <v>44320</v>
      </c>
      <c r="B485" s="26">
        <v>18</v>
      </c>
      <c r="C485" s="22"/>
      <c r="D485" s="22"/>
      <c r="E485" s="22"/>
      <c r="F485" s="22"/>
    </row>
    <row r="486" spans="1:6" ht="14.5">
      <c r="A486" s="25">
        <v>44321</v>
      </c>
      <c r="B486" s="26">
        <v>18</v>
      </c>
      <c r="C486" s="22"/>
      <c r="D486" s="22"/>
      <c r="E486" s="22"/>
      <c r="F486" s="22"/>
    </row>
    <row r="487" spans="1:6" ht="14.5">
      <c r="A487" s="25">
        <v>44322</v>
      </c>
      <c r="B487" s="26">
        <v>18</v>
      </c>
      <c r="C487" s="22"/>
      <c r="D487" s="22"/>
      <c r="E487" s="22"/>
      <c r="F487" s="22"/>
    </row>
    <row r="488" spans="1:6" ht="14.5">
      <c r="A488" s="25">
        <v>44323</v>
      </c>
      <c r="B488" s="26">
        <v>18</v>
      </c>
      <c r="C488" s="22"/>
      <c r="D488" s="22"/>
      <c r="E488" s="22"/>
      <c r="F488" s="22"/>
    </row>
    <row r="489" spans="1:6" ht="14.5">
      <c r="A489" s="25">
        <v>44324</v>
      </c>
      <c r="B489" s="26">
        <v>18</v>
      </c>
      <c r="C489" s="22"/>
      <c r="D489" s="22"/>
      <c r="E489" s="22"/>
      <c r="F489" s="22"/>
    </row>
    <row r="490" spans="1:6" ht="14.5">
      <c r="A490" s="25">
        <v>44325</v>
      </c>
      <c r="B490" s="26">
        <v>18</v>
      </c>
      <c r="C490" s="22"/>
      <c r="D490" s="22"/>
      <c r="E490" s="22"/>
      <c r="F490" s="22"/>
    </row>
    <row r="491" spans="1:6" ht="14.5">
      <c r="A491" s="25">
        <v>44326</v>
      </c>
      <c r="B491" s="26">
        <v>19</v>
      </c>
      <c r="C491" s="22">
        <v>1</v>
      </c>
      <c r="D491" s="22"/>
      <c r="E491" s="22"/>
      <c r="F491" s="22"/>
    </row>
    <row r="492" spans="1:6" ht="14.5">
      <c r="A492" s="25">
        <v>44327</v>
      </c>
      <c r="B492" s="26">
        <v>19</v>
      </c>
      <c r="C492" s="22">
        <v>1</v>
      </c>
      <c r="D492" s="22"/>
      <c r="E492" s="22"/>
      <c r="F492" s="22"/>
    </row>
    <row r="493" spans="1:6" ht="14.5">
      <c r="A493" s="25">
        <v>44328</v>
      </c>
      <c r="B493" s="26">
        <v>19</v>
      </c>
      <c r="C493" s="22"/>
      <c r="D493" s="22"/>
      <c r="E493" s="22"/>
      <c r="F493" s="22"/>
    </row>
    <row r="494" spans="1:6" ht="14.5">
      <c r="A494" s="25">
        <v>44329</v>
      </c>
      <c r="B494" s="26">
        <v>19</v>
      </c>
      <c r="C494" s="22"/>
      <c r="D494" s="22"/>
      <c r="E494" s="22"/>
      <c r="F494" s="22"/>
    </row>
    <row r="495" spans="1:6" ht="14.5">
      <c r="A495" s="25">
        <v>44330</v>
      </c>
      <c r="B495" s="26">
        <v>19</v>
      </c>
      <c r="C495" s="22">
        <f t="shared" ref="C495:C498" si="0">3/4</f>
        <v>0.75</v>
      </c>
      <c r="D495" s="22"/>
      <c r="E495" s="22"/>
      <c r="F495" s="22"/>
    </row>
    <row r="496" spans="1:6" ht="14.5">
      <c r="A496" s="25">
        <v>44331</v>
      </c>
      <c r="B496" s="26">
        <v>19</v>
      </c>
      <c r="C496" s="22">
        <f t="shared" si="0"/>
        <v>0.75</v>
      </c>
      <c r="D496" s="22"/>
      <c r="E496" s="22"/>
      <c r="F496" s="22"/>
    </row>
    <row r="497" spans="1:6" ht="14.5">
      <c r="A497" s="25">
        <v>44332</v>
      </c>
      <c r="B497" s="26">
        <v>19</v>
      </c>
      <c r="C497" s="22">
        <f t="shared" si="0"/>
        <v>0.75</v>
      </c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f t="shared" si="0"/>
        <v>0.75</v>
      </c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/>
      <c r="E499" s="22"/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/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>
        <v>1</v>
      </c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>
        <v>1</v>
      </c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>
        <v>1</v>
      </c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22"/>
      <c r="F568" s="22"/>
    </row>
    <row r="569" spans="1:6" ht="14.5">
      <c r="A569" s="28">
        <v>44404</v>
      </c>
      <c r="B569" s="22">
        <v>30</v>
      </c>
      <c r="C569" s="22"/>
      <c r="D569" s="22"/>
      <c r="E569" s="22"/>
      <c r="F569" s="22"/>
    </row>
    <row r="570" spans="1:6" ht="14.5">
      <c r="A570" s="28">
        <v>44405</v>
      </c>
      <c r="B570" s="22">
        <v>30</v>
      </c>
      <c r="C570" s="22"/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>
        <v>1</v>
      </c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>
        <v>1</v>
      </c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1</v>
      </c>
      <c r="D584" s="22">
        <v>1</v>
      </c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>
        <f>1+1</f>
        <v>2</v>
      </c>
      <c r="E587" s="22"/>
      <c r="F587" s="22"/>
    </row>
    <row r="588" spans="1:6" ht="14.5">
      <c r="A588" s="28">
        <v>44423</v>
      </c>
      <c r="B588" s="22">
        <v>32</v>
      </c>
      <c r="C588" s="22"/>
      <c r="D588" s="22">
        <v>1</v>
      </c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v>1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v>1</v>
      </c>
      <c r="D596" s="22">
        <v>1</v>
      </c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1+2</f>
        <v>3</v>
      </c>
      <c r="D598" s="22">
        <v>1</v>
      </c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1+2</f>
        <v>3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v>1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v>1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>
        <v>1</v>
      </c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v>1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v>1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2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5/2</f>
        <v>2.5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(5/2)+(18/7)</f>
        <v>5.0714285714285712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1+(4/2)+(18/7)+(16/7)</f>
        <v>7.8571428571428568</v>
      </c>
      <c r="D739" s="22">
        <v>1</v>
      </c>
      <c r="E739" s="22"/>
      <c r="F739" s="22"/>
    </row>
    <row r="740" spans="1:6" ht="14.5">
      <c r="A740" s="28">
        <v>44575</v>
      </c>
      <c r="B740" s="22">
        <v>2</v>
      </c>
      <c r="C740" s="22">
        <f>(4/2)+(18/7)+(16/7)</f>
        <v>6.8571428571428568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(18/7)+(16/7)</f>
        <v>4.8571428571428577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(18/7)+(16/7)</f>
        <v>4.8571428571428577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(18/7)+(16/7)</f>
        <v>4.8571428571428577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(18/7)+(16/7)</f>
        <v>4.8571428571428577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(16/7)+(6/4)+(10/5)</f>
        <v>5.7857142857142856</v>
      </c>
      <c r="D745" s="22">
        <f>(2/4)+(1/5)</f>
        <v>0.7</v>
      </c>
      <c r="E745" s="22"/>
      <c r="F745" s="22"/>
    </row>
    <row r="746" spans="1:6" ht="14.5">
      <c r="A746" s="28">
        <v>44581</v>
      </c>
      <c r="B746" s="22">
        <v>3</v>
      </c>
      <c r="C746" s="22">
        <f>(6/4)+(10/5)</f>
        <v>3.5</v>
      </c>
      <c r="D746" s="22">
        <f>(2/4)+(1/5)</f>
        <v>0.7</v>
      </c>
      <c r="E746" s="22"/>
      <c r="F746" s="22"/>
    </row>
    <row r="747" spans="1:6" ht="14.5">
      <c r="A747" s="28">
        <v>44582</v>
      </c>
      <c r="B747" s="22">
        <v>3</v>
      </c>
      <c r="C747" s="22">
        <f>(6/4)+(10/5)+(6/5)+(4/8)</f>
        <v>5.2</v>
      </c>
      <c r="D747" s="22">
        <f>(2/4)+(1/5)+(1/8)</f>
        <v>0.82499999999999996</v>
      </c>
      <c r="E747" s="22"/>
      <c r="F747" s="22"/>
    </row>
    <row r="748" spans="1:6" ht="14.5">
      <c r="A748" s="28">
        <v>44583</v>
      </c>
      <c r="B748" s="22">
        <v>3</v>
      </c>
      <c r="C748" s="22">
        <f>(6/4)+(10/5)+(6/5)+(4/5)+(4/8)</f>
        <v>6</v>
      </c>
      <c r="D748" s="22">
        <f>(2/4)+(1/5)+(1/8)</f>
        <v>0.82499999999999996</v>
      </c>
      <c r="E748" s="22"/>
      <c r="F748" s="22"/>
    </row>
    <row r="749" spans="1:6" ht="14.5">
      <c r="A749" s="28">
        <v>44584</v>
      </c>
      <c r="B749" s="22">
        <v>3</v>
      </c>
      <c r="C749" s="22">
        <f>(10/5)+(6/5)+(4/5)+(4/8)</f>
        <v>4.5</v>
      </c>
      <c r="D749" s="22">
        <f>(1/5)+(1/8)</f>
        <v>0.32500000000000001</v>
      </c>
      <c r="E749" s="22"/>
      <c r="F749" s="22"/>
    </row>
    <row r="750" spans="1:6" ht="14.5">
      <c r="A750" s="28">
        <v>44585</v>
      </c>
      <c r="B750" s="22">
        <v>4</v>
      </c>
      <c r="C750" s="22">
        <f>(6/5)+(4/5)+(4/4)+(4/8)</f>
        <v>3.5</v>
      </c>
      <c r="D750" s="22">
        <f>(1/4)+(1/8)</f>
        <v>0.375</v>
      </c>
      <c r="E750" s="22"/>
      <c r="F750" s="22"/>
    </row>
    <row r="751" spans="1:6" ht="14.5">
      <c r="A751" s="28">
        <v>44586</v>
      </c>
      <c r="B751" s="22">
        <v>4</v>
      </c>
      <c r="C751" s="22">
        <f>(6/5)+(4/5)+(4/4)+(4/8)</f>
        <v>3.5</v>
      </c>
      <c r="D751" s="22">
        <f>(1/4)+(1/8)</f>
        <v>0.375</v>
      </c>
      <c r="E751" s="22"/>
      <c r="F751" s="22"/>
    </row>
    <row r="752" spans="1:6" ht="14.5">
      <c r="A752" s="28">
        <v>44587</v>
      </c>
      <c r="B752" s="22">
        <v>4</v>
      </c>
      <c r="C752" s="22">
        <f>(4/5)+(4/4)+(4/8)+(4/4)+(4/7)</f>
        <v>3.871428571428571</v>
      </c>
      <c r="D752" s="22">
        <f>(1/4)+(1/8)</f>
        <v>0.375</v>
      </c>
      <c r="E752" s="22"/>
      <c r="F752" s="22"/>
    </row>
    <row r="753" spans="1:6" ht="14.5">
      <c r="A753" s="28">
        <v>44588</v>
      </c>
      <c r="B753" s="22">
        <v>4</v>
      </c>
      <c r="C753" s="22">
        <f>(4/4)+(4/8)+(4/4)+(4/7)</f>
        <v>3.0714285714285712</v>
      </c>
      <c r="D753" s="22">
        <f>(1/4)+(1/8)</f>
        <v>0.375</v>
      </c>
      <c r="E753" s="22"/>
      <c r="F753" s="22"/>
    </row>
    <row r="754" spans="1:6" ht="14.5">
      <c r="A754" s="28">
        <v>44589</v>
      </c>
      <c r="B754" s="22">
        <v>4</v>
      </c>
      <c r="C754" s="22">
        <f>(4/8)+(4/4)+(4/3)+(4/7)</f>
        <v>3.4047619047619042</v>
      </c>
      <c r="D754" s="22">
        <f>(1/8)</f>
        <v>0.125</v>
      </c>
      <c r="E754" s="22"/>
      <c r="F754" s="22"/>
    </row>
    <row r="755" spans="1:6" ht="14.5">
      <c r="A755" s="28">
        <v>44590</v>
      </c>
      <c r="B755" s="22">
        <v>4</v>
      </c>
      <c r="C755" s="22">
        <f>(4/4)+(4/3)+(4/7)</f>
        <v>2.9047619047619042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>(4/3)+(4/7)</f>
        <v>1.9047619047619047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(4/7)+(2/4)+(3/8)</f>
        <v>1.4464285714285714</v>
      </c>
      <c r="D757" s="22">
        <f>(1/8)</f>
        <v>0.125</v>
      </c>
      <c r="E757" s="22"/>
      <c r="F757" s="22"/>
    </row>
    <row r="758" spans="1:6" ht="14.5">
      <c r="A758" s="49">
        <v>44593</v>
      </c>
      <c r="B758" s="52">
        <v>5</v>
      </c>
      <c r="C758" s="22">
        <f>(4/7)+(2/4)+(3/8)</f>
        <v>1.4464285714285714</v>
      </c>
      <c r="D758" s="52">
        <f>(1/8)</f>
        <v>0.125</v>
      </c>
      <c r="E758" s="52"/>
      <c r="F758" s="52"/>
    </row>
    <row r="759" spans="1:6" ht="14.5">
      <c r="A759" s="49">
        <v>44594</v>
      </c>
      <c r="B759" s="52">
        <v>5</v>
      </c>
      <c r="C759" s="52">
        <f>(2/4)+(3/5)+(3/8)</f>
        <v>1.4750000000000001</v>
      </c>
      <c r="D759" s="52">
        <f>(1/8)</f>
        <v>0.125</v>
      </c>
      <c r="E759" s="52"/>
      <c r="F759" s="52"/>
    </row>
    <row r="760" spans="1:6" ht="14.5">
      <c r="A760" s="49">
        <v>44595</v>
      </c>
      <c r="B760" s="52">
        <v>5</v>
      </c>
      <c r="C760" s="52">
        <f>(2/4)+(2/2)+(3/5)+(3/8)</f>
        <v>2.4750000000000001</v>
      </c>
      <c r="D760" s="52">
        <f>(1/2)+(1/8)</f>
        <v>0.625</v>
      </c>
      <c r="E760" s="52"/>
      <c r="F760" s="52"/>
    </row>
    <row r="761" spans="1:6" ht="14.5">
      <c r="A761" s="49">
        <v>44596</v>
      </c>
      <c r="B761" s="52">
        <v>5</v>
      </c>
      <c r="C761" s="52">
        <f>(2/2)+(3/5)+(3/8)+(5/11)</f>
        <v>2.4295454545454547</v>
      </c>
      <c r="D761" s="52">
        <f>(1/2)+(1/8)</f>
        <v>0.625</v>
      </c>
      <c r="E761" s="52"/>
      <c r="F761" s="52"/>
    </row>
    <row r="762" spans="1:6" ht="14.5">
      <c r="A762" s="49">
        <v>44597</v>
      </c>
      <c r="B762" s="52">
        <v>5</v>
      </c>
      <c r="C762" s="52">
        <f>(3/5)+(3/8)+(5/11)</f>
        <v>1.4295454545454545</v>
      </c>
      <c r="D762" s="52">
        <f>(1/8)</f>
        <v>0.125</v>
      </c>
      <c r="E762" s="52"/>
      <c r="F762" s="52"/>
    </row>
    <row r="763" spans="1:6" ht="14.5">
      <c r="A763" s="49">
        <v>44598</v>
      </c>
      <c r="B763" s="52">
        <v>5</v>
      </c>
      <c r="C763" s="52">
        <f>(3/5)+(3/8)+(5/11)</f>
        <v>1.4295454545454545</v>
      </c>
      <c r="D763" s="52">
        <f>(1/8)</f>
        <v>0.125</v>
      </c>
      <c r="E763" s="52"/>
      <c r="F763" s="52"/>
    </row>
    <row r="764" spans="1:6" ht="14.5">
      <c r="A764" s="49">
        <v>44599</v>
      </c>
      <c r="B764" s="52">
        <v>6</v>
      </c>
      <c r="C764" s="52">
        <f>(3/8)+(4/2)+(5/11)+1</f>
        <v>3.8295454545454546</v>
      </c>
      <c r="D764" s="52">
        <f>(1/8)+(1/2)</f>
        <v>0.625</v>
      </c>
      <c r="E764" s="52"/>
      <c r="F764" s="52"/>
    </row>
    <row r="765" spans="1:6" ht="14.5">
      <c r="A765" s="49">
        <v>44600</v>
      </c>
      <c r="B765" s="52">
        <v>6</v>
      </c>
      <c r="C765" s="52">
        <f>(4/2)+(5/11)+(3/8)</f>
        <v>2.8295454545454546</v>
      </c>
      <c r="D765" s="52">
        <f>(1/2)+(1/8)</f>
        <v>0.625</v>
      </c>
      <c r="E765" s="52"/>
      <c r="F765" s="52"/>
    </row>
    <row r="766" spans="1:6" ht="14.5">
      <c r="A766" s="49">
        <v>44601</v>
      </c>
      <c r="B766" s="52">
        <v>6</v>
      </c>
      <c r="C766" s="52">
        <f>(5/11)+(3/8)</f>
        <v>0.82954545454545459</v>
      </c>
      <c r="D766" s="52">
        <f>(1/8)</f>
        <v>0.125</v>
      </c>
      <c r="E766" s="52"/>
      <c r="F766" s="52"/>
    </row>
    <row r="767" spans="1:6" ht="14.5">
      <c r="A767" s="49">
        <v>44602</v>
      </c>
      <c r="B767" s="52">
        <v>6</v>
      </c>
      <c r="C767" s="52">
        <f>(5/11)+(3/8)</f>
        <v>0.82954545454545459</v>
      </c>
      <c r="D767" s="52">
        <f>(2/3)+(1/8)</f>
        <v>0.79166666666666663</v>
      </c>
      <c r="E767" s="52"/>
      <c r="F767" s="52"/>
    </row>
    <row r="768" spans="1:6" ht="14.5">
      <c r="A768" s="49">
        <v>44603</v>
      </c>
      <c r="B768" s="52">
        <v>6</v>
      </c>
      <c r="C768" s="52">
        <f>(5/11)+(3/8)</f>
        <v>0.82954545454545459</v>
      </c>
      <c r="D768" s="52">
        <f>(2/3)+(1/8)</f>
        <v>0.79166666666666663</v>
      </c>
      <c r="E768" s="52"/>
      <c r="F768" s="52"/>
    </row>
    <row r="769" spans="1:6" ht="14.5">
      <c r="A769" s="49">
        <v>44604</v>
      </c>
      <c r="B769" s="52">
        <v>6</v>
      </c>
      <c r="C769" s="52">
        <f>(5/11)+(3/8)</f>
        <v>0.82954545454545459</v>
      </c>
      <c r="D769" s="52">
        <f>(2/3)+(1/8)</f>
        <v>0.79166666666666663</v>
      </c>
      <c r="E769" s="52"/>
      <c r="F769" s="52"/>
    </row>
    <row r="770" spans="1:6" ht="14.5">
      <c r="A770" s="49">
        <v>44605</v>
      </c>
      <c r="B770" s="52">
        <v>6</v>
      </c>
      <c r="C770" s="52">
        <f>(5/11)+(3/8)</f>
        <v>0.82954545454545459</v>
      </c>
      <c r="D770" s="52">
        <f>(1/8)</f>
        <v>0.125</v>
      </c>
      <c r="E770" s="52"/>
      <c r="F770" s="52"/>
    </row>
    <row r="771" spans="1:6" ht="14.5">
      <c r="A771" s="49">
        <v>44606</v>
      </c>
      <c r="B771" s="52">
        <v>7</v>
      </c>
      <c r="C771" s="52">
        <f>(5/11)+(3/8)+(3/3)</f>
        <v>1.8295454545454546</v>
      </c>
      <c r="D771" s="52">
        <f>(1/8)</f>
        <v>0.125</v>
      </c>
      <c r="E771" s="52"/>
      <c r="F771" s="52"/>
    </row>
    <row r="772" spans="1:6" ht="14.5">
      <c r="A772" s="49">
        <v>44607</v>
      </c>
      <c r="B772" s="52">
        <v>7</v>
      </c>
      <c r="C772" s="52">
        <f>(3/8)+(3/3)+(1/2)</f>
        <v>1.875</v>
      </c>
      <c r="D772" s="52">
        <f>(1/8)</f>
        <v>0.125</v>
      </c>
      <c r="E772" s="52"/>
      <c r="F772" s="52"/>
    </row>
    <row r="773" spans="1:6" ht="14.5">
      <c r="A773" s="49">
        <v>44608</v>
      </c>
      <c r="B773" s="52">
        <v>7</v>
      </c>
      <c r="C773" s="52">
        <f>(3/3)+(1/2)</f>
        <v>1.5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>(3/3)+(8/9)</f>
        <v>1.8888888888888888</v>
      </c>
      <c r="D776" s="52">
        <f>(1/9)</f>
        <v>0.1111111111111111</v>
      </c>
      <c r="E776" s="52"/>
      <c r="F776" s="52"/>
    </row>
    <row r="777" spans="1:6" ht="14.5">
      <c r="A777" s="49">
        <v>44612</v>
      </c>
      <c r="B777" s="52">
        <v>7</v>
      </c>
      <c r="C777" s="52">
        <f>(3/3)+(8/9)</f>
        <v>1.8888888888888888</v>
      </c>
      <c r="D777" s="52">
        <f t="shared" ref="D777:D781" si="1">(1/9)</f>
        <v>0.1111111111111111</v>
      </c>
      <c r="E777" s="52"/>
      <c r="F777" s="52"/>
    </row>
    <row r="778" spans="1:6" ht="14.5">
      <c r="A778" s="49">
        <v>44613</v>
      </c>
      <c r="B778" s="52">
        <v>8</v>
      </c>
      <c r="C778" s="52">
        <f>(3/3)+(8/9)</f>
        <v>1.8888888888888888</v>
      </c>
      <c r="D778" s="52">
        <f t="shared" si="1"/>
        <v>0.1111111111111111</v>
      </c>
      <c r="E778" s="52"/>
      <c r="F778" s="52"/>
    </row>
    <row r="779" spans="1:6" ht="14.5">
      <c r="A779" s="49">
        <v>44614</v>
      </c>
      <c r="B779" s="52">
        <v>8</v>
      </c>
      <c r="C779" s="52">
        <f>3+(8/9)+(5/8)</f>
        <v>4.5138888888888893</v>
      </c>
      <c r="D779" s="52">
        <f>1+(1/9)</f>
        <v>1.1111111111111112</v>
      </c>
      <c r="E779" s="52"/>
      <c r="F779" s="52"/>
    </row>
    <row r="780" spans="1:6" ht="14.5">
      <c r="A780" s="49">
        <v>44615</v>
      </c>
      <c r="B780" s="52">
        <v>8</v>
      </c>
      <c r="C780" s="52">
        <f>(8/9)+(5/8)</f>
        <v>1.5138888888888888</v>
      </c>
      <c r="D780" s="52">
        <f t="shared" si="1"/>
        <v>0.1111111111111111</v>
      </c>
      <c r="E780" s="52"/>
      <c r="F780" s="52"/>
    </row>
    <row r="781" spans="1:6" ht="14.5">
      <c r="A781" s="49">
        <v>44616</v>
      </c>
      <c r="B781" s="52">
        <v>8</v>
      </c>
      <c r="C781" s="52">
        <f>(8/9)+(5/8)</f>
        <v>1.5138888888888888</v>
      </c>
      <c r="D781" s="52">
        <f t="shared" si="1"/>
        <v>0.1111111111111111</v>
      </c>
      <c r="E781" s="52"/>
      <c r="F781" s="52"/>
    </row>
    <row r="782" spans="1:6" ht="14.5">
      <c r="A782" s="49">
        <v>44617</v>
      </c>
      <c r="B782" s="52">
        <v>8</v>
      </c>
      <c r="C782" s="52">
        <f>(8/9)+(5/8)</f>
        <v>1.5138888888888888</v>
      </c>
      <c r="D782" s="52">
        <f>(1/9)+(2/5)</f>
        <v>0.51111111111111107</v>
      </c>
      <c r="E782" s="52"/>
      <c r="F782" s="52"/>
    </row>
    <row r="783" spans="1:6" ht="14.5">
      <c r="A783" s="49">
        <v>44618</v>
      </c>
      <c r="B783" s="52">
        <v>8</v>
      </c>
      <c r="C783" s="52">
        <f>(8/9)+(5/8)</f>
        <v>1.5138888888888888</v>
      </c>
      <c r="D783" s="52">
        <f>(1/9)+(2/5)</f>
        <v>0.51111111111111107</v>
      </c>
      <c r="E783" s="52"/>
      <c r="F783" s="52"/>
    </row>
    <row r="784" spans="1:6" ht="14.5">
      <c r="A784" s="73">
        <v>44619</v>
      </c>
      <c r="B784" s="74">
        <v>8</v>
      </c>
      <c r="C784" s="74">
        <f>(8/9)+(5/8)</f>
        <v>1.5138888888888888</v>
      </c>
      <c r="D784" s="74">
        <f>(1/9)+(2/5)</f>
        <v>0.51111111111111107</v>
      </c>
      <c r="E784" s="74"/>
      <c r="F784" s="74"/>
    </row>
    <row r="785" spans="1:6" ht="14.5">
      <c r="A785" s="64">
        <v>44620</v>
      </c>
      <c r="B785" s="52">
        <v>9</v>
      </c>
      <c r="C785" s="52">
        <f>(5/8)</f>
        <v>0.625</v>
      </c>
      <c r="D785" s="52">
        <f>(2/5)</f>
        <v>0.4</v>
      </c>
      <c r="E785" s="52"/>
      <c r="F785" s="52"/>
    </row>
    <row r="786" spans="1:6" ht="14.5">
      <c r="A786" s="64">
        <v>44621</v>
      </c>
      <c r="B786" s="52">
        <v>9</v>
      </c>
      <c r="C786" s="52">
        <f>(5/8)</f>
        <v>0.625</v>
      </c>
      <c r="D786" s="52">
        <f>(2/5)</f>
        <v>0.4</v>
      </c>
      <c r="E786" s="52"/>
      <c r="F786" s="52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0A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51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37" t="s">
        <v>2</v>
      </c>
      <c r="B2" s="115"/>
      <c r="C2" s="115"/>
      <c r="D2" s="115"/>
      <c r="E2" s="115"/>
      <c r="F2" s="116"/>
      <c r="G2" s="68"/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>
        <v>1</v>
      </c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>
        <v>1</v>
      </c>
      <c r="D193" s="22"/>
      <c r="E193" s="22"/>
      <c r="F193" s="22"/>
    </row>
    <row r="194" spans="1:6" ht="14.5">
      <c r="A194" s="25">
        <v>44029</v>
      </c>
      <c r="B194" s="26">
        <v>27</v>
      </c>
      <c r="C194" s="22">
        <v>1</v>
      </c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>
        <v>1</v>
      </c>
      <c r="D198" s="22"/>
      <c r="E198" s="22"/>
      <c r="F198" s="22"/>
    </row>
    <row r="199" spans="1:6" ht="14.5">
      <c r="A199" s="25">
        <v>44034</v>
      </c>
      <c r="B199" s="26">
        <v>28</v>
      </c>
      <c r="C199" s="22">
        <v>1</v>
      </c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 t="s">
        <v>233</v>
      </c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>
        <v>1</v>
      </c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>
        <v>1</v>
      </c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>
        <v>1</v>
      </c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7" ht="14.5">
      <c r="A353" s="25">
        <v>44188</v>
      </c>
      <c r="B353" s="26">
        <v>50</v>
      </c>
      <c r="C353" s="22">
        <v>1</v>
      </c>
      <c r="D353" s="22"/>
      <c r="E353" s="22"/>
      <c r="F353" s="22"/>
    </row>
    <row r="354" spans="1:7" ht="14.5">
      <c r="A354" s="25">
        <v>44189</v>
      </c>
      <c r="B354" s="26">
        <v>50</v>
      </c>
      <c r="C354" s="22">
        <v>1</v>
      </c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>
        <v>1</v>
      </c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26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/>
      <c r="D368" s="22"/>
      <c r="E368" s="22"/>
      <c r="F368" s="22"/>
    </row>
    <row r="369" spans="1:7" ht="14.5">
      <c r="A369" s="25">
        <v>44204</v>
      </c>
      <c r="B369" s="26">
        <v>1</v>
      </c>
      <c r="C369" s="22"/>
      <c r="D369" s="22"/>
      <c r="E369" s="22"/>
      <c r="F369" s="22"/>
      <c r="G369" s="126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/>
      <c r="D373" s="22"/>
      <c r="E373" s="22"/>
      <c r="F373" s="22"/>
    </row>
    <row r="374" spans="1:7" ht="14.5">
      <c r="A374" s="25">
        <v>44209</v>
      </c>
      <c r="B374" s="26">
        <v>2</v>
      </c>
      <c r="C374" s="22"/>
      <c r="D374" s="22"/>
      <c r="E374" s="22"/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22"/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22"/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36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>
        <v>2</v>
      </c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>
        <v>1</v>
      </c>
      <c r="D416" s="22"/>
      <c r="E416" s="22"/>
      <c r="F416" s="22"/>
    </row>
    <row r="417" spans="1:6" ht="14.5">
      <c r="A417" s="25">
        <v>44252</v>
      </c>
      <c r="B417" s="26">
        <v>8</v>
      </c>
      <c r="C417" s="22">
        <v>2</v>
      </c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1</v>
      </c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>
        <v>1</v>
      </c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>
        <v>1</v>
      </c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/>
      <c r="D472" s="22"/>
      <c r="E472" s="22"/>
      <c r="F472" s="22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4.5">
      <c r="A482" s="25">
        <v>44317</v>
      </c>
      <c r="B482" s="26">
        <v>17</v>
      </c>
      <c r="C482" s="22">
        <v>1</v>
      </c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>
        <v>2</v>
      </c>
      <c r="D484" s="22"/>
      <c r="E484" s="22"/>
      <c r="F484" s="22"/>
    </row>
    <row r="485" spans="1:7" ht="14.5">
      <c r="A485" s="25">
        <v>44320</v>
      </c>
      <c r="B485" s="26">
        <v>18</v>
      </c>
      <c r="C485" s="22">
        <v>1</v>
      </c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22"/>
      <c r="F487" s="22"/>
    </row>
    <row r="488" spans="1:7" ht="14.5">
      <c r="A488" s="25">
        <v>44323</v>
      </c>
      <c r="B488" s="26">
        <v>18</v>
      </c>
      <c r="C488" s="22"/>
      <c r="D488" s="22"/>
      <c r="E488" s="22"/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>
        <v>2</v>
      </c>
      <c r="D490" s="22"/>
      <c r="E490" s="22"/>
      <c r="F490" s="22"/>
    </row>
    <row r="491" spans="1:7" ht="14.5">
      <c r="A491" s="25">
        <v>44326</v>
      </c>
      <c r="B491" s="26">
        <v>19</v>
      </c>
      <c r="C491" s="22">
        <v>2</v>
      </c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>
        <v>1</v>
      </c>
      <c r="D493" s="22"/>
      <c r="E493" s="22"/>
      <c r="F493" s="22"/>
    </row>
    <row r="494" spans="1:7" ht="14.5">
      <c r="A494" s="25">
        <v>44329</v>
      </c>
      <c r="B494" s="26">
        <v>19</v>
      </c>
      <c r="C494" s="22">
        <v>1</v>
      </c>
      <c r="D494" s="22"/>
      <c r="E494" s="22"/>
      <c r="F494" s="22"/>
    </row>
    <row r="495" spans="1:7" ht="14.5">
      <c r="A495" s="25">
        <v>44330</v>
      </c>
      <c r="B495" s="26">
        <v>19</v>
      </c>
      <c r="C495" s="22"/>
      <c r="D495" s="22"/>
      <c r="E495" s="22"/>
      <c r="F495" s="22"/>
    </row>
    <row r="496" spans="1:7" ht="14.5">
      <c r="A496" s="25">
        <v>44331</v>
      </c>
      <c r="B496" s="26">
        <v>19</v>
      </c>
      <c r="C496" s="22">
        <v>2</v>
      </c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v>1</v>
      </c>
      <c r="D498" s="22"/>
      <c r="E498" s="22"/>
      <c r="F498" s="22"/>
    </row>
    <row r="499" spans="1:6" ht="14.5">
      <c r="A499" s="25">
        <v>44334</v>
      </c>
      <c r="B499" s="26">
        <v>20</v>
      </c>
      <c r="C499" s="22"/>
      <c r="D499" s="22"/>
      <c r="E499" s="22"/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v>1</v>
      </c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>
        <v>1</v>
      </c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>
        <v>1</v>
      </c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>
        <v>1</v>
      </c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>
        <v>2</v>
      </c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22"/>
      <c r="F568" s="22"/>
    </row>
    <row r="569" spans="1:6" ht="14.5">
      <c r="A569" s="28">
        <v>44404</v>
      </c>
      <c r="B569" s="22">
        <v>30</v>
      </c>
      <c r="C569" s="22"/>
      <c r="D569" s="22"/>
      <c r="E569" s="22"/>
      <c r="F569" s="22"/>
    </row>
    <row r="570" spans="1:6" ht="14.5">
      <c r="A570" s="28">
        <v>44405</v>
      </c>
      <c r="B570" s="22">
        <v>30</v>
      </c>
      <c r="C570" s="22">
        <v>1</v>
      </c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>
        <v>1</v>
      </c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v>3</v>
      </c>
      <c r="D575" s="22"/>
      <c r="E575" s="22"/>
      <c r="F575" s="22"/>
    </row>
    <row r="576" spans="1:6" ht="14.5">
      <c r="A576" s="28">
        <v>44411</v>
      </c>
      <c r="B576" s="22">
        <v>31</v>
      </c>
      <c r="C576" s="22">
        <v>1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v>1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1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v>1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v>2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v>1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v>1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>
        <v>1</v>
      </c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>
        <v>1</v>
      </c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v>2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>
        <v>1</v>
      </c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1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3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6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v>3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7</v>
      </c>
      <c r="D743" s="22">
        <v>1</v>
      </c>
      <c r="E743" s="22"/>
      <c r="F743" s="22"/>
    </row>
    <row r="744" spans="1:6" ht="14.5">
      <c r="A744" s="28">
        <v>44579</v>
      </c>
      <c r="B744" s="22">
        <v>3</v>
      </c>
      <c r="C744" s="22">
        <v>7</v>
      </c>
      <c r="D744" s="22">
        <v>1</v>
      </c>
      <c r="E744" s="22"/>
      <c r="F744" s="22"/>
    </row>
    <row r="745" spans="1:6" ht="14.5">
      <c r="A745" s="28">
        <v>44580</v>
      </c>
      <c r="B745" s="22">
        <v>3</v>
      </c>
      <c r="C745" s="22">
        <v>7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v>9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8</v>
      </c>
      <c r="D747" s="22">
        <v>1</v>
      </c>
      <c r="E747" s="22"/>
      <c r="F747" s="22"/>
    </row>
    <row r="748" spans="1:6" ht="14.5">
      <c r="A748" s="28">
        <v>44583</v>
      </c>
      <c r="B748" s="22">
        <v>3</v>
      </c>
      <c r="C748" s="22">
        <v>2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v>5</v>
      </c>
      <c r="D749" s="22">
        <v>1</v>
      </c>
      <c r="E749" s="22"/>
      <c r="F749" s="22"/>
    </row>
    <row r="750" spans="1:6" ht="14.5">
      <c r="A750" s="28">
        <v>44585</v>
      </c>
      <c r="B750" s="22">
        <v>4</v>
      </c>
      <c r="C750" s="22">
        <v>12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10</v>
      </c>
      <c r="D751" s="22">
        <v>1</v>
      </c>
      <c r="E751" s="22"/>
      <c r="F751" s="22"/>
    </row>
    <row r="752" spans="1:6" ht="14.5">
      <c r="A752" s="28">
        <v>44587</v>
      </c>
      <c r="B752" s="22">
        <v>4</v>
      </c>
      <c r="C752" s="22">
        <v>10</v>
      </c>
      <c r="D752" s="22">
        <v>1</v>
      </c>
      <c r="E752" s="22"/>
      <c r="F752" s="22"/>
    </row>
    <row r="753" spans="1:6" ht="14.5">
      <c r="A753" s="28">
        <v>44588</v>
      </c>
      <c r="B753" s="22">
        <v>4</v>
      </c>
      <c r="C753" s="22">
        <v>16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v>3</v>
      </c>
      <c r="D754" s="22">
        <v>1</v>
      </c>
      <c r="E754" s="22"/>
      <c r="F754" s="22"/>
    </row>
    <row r="755" spans="1:6" ht="14.5">
      <c r="A755" s="28">
        <v>44590</v>
      </c>
      <c r="B755" s="22">
        <v>4</v>
      </c>
      <c r="C755" s="22">
        <v>1</v>
      </c>
      <c r="D755" s="22">
        <v>1</v>
      </c>
      <c r="E755" s="22"/>
      <c r="F755" s="22"/>
    </row>
    <row r="756" spans="1:6" ht="14.5">
      <c r="A756" s="28">
        <v>44591</v>
      </c>
      <c r="B756" s="22">
        <v>4</v>
      </c>
      <c r="C756" s="22">
        <v>3</v>
      </c>
      <c r="D756" s="22">
        <v>1</v>
      </c>
      <c r="E756" s="22"/>
      <c r="F756" s="22"/>
    </row>
    <row r="757" spans="1:6" ht="14.5">
      <c r="A757" s="28">
        <v>44592</v>
      </c>
      <c r="B757" s="22">
        <v>5</v>
      </c>
      <c r="C757" s="22">
        <v>3</v>
      </c>
      <c r="D757" s="22">
        <v>4</v>
      </c>
      <c r="E757" s="22"/>
      <c r="F757" s="22"/>
    </row>
    <row r="758" spans="1:6" ht="14.5">
      <c r="A758" s="49">
        <v>44593</v>
      </c>
      <c r="B758" s="52">
        <v>5</v>
      </c>
      <c r="C758" s="52">
        <v>3</v>
      </c>
      <c r="D758" s="52">
        <v>8</v>
      </c>
      <c r="E758" s="52"/>
      <c r="F758" s="52"/>
    </row>
    <row r="759" spans="1:6" ht="14.5">
      <c r="A759" s="49">
        <v>44594</v>
      </c>
      <c r="B759" s="52">
        <v>5</v>
      </c>
      <c r="C759" s="52">
        <v>2</v>
      </c>
      <c r="D759" s="52"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v>4</v>
      </c>
      <c r="D760" s="52">
        <v>1</v>
      </c>
      <c r="E760" s="52"/>
      <c r="F760" s="52"/>
    </row>
    <row r="761" spans="1:6" ht="14.5">
      <c r="A761" s="49">
        <v>44596</v>
      </c>
      <c r="B761" s="52">
        <v>5</v>
      </c>
      <c r="C761" s="52">
        <v>2</v>
      </c>
      <c r="D761" s="52">
        <v>1</v>
      </c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v>1</v>
      </c>
      <c r="D763" s="52">
        <v>1</v>
      </c>
      <c r="E763" s="52"/>
      <c r="F763" s="52"/>
    </row>
    <row r="764" spans="1:6" ht="14.5">
      <c r="A764" s="49">
        <v>44599</v>
      </c>
      <c r="B764" s="52">
        <v>6</v>
      </c>
      <c r="C764" s="52">
        <v>2</v>
      </c>
      <c r="D764" s="52">
        <v>5</v>
      </c>
      <c r="E764" s="52"/>
      <c r="F764" s="52"/>
    </row>
    <row r="765" spans="1:6" ht="14.5">
      <c r="A765" s="49">
        <v>44600</v>
      </c>
      <c r="B765" s="52">
        <v>6</v>
      </c>
      <c r="C765" s="52">
        <v>3</v>
      </c>
      <c r="D765" s="52">
        <v>1</v>
      </c>
      <c r="E765" s="52"/>
      <c r="F765" s="52"/>
    </row>
    <row r="766" spans="1:6" ht="14.5">
      <c r="A766" s="49">
        <v>44601</v>
      </c>
      <c r="B766" s="52">
        <v>6</v>
      </c>
      <c r="C766" s="52">
        <v>2</v>
      </c>
      <c r="D766" s="52">
        <v>2</v>
      </c>
      <c r="E766" s="52"/>
      <c r="F766" s="52"/>
    </row>
    <row r="767" spans="1:6" ht="14.5">
      <c r="A767" s="49">
        <v>44602</v>
      </c>
      <c r="B767" s="52">
        <v>6</v>
      </c>
      <c r="C767" s="52">
        <v>2</v>
      </c>
      <c r="D767" s="52">
        <v>1</v>
      </c>
      <c r="E767" s="52"/>
      <c r="F767" s="52"/>
    </row>
    <row r="768" spans="1:6" ht="14.5">
      <c r="A768" s="49">
        <v>44603</v>
      </c>
      <c r="B768" s="52">
        <v>6</v>
      </c>
      <c r="C768" s="52"/>
      <c r="D768" s="52">
        <v>1</v>
      </c>
      <c r="E768" s="52"/>
      <c r="F768" s="52"/>
    </row>
    <row r="769" spans="1:6" ht="14.5">
      <c r="A769" s="49">
        <v>44604</v>
      </c>
      <c r="B769" s="52">
        <v>6</v>
      </c>
      <c r="C769" s="52">
        <v>1</v>
      </c>
      <c r="D769" s="52">
        <v>1</v>
      </c>
      <c r="E769" s="52"/>
      <c r="F769" s="52"/>
    </row>
    <row r="770" spans="1:6" ht="14.5">
      <c r="A770" s="49">
        <v>44605</v>
      </c>
      <c r="B770" s="52">
        <v>6</v>
      </c>
      <c r="C770" s="52">
        <v>3</v>
      </c>
      <c r="D770" s="52">
        <v>2</v>
      </c>
      <c r="E770" s="52"/>
      <c r="F770" s="52"/>
    </row>
    <row r="771" spans="1:6" ht="14.5">
      <c r="A771" s="49">
        <v>44606</v>
      </c>
      <c r="B771" s="52">
        <v>7</v>
      </c>
      <c r="C771" s="52">
        <v>4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v>1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v>2</v>
      </c>
      <c r="D773" s="52">
        <v>1</v>
      </c>
      <c r="E773" s="52"/>
      <c r="F773" s="52"/>
    </row>
    <row r="774" spans="1:6" ht="14.5">
      <c r="A774" s="49">
        <v>44609</v>
      </c>
      <c r="B774" s="52">
        <v>7</v>
      </c>
      <c r="C774" s="52">
        <v>2</v>
      </c>
      <c r="D774" s="52">
        <v>1</v>
      </c>
      <c r="E774" s="52"/>
      <c r="F774" s="52"/>
    </row>
    <row r="775" spans="1:6" ht="14.5">
      <c r="A775" s="49">
        <v>44610</v>
      </c>
      <c r="B775" s="52">
        <v>7</v>
      </c>
      <c r="C775" s="52">
        <v>3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v>1</v>
      </c>
      <c r="D776" s="52">
        <v>1</v>
      </c>
      <c r="E776" s="52"/>
      <c r="F776" s="52"/>
    </row>
    <row r="777" spans="1:6" ht="14.5">
      <c r="A777" s="49">
        <v>44612</v>
      </c>
      <c r="B777" s="52">
        <v>7</v>
      </c>
      <c r="C777" s="52">
        <v>4</v>
      </c>
      <c r="D777" s="52">
        <v>1</v>
      </c>
      <c r="E777" s="52"/>
      <c r="F777" s="52"/>
    </row>
    <row r="778" spans="1:6" ht="14.5">
      <c r="A778" s="49">
        <v>44613</v>
      </c>
      <c r="B778" s="52">
        <v>8</v>
      </c>
      <c r="C778" s="52">
        <v>3</v>
      </c>
      <c r="D778" s="52">
        <v>5</v>
      </c>
      <c r="E778" s="52"/>
      <c r="F778" s="52"/>
    </row>
    <row r="779" spans="1:6" ht="14.5">
      <c r="A779" s="49">
        <v>44614</v>
      </c>
      <c r="B779" s="52">
        <v>8</v>
      </c>
      <c r="C779" s="52">
        <v>6</v>
      </c>
      <c r="D779" s="52">
        <v>1</v>
      </c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v>11</v>
      </c>
      <c r="D781" s="52">
        <v>2</v>
      </c>
      <c r="E781" s="52"/>
      <c r="F781" s="52"/>
    </row>
    <row r="782" spans="1:6" ht="14.5">
      <c r="A782" s="49">
        <v>44617</v>
      </c>
      <c r="B782" s="52">
        <v>8</v>
      </c>
      <c r="C782" s="52">
        <v>1</v>
      </c>
      <c r="D782" s="52">
        <v>1</v>
      </c>
      <c r="E782" s="52"/>
      <c r="F782" s="52"/>
    </row>
    <row r="783" spans="1:6" ht="14.5">
      <c r="A783" s="49">
        <v>44618</v>
      </c>
      <c r="B783" s="52">
        <v>8</v>
      </c>
      <c r="C783" s="52"/>
      <c r="D783" s="52">
        <v>3</v>
      </c>
      <c r="E783" s="52"/>
      <c r="F783" s="52"/>
    </row>
    <row r="784" spans="1:6" ht="14.5">
      <c r="A784" s="49">
        <v>44619</v>
      </c>
      <c r="B784" s="52">
        <v>8</v>
      </c>
      <c r="C784" s="52">
        <v>4</v>
      </c>
      <c r="D784" s="52">
        <v>1</v>
      </c>
      <c r="E784" s="52"/>
      <c r="F784" s="52"/>
    </row>
    <row r="785" spans="1:6" ht="14.5">
      <c r="A785" s="50">
        <v>44620</v>
      </c>
      <c r="B785" s="52">
        <v>9</v>
      </c>
      <c r="C785" s="52">
        <v>2</v>
      </c>
      <c r="D785" s="52">
        <v>1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xr:uid="{00000000-0004-0000-0B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5" width="12.66406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52</v>
      </c>
      <c r="B1" s="112"/>
      <c r="C1" s="112"/>
      <c r="D1" s="112"/>
      <c r="E1" s="112"/>
      <c r="F1" s="113"/>
      <c r="G1" s="69" t="s">
        <v>86</v>
      </c>
    </row>
    <row r="2" spans="1:7" ht="30.65" customHeight="1">
      <c r="A2" s="123" t="s">
        <v>31</v>
      </c>
      <c r="B2" s="115"/>
      <c r="C2" s="115"/>
      <c r="D2" s="115"/>
      <c r="E2" s="115"/>
      <c r="F2" s="116"/>
      <c r="G2" s="72" t="s">
        <v>231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>
        <v>1</v>
      </c>
      <c r="D205" s="22"/>
      <c r="E205" s="35" t="s">
        <v>82</v>
      </c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>
        <v>1</v>
      </c>
      <c r="D212" s="22"/>
      <c r="E212" s="35" t="s">
        <v>82</v>
      </c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>
        <v>1.5</v>
      </c>
      <c r="D216" s="22"/>
      <c r="E216" s="35" t="s">
        <v>82</v>
      </c>
      <c r="F216" s="22"/>
    </row>
    <row r="217" spans="1:6" ht="14.5">
      <c r="A217" s="25">
        <v>44052</v>
      </c>
      <c r="B217" s="26">
        <v>30</v>
      </c>
      <c r="C217" s="22">
        <v>1.5</v>
      </c>
      <c r="D217" s="22"/>
      <c r="E217" s="35" t="s">
        <v>82</v>
      </c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>
        <v>1</v>
      </c>
      <c r="D269" s="22"/>
      <c r="E269" s="35" t="s">
        <v>82</v>
      </c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>
        <v>1</v>
      </c>
      <c r="D288" s="22"/>
      <c r="E288" s="35" t="s">
        <v>82</v>
      </c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>
        <v>1</v>
      </c>
      <c r="D302" s="22"/>
      <c r="E302" s="35" t="s">
        <v>237</v>
      </c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>
        <v>4</v>
      </c>
      <c r="D316" s="22"/>
      <c r="E316" s="35" t="s">
        <v>82</v>
      </c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>
        <v>1</v>
      </c>
      <c r="D327" s="22"/>
      <c r="E327" s="35" t="s">
        <v>82</v>
      </c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>
        <v>2</v>
      </c>
      <c r="D331" s="22"/>
      <c r="E331" s="35" t="s">
        <v>82</v>
      </c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>
        <v>1</v>
      </c>
      <c r="D333" s="22"/>
      <c r="E333" s="35" t="s">
        <v>82</v>
      </c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>
        <v>1</v>
      </c>
      <c r="D352" s="22"/>
      <c r="E352" s="35" t="s">
        <v>237</v>
      </c>
      <c r="F352" s="22"/>
    </row>
    <row r="353" spans="1:7" ht="14.5">
      <c r="A353" s="25">
        <v>44188</v>
      </c>
      <c r="B353" s="26">
        <v>50</v>
      </c>
      <c r="C353" s="22"/>
      <c r="D353" s="22"/>
      <c r="E353" s="22"/>
      <c r="F353" s="22"/>
    </row>
    <row r="354" spans="1:7" ht="14.5">
      <c r="A354" s="25">
        <v>44189</v>
      </c>
      <c r="B354" s="26">
        <v>50</v>
      </c>
      <c r="C354" s="22"/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26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/>
      <c r="D368" s="22"/>
      <c r="E368" s="22"/>
      <c r="F368" s="22"/>
    </row>
    <row r="369" spans="1:7" ht="14.5">
      <c r="A369" s="25">
        <v>44204</v>
      </c>
      <c r="B369" s="26">
        <v>1</v>
      </c>
      <c r="C369" s="22"/>
      <c r="D369" s="22"/>
      <c r="E369" s="22"/>
      <c r="F369" s="22"/>
      <c r="G369" s="126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/>
      <c r="D373" s="22">
        <v>1</v>
      </c>
      <c r="E373" s="22"/>
      <c r="F373" s="35" t="s">
        <v>82</v>
      </c>
    </row>
    <row r="374" spans="1:7" ht="14.5">
      <c r="A374" s="25">
        <v>44209</v>
      </c>
      <c r="B374" s="26">
        <v>2</v>
      </c>
      <c r="C374" s="22"/>
      <c r="D374" s="22"/>
      <c r="E374" s="22"/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>
        <v>1</v>
      </c>
      <c r="D379" s="22"/>
      <c r="E379" s="35" t="s">
        <v>82</v>
      </c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>
        <v>1</v>
      </c>
      <c r="D383" s="22"/>
      <c r="E383" s="35" t="s">
        <v>82</v>
      </c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43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>
        <v>1</v>
      </c>
      <c r="E408" s="22"/>
      <c r="F408" s="35" t="s">
        <v>82</v>
      </c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3</v>
      </c>
      <c r="D450" s="22"/>
      <c r="E450" s="22" t="s">
        <v>238</v>
      </c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>
        <v>1</v>
      </c>
      <c r="D453" s="22"/>
      <c r="E453" s="35" t="s">
        <v>82</v>
      </c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>
        <v>1</v>
      </c>
      <c r="D460" s="22"/>
      <c r="E460" s="35" t="s">
        <v>82</v>
      </c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/>
      <c r="D472" s="22"/>
      <c r="E472" s="22"/>
      <c r="F472" s="22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4.5">
      <c r="A482" s="25">
        <v>44317</v>
      </c>
      <c r="B482" s="26">
        <v>17</v>
      </c>
      <c r="C482" s="22"/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>
        <v>1</v>
      </c>
      <c r="D487" s="22"/>
      <c r="E487" s="35" t="s">
        <v>82</v>
      </c>
      <c r="F487" s="22"/>
    </row>
    <row r="488" spans="1:7" ht="14.5">
      <c r="A488" s="25">
        <v>44323</v>
      </c>
      <c r="B488" s="26">
        <v>18</v>
      </c>
      <c r="C488" s="22">
        <v>3</v>
      </c>
      <c r="D488" s="22"/>
      <c r="E488" s="35" t="s">
        <v>237</v>
      </c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>
        <v>1</v>
      </c>
      <c r="D493" s="22"/>
      <c r="E493" s="35" t="s">
        <v>237</v>
      </c>
      <c r="F493" s="22"/>
    </row>
    <row r="494" spans="1:7" ht="14.5">
      <c r="A494" s="25">
        <v>44329</v>
      </c>
      <c r="B494" s="26">
        <v>19</v>
      </c>
      <c r="C494" s="22">
        <v>1</v>
      </c>
      <c r="D494" s="22"/>
      <c r="E494" s="35" t="s">
        <v>237</v>
      </c>
      <c r="F494" s="22"/>
    </row>
    <row r="495" spans="1:7" ht="14.5">
      <c r="A495" s="25">
        <v>44330</v>
      </c>
      <c r="B495" s="26">
        <v>19</v>
      </c>
      <c r="C495" s="22">
        <v>1</v>
      </c>
      <c r="D495" s="22"/>
      <c r="E495" s="35" t="s">
        <v>237</v>
      </c>
      <c r="F495" s="22"/>
    </row>
    <row r="496" spans="1:7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v>1</v>
      </c>
      <c r="D499" s="22"/>
      <c r="E499" s="35" t="s">
        <v>237</v>
      </c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/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>
        <v>2</v>
      </c>
      <c r="D512" s="22"/>
      <c r="E512" s="35" t="s">
        <v>237</v>
      </c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>
        <v>2</v>
      </c>
      <c r="D526" s="22"/>
      <c r="E526" s="35" t="s">
        <v>82</v>
      </c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>
        <v>1</v>
      </c>
      <c r="D533" s="22"/>
      <c r="E533" s="35" t="s">
        <v>82</v>
      </c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44381</v>
      </c>
      <c r="B547" s="26">
        <v>26</v>
      </c>
      <c r="C547" s="22"/>
      <c r="D547" s="22"/>
      <c r="E547" s="22"/>
      <c r="F547" s="22"/>
    </row>
    <row r="548" spans="1:6" ht="14.5">
      <c r="A548" s="25">
        <v>44382</v>
      </c>
      <c r="B548" s="26">
        <v>27</v>
      </c>
      <c r="C548" s="22"/>
      <c r="D548" s="22"/>
      <c r="E548" s="22"/>
      <c r="F548" s="22"/>
    </row>
    <row r="549" spans="1:6" ht="14.5">
      <c r="A549" s="25">
        <v>44383</v>
      </c>
      <c r="B549" s="26">
        <v>27</v>
      </c>
      <c r="C549" s="22"/>
      <c r="D549" s="22"/>
      <c r="E549" s="22"/>
      <c r="F549" s="22"/>
    </row>
    <row r="550" spans="1:6" ht="14.5">
      <c r="A550" s="25">
        <v>44384</v>
      </c>
      <c r="B550" s="26">
        <v>27</v>
      </c>
      <c r="C550" s="22"/>
      <c r="D550" s="22"/>
      <c r="E550" s="22"/>
      <c r="F550" s="22"/>
    </row>
    <row r="551" spans="1:6" ht="14.5">
      <c r="A551" s="25">
        <v>44385</v>
      </c>
      <c r="B551" s="26">
        <v>27</v>
      </c>
      <c r="C551" s="22"/>
      <c r="D551" s="22"/>
      <c r="E551" s="22"/>
      <c r="F551" s="22"/>
    </row>
    <row r="552" spans="1:6" ht="14.5">
      <c r="A552" s="25">
        <v>44386</v>
      </c>
      <c r="B552" s="26">
        <v>27</v>
      </c>
      <c r="C552" s="22"/>
      <c r="D552" s="22"/>
      <c r="E552" s="22"/>
      <c r="F552" s="22"/>
    </row>
    <row r="553" spans="1:6" ht="14.5">
      <c r="A553" s="25">
        <v>44387</v>
      </c>
      <c r="B553" s="26">
        <v>27</v>
      </c>
      <c r="C553" s="22"/>
      <c r="D553" s="22"/>
      <c r="E553" s="22"/>
      <c r="F553" s="22"/>
    </row>
    <row r="554" spans="1:6" ht="14.5">
      <c r="A554" s="25">
        <v>44388</v>
      </c>
      <c r="B554" s="26">
        <v>27</v>
      </c>
      <c r="C554" s="22"/>
      <c r="D554" s="22"/>
      <c r="E554" s="22"/>
      <c r="F554" s="22"/>
    </row>
    <row r="555" spans="1:6" ht="14.5">
      <c r="A555" s="25">
        <v>44389</v>
      </c>
      <c r="B555" s="26">
        <v>28</v>
      </c>
      <c r="C555" s="22"/>
      <c r="D555" s="22"/>
      <c r="E555" s="22"/>
      <c r="F555" s="22"/>
    </row>
    <row r="556" spans="1:6" ht="14.5">
      <c r="A556" s="25">
        <v>44390</v>
      </c>
      <c r="B556" s="26">
        <v>28</v>
      </c>
      <c r="C556" s="22"/>
      <c r="D556" s="22"/>
      <c r="E556" s="22"/>
      <c r="F556" s="22"/>
    </row>
    <row r="557" spans="1:6" ht="14.5">
      <c r="A557" s="25">
        <v>44391</v>
      </c>
      <c r="B557" s="26">
        <v>28</v>
      </c>
      <c r="C557" s="22"/>
      <c r="D557" s="22"/>
      <c r="E557" s="22"/>
      <c r="F557" s="22"/>
    </row>
    <row r="558" spans="1:6" ht="14.5">
      <c r="A558" s="25">
        <v>44392</v>
      </c>
      <c r="B558" s="26">
        <v>28</v>
      </c>
      <c r="C558" s="22"/>
      <c r="D558" s="22"/>
      <c r="E558" s="22"/>
      <c r="F558" s="22"/>
    </row>
    <row r="559" spans="1:6" ht="14.5">
      <c r="A559" s="25">
        <v>44393</v>
      </c>
      <c r="B559" s="26">
        <v>28</v>
      </c>
      <c r="C559" s="22"/>
      <c r="D559" s="22"/>
      <c r="E559" s="22"/>
      <c r="F559" s="22"/>
    </row>
    <row r="560" spans="1:6" ht="14.5">
      <c r="A560" s="25">
        <v>44394</v>
      </c>
      <c r="B560" s="26">
        <v>28</v>
      </c>
      <c r="C560" s="22"/>
      <c r="D560" s="22"/>
      <c r="E560" s="22"/>
      <c r="F560" s="22"/>
    </row>
    <row r="561" spans="1:6" ht="14.5">
      <c r="A561" s="25">
        <v>44395</v>
      </c>
      <c r="B561" s="26">
        <v>28</v>
      </c>
      <c r="C561" s="22"/>
      <c r="D561" s="22"/>
      <c r="E561" s="22"/>
      <c r="F561" s="22"/>
    </row>
    <row r="562" spans="1:6" ht="14.5">
      <c r="A562" s="25">
        <v>44396</v>
      </c>
      <c r="B562" s="26">
        <v>29</v>
      </c>
      <c r="C562" s="22"/>
      <c r="D562" s="22"/>
      <c r="E562" s="22"/>
      <c r="F562" s="22"/>
    </row>
    <row r="563" spans="1:6" ht="14.5">
      <c r="A563" s="25">
        <v>44397</v>
      </c>
      <c r="B563" s="26">
        <v>29</v>
      </c>
      <c r="C563" s="22"/>
      <c r="D563" s="22"/>
      <c r="E563" s="22"/>
      <c r="F563" s="22"/>
    </row>
    <row r="564" spans="1:6" ht="14.5">
      <c r="A564" s="25">
        <v>44398</v>
      </c>
      <c r="B564" s="26">
        <v>29</v>
      </c>
      <c r="C564" s="22"/>
      <c r="D564" s="22"/>
      <c r="E564" s="22"/>
      <c r="F564" s="22"/>
    </row>
    <row r="565" spans="1:6" ht="14.5">
      <c r="A565" s="25">
        <v>44399</v>
      </c>
      <c r="B565" s="26">
        <v>29</v>
      </c>
      <c r="C565" s="22"/>
      <c r="D565" s="22"/>
      <c r="E565" s="22"/>
      <c r="F565" s="22"/>
    </row>
    <row r="566" spans="1:6" ht="14.5">
      <c r="A566" s="25">
        <v>44400</v>
      </c>
      <c r="B566" s="26">
        <v>29</v>
      </c>
      <c r="C566" s="22"/>
      <c r="D566" s="22"/>
      <c r="E566" s="22"/>
      <c r="F566" s="22"/>
    </row>
    <row r="567" spans="1:6" ht="14.5">
      <c r="A567" s="25">
        <v>44401</v>
      </c>
      <c r="B567" s="26">
        <v>29</v>
      </c>
      <c r="C567" s="22"/>
      <c r="D567" s="22"/>
      <c r="E567" s="22"/>
      <c r="F567" s="22"/>
    </row>
    <row r="568" spans="1:6" ht="14.5">
      <c r="A568" s="25">
        <v>44402</v>
      </c>
      <c r="B568" s="26">
        <v>29</v>
      </c>
      <c r="C568" s="22"/>
      <c r="D568" s="22"/>
      <c r="E568" s="22"/>
      <c r="F568" s="22"/>
    </row>
    <row r="569" spans="1:6" ht="14.5">
      <c r="A569" s="25">
        <v>44403</v>
      </c>
      <c r="B569" s="26">
        <v>30</v>
      </c>
      <c r="C569" s="22">
        <v>1</v>
      </c>
      <c r="D569" s="22"/>
      <c r="E569" s="35" t="s">
        <v>82</v>
      </c>
      <c r="F569" s="22"/>
    </row>
    <row r="570" spans="1:6" ht="14.5">
      <c r="A570" s="28">
        <v>44404</v>
      </c>
      <c r="B570" s="22">
        <v>30</v>
      </c>
      <c r="C570" s="22"/>
      <c r="D570" s="22"/>
      <c r="E570" s="22"/>
      <c r="F570" s="22"/>
    </row>
    <row r="571" spans="1:6" ht="14.5">
      <c r="A571" s="28">
        <v>44405</v>
      </c>
      <c r="B571" s="22">
        <v>30</v>
      </c>
      <c r="C571" s="22"/>
      <c r="D571" s="22"/>
      <c r="E571" s="22"/>
      <c r="F571" s="22"/>
    </row>
    <row r="572" spans="1:6" ht="14.5">
      <c r="A572" s="28">
        <v>44406</v>
      </c>
      <c r="B572" s="22">
        <v>30</v>
      </c>
      <c r="C572" s="22"/>
      <c r="D572" s="22"/>
      <c r="E572" s="22"/>
      <c r="F572" s="22"/>
    </row>
    <row r="573" spans="1:6" ht="14.5">
      <c r="A573" s="28">
        <v>44407</v>
      </c>
      <c r="B573" s="22">
        <v>30</v>
      </c>
      <c r="C573" s="22"/>
      <c r="D573" s="22"/>
      <c r="E573" s="22"/>
      <c r="F573" s="22"/>
    </row>
    <row r="574" spans="1:6" ht="14.5">
      <c r="A574" s="28">
        <v>44408</v>
      </c>
      <c r="B574" s="22">
        <v>30</v>
      </c>
      <c r="C574" s="22"/>
      <c r="D574" s="22"/>
      <c r="E574" s="22"/>
      <c r="F574" s="22"/>
    </row>
    <row r="575" spans="1:6" ht="14.5">
      <c r="A575" s="28">
        <v>44409</v>
      </c>
      <c r="B575" s="22">
        <v>30</v>
      </c>
      <c r="C575" s="22"/>
      <c r="D575" s="22"/>
      <c r="E575" s="22"/>
      <c r="F575" s="22"/>
    </row>
    <row r="576" spans="1:6" ht="14.5">
      <c r="A576" s="28">
        <v>44410</v>
      </c>
      <c r="B576" s="22">
        <v>31</v>
      </c>
      <c r="C576" s="22">
        <v>5</v>
      </c>
      <c r="D576" s="22">
        <v>1</v>
      </c>
      <c r="E576" s="22" t="s">
        <v>82</v>
      </c>
      <c r="F576" s="22"/>
    </row>
    <row r="577" spans="1:6" ht="14.5">
      <c r="A577" s="28">
        <v>44411</v>
      </c>
      <c r="B577" s="22">
        <v>31</v>
      </c>
      <c r="C577" s="22"/>
      <c r="D577" s="22"/>
      <c r="E577" s="22"/>
      <c r="F577" s="22"/>
    </row>
    <row r="578" spans="1:6" ht="14.5">
      <c r="A578" s="28">
        <v>44412</v>
      </c>
      <c r="B578" s="22">
        <v>31</v>
      </c>
      <c r="C578" s="22">
        <f>2+1</f>
        <v>3</v>
      </c>
      <c r="D578" s="22"/>
      <c r="E578" s="22" t="s">
        <v>244</v>
      </c>
      <c r="F578" s="22"/>
    </row>
    <row r="579" spans="1:6" ht="14.5">
      <c r="A579" s="28">
        <v>44413</v>
      </c>
      <c r="B579" s="22">
        <v>31</v>
      </c>
      <c r="C579" s="22"/>
      <c r="D579" s="22"/>
      <c r="E579" s="22"/>
      <c r="F579" s="22"/>
    </row>
    <row r="580" spans="1:6" ht="14.5">
      <c r="A580" s="28">
        <v>44414</v>
      </c>
      <c r="B580" s="22">
        <v>31</v>
      </c>
      <c r="C580" s="22"/>
      <c r="D580" s="22"/>
      <c r="E580" s="22"/>
      <c r="F580" s="22"/>
    </row>
    <row r="581" spans="1:6" ht="14.5">
      <c r="A581" s="28">
        <v>44415</v>
      </c>
      <c r="B581" s="22">
        <v>31</v>
      </c>
      <c r="C581" s="22"/>
      <c r="D581" s="22"/>
      <c r="E581" s="22"/>
      <c r="F581" s="22"/>
    </row>
    <row r="582" spans="1:6" ht="14.5">
      <c r="A582" s="28">
        <v>44416</v>
      </c>
      <c r="B582" s="22">
        <v>31</v>
      </c>
      <c r="C582" s="22"/>
      <c r="D582" s="22"/>
      <c r="E582" s="22"/>
      <c r="F582" s="22"/>
    </row>
    <row r="583" spans="1:6" ht="14.5">
      <c r="A583" s="28">
        <v>44417</v>
      </c>
      <c r="B583" s="22">
        <v>32</v>
      </c>
      <c r="C583" s="22"/>
      <c r="D583" s="22"/>
      <c r="E583" s="22"/>
      <c r="F583" s="22"/>
    </row>
    <row r="584" spans="1:6" ht="14.5">
      <c r="A584" s="28">
        <v>44418</v>
      </c>
      <c r="B584" s="22">
        <v>32</v>
      </c>
      <c r="C584" s="22"/>
      <c r="D584" s="22"/>
      <c r="E584" s="22"/>
      <c r="F584" s="22"/>
    </row>
    <row r="585" spans="1:6" ht="14.5">
      <c r="A585" s="28">
        <v>44419</v>
      </c>
      <c r="B585" s="22">
        <v>32</v>
      </c>
      <c r="C585" s="22"/>
      <c r="D585" s="22"/>
      <c r="E585" s="22"/>
      <c r="F585" s="22"/>
    </row>
    <row r="586" spans="1:6" ht="14.5">
      <c r="A586" s="28">
        <v>44420</v>
      </c>
      <c r="B586" s="22">
        <v>32</v>
      </c>
      <c r="C586" s="22"/>
      <c r="D586" s="22"/>
      <c r="E586" s="22"/>
      <c r="F586" s="22"/>
    </row>
    <row r="587" spans="1:6" ht="14.5">
      <c r="A587" s="28">
        <v>44421</v>
      </c>
      <c r="B587" s="22">
        <v>32</v>
      </c>
      <c r="C587" s="22"/>
      <c r="D587" s="22"/>
      <c r="E587" s="22"/>
      <c r="F587" s="22"/>
    </row>
    <row r="588" spans="1:6" ht="14.5">
      <c r="A588" s="28">
        <v>44422</v>
      </c>
      <c r="B588" s="22">
        <v>32</v>
      </c>
      <c r="C588" s="22"/>
      <c r="D588" s="22"/>
      <c r="E588" s="22"/>
      <c r="F588" s="22"/>
    </row>
    <row r="589" spans="1:6" ht="14.5">
      <c r="A589" s="28">
        <v>44423</v>
      </c>
      <c r="B589" s="22">
        <v>32</v>
      </c>
      <c r="C589" s="22"/>
      <c r="D589" s="22"/>
      <c r="E589" s="22"/>
      <c r="F589" s="22"/>
    </row>
    <row r="590" spans="1:6" ht="14.5">
      <c r="A590" s="28">
        <v>44424</v>
      </c>
      <c r="B590" s="22">
        <v>33</v>
      </c>
      <c r="C590" s="22"/>
      <c r="D590" s="22"/>
      <c r="E590" s="22"/>
      <c r="F590" s="22"/>
    </row>
    <row r="591" spans="1:6" ht="14.5">
      <c r="A591" s="28">
        <v>44425</v>
      </c>
      <c r="B591" s="22">
        <v>33</v>
      </c>
      <c r="C591" s="22">
        <f>7+1</f>
        <v>8</v>
      </c>
      <c r="D591" s="22"/>
      <c r="E591" s="22" t="s">
        <v>245</v>
      </c>
      <c r="F591" s="22"/>
    </row>
    <row r="592" spans="1:6" ht="14.5">
      <c r="A592" s="28">
        <v>44426</v>
      </c>
      <c r="B592" s="22">
        <v>33</v>
      </c>
      <c r="C592" s="22">
        <f>1+2</f>
        <v>3</v>
      </c>
      <c r="D592" s="22"/>
      <c r="E592" s="22" t="s">
        <v>246</v>
      </c>
      <c r="F592" s="22"/>
    </row>
    <row r="593" spans="1:6" ht="14.5">
      <c r="A593" s="28">
        <v>44427</v>
      </c>
      <c r="B593" s="22">
        <v>33</v>
      </c>
      <c r="C593" s="22"/>
      <c r="D593" s="22"/>
      <c r="E593" s="22"/>
      <c r="F593" s="22"/>
    </row>
    <row r="594" spans="1:6" ht="14.5">
      <c r="A594" s="28">
        <v>44428</v>
      </c>
      <c r="B594" s="22">
        <v>33</v>
      </c>
      <c r="C594" s="22"/>
      <c r="D594" s="22"/>
      <c r="E594" s="22"/>
      <c r="F594" s="22"/>
    </row>
    <row r="595" spans="1:6" ht="14.5">
      <c r="A595" s="28">
        <v>44429</v>
      </c>
      <c r="B595" s="22">
        <v>33</v>
      </c>
      <c r="C595" s="22"/>
      <c r="D595" s="22"/>
      <c r="E595" s="22"/>
      <c r="F595" s="22"/>
    </row>
    <row r="596" spans="1:6" ht="14.5">
      <c r="A596" s="28">
        <v>44430</v>
      </c>
      <c r="B596" s="22">
        <v>33</v>
      </c>
      <c r="C596" s="22"/>
      <c r="D596" s="22"/>
      <c r="E596" s="22"/>
      <c r="F596" s="22"/>
    </row>
    <row r="597" spans="1:6" ht="14.5">
      <c r="A597" s="28">
        <v>44431</v>
      </c>
      <c r="B597" s="22">
        <v>34</v>
      </c>
      <c r="C597" s="22">
        <f>1+2</f>
        <v>3</v>
      </c>
      <c r="D597" s="22"/>
      <c r="E597" s="22" t="s">
        <v>246</v>
      </c>
      <c r="F597" s="22"/>
    </row>
    <row r="598" spans="1:6" ht="14.5">
      <c r="A598" s="28">
        <v>44432</v>
      </c>
      <c r="B598" s="22">
        <v>34</v>
      </c>
      <c r="C598" s="22"/>
      <c r="D598" s="22"/>
      <c r="E598" s="22"/>
      <c r="F598" s="22"/>
    </row>
    <row r="599" spans="1:6" ht="14.5">
      <c r="A599" s="28">
        <v>44433</v>
      </c>
      <c r="B599" s="22">
        <v>34</v>
      </c>
      <c r="C599" s="22">
        <f>1+6</f>
        <v>7</v>
      </c>
      <c r="D599" s="22"/>
      <c r="E599" s="22" t="s">
        <v>247</v>
      </c>
      <c r="F599" s="22"/>
    </row>
    <row r="600" spans="1:6" ht="14.5">
      <c r="A600" s="28">
        <v>44434</v>
      </c>
      <c r="B600" s="22">
        <v>34</v>
      </c>
      <c r="C600" s="22"/>
      <c r="D600" s="22"/>
      <c r="E600" s="22"/>
      <c r="F600" s="22"/>
    </row>
    <row r="601" spans="1:6" ht="14.5">
      <c r="A601" s="28">
        <v>44435</v>
      </c>
      <c r="B601" s="22">
        <v>34</v>
      </c>
      <c r="C601" s="22"/>
      <c r="D601" s="22"/>
      <c r="E601" s="22"/>
      <c r="F601" s="22"/>
    </row>
    <row r="602" spans="1:6" ht="14.5">
      <c r="A602" s="28">
        <v>44436</v>
      </c>
      <c r="B602" s="22">
        <v>34</v>
      </c>
      <c r="C602" s="22"/>
      <c r="D602" s="22"/>
      <c r="E602" s="22"/>
      <c r="F602" s="22"/>
    </row>
    <row r="603" spans="1:6" ht="14.5">
      <c r="A603" s="28">
        <v>44437</v>
      </c>
      <c r="B603" s="22">
        <v>34</v>
      </c>
      <c r="C603" s="22"/>
      <c r="D603" s="22"/>
      <c r="E603" s="22"/>
      <c r="F603" s="22"/>
    </row>
    <row r="604" spans="1:6" ht="14.5">
      <c r="A604" s="28">
        <v>44438</v>
      </c>
      <c r="B604" s="22">
        <v>35</v>
      </c>
      <c r="C604" s="22">
        <f>14+2</f>
        <v>16</v>
      </c>
      <c r="D604" s="22"/>
      <c r="E604" s="22" t="s">
        <v>248</v>
      </c>
      <c r="F604" s="22"/>
    </row>
    <row r="605" spans="1:6" ht="14.5">
      <c r="A605" s="28">
        <v>44439</v>
      </c>
      <c r="B605" s="22">
        <v>35</v>
      </c>
      <c r="C605" s="22"/>
      <c r="D605" s="22"/>
      <c r="E605" s="22"/>
      <c r="F605" s="22"/>
    </row>
    <row r="606" spans="1:6" ht="14.5">
      <c r="A606" s="28">
        <v>44440</v>
      </c>
      <c r="B606" s="22">
        <v>35</v>
      </c>
      <c r="C606" s="22"/>
      <c r="D606" s="22"/>
      <c r="E606" s="22"/>
      <c r="F606" s="22"/>
    </row>
    <row r="607" spans="1:6" ht="14.5">
      <c r="A607" s="28">
        <v>44441</v>
      </c>
      <c r="B607" s="22">
        <v>35</v>
      </c>
      <c r="C607" s="22">
        <f>2+2</f>
        <v>4</v>
      </c>
      <c r="D607" s="22">
        <v>1</v>
      </c>
      <c r="E607" s="22" t="s">
        <v>249</v>
      </c>
      <c r="F607" s="22" t="s">
        <v>234</v>
      </c>
    </row>
    <row r="608" spans="1:6" ht="14.5">
      <c r="A608" s="28">
        <v>44442</v>
      </c>
      <c r="B608" s="22">
        <v>35</v>
      </c>
      <c r="C608" s="22">
        <v>1</v>
      </c>
      <c r="D608" s="22"/>
      <c r="E608" s="22" t="s">
        <v>234</v>
      </c>
      <c r="F608" s="22"/>
    </row>
    <row r="609" spans="1:6" ht="14.5">
      <c r="A609" s="28">
        <v>44443</v>
      </c>
      <c r="B609" s="22">
        <v>35</v>
      </c>
      <c r="C609" s="22"/>
      <c r="D609" s="22"/>
      <c r="E609" s="22"/>
      <c r="F609" s="22"/>
    </row>
    <row r="610" spans="1:6" ht="14.5">
      <c r="A610" s="28">
        <v>44444</v>
      </c>
      <c r="B610" s="22">
        <v>35</v>
      </c>
      <c r="C610" s="22"/>
      <c r="D610" s="22"/>
      <c r="E610" s="22"/>
      <c r="F610" s="22"/>
    </row>
    <row r="611" spans="1:6" ht="14.5">
      <c r="A611" s="28">
        <v>44445</v>
      </c>
      <c r="B611" s="22">
        <v>36</v>
      </c>
      <c r="C611" s="22"/>
      <c r="D611" s="22"/>
      <c r="E611" s="22"/>
      <c r="F611" s="22"/>
    </row>
    <row r="612" spans="1:6" ht="14.5">
      <c r="A612" s="28">
        <v>44446</v>
      </c>
      <c r="B612" s="22">
        <v>36</v>
      </c>
      <c r="C612" s="22"/>
      <c r="D612" s="22"/>
      <c r="E612" s="22"/>
      <c r="F612" s="22"/>
    </row>
    <row r="613" spans="1:6" ht="14.5">
      <c r="A613" s="28">
        <v>44447</v>
      </c>
      <c r="B613" s="22">
        <v>36</v>
      </c>
      <c r="C613" s="22">
        <f>2+1</f>
        <v>3</v>
      </c>
      <c r="D613" s="22"/>
      <c r="E613" s="22" t="s">
        <v>244</v>
      </c>
      <c r="F613" s="22"/>
    </row>
    <row r="614" spans="1:6" ht="14.5">
      <c r="A614" s="28">
        <v>44448</v>
      </c>
      <c r="B614" s="22">
        <v>36</v>
      </c>
      <c r="C614" s="22"/>
      <c r="D614" s="22"/>
      <c r="E614" s="22"/>
      <c r="F614" s="22"/>
    </row>
    <row r="615" spans="1:6" ht="14.5">
      <c r="A615" s="28">
        <v>44449</v>
      </c>
      <c r="B615" s="22">
        <v>36</v>
      </c>
      <c r="C615" s="22"/>
      <c r="D615" s="22"/>
      <c r="E615" s="22"/>
      <c r="F615" s="22"/>
    </row>
    <row r="616" spans="1:6" ht="14.5">
      <c r="A616" s="28">
        <v>44450</v>
      </c>
      <c r="B616" s="22">
        <v>36</v>
      </c>
      <c r="C616" s="22"/>
      <c r="D616" s="22"/>
      <c r="E616" s="22"/>
      <c r="F616" s="22"/>
    </row>
    <row r="617" spans="1:6" ht="14.5">
      <c r="A617" s="28">
        <v>44451</v>
      </c>
      <c r="B617" s="22">
        <v>36</v>
      </c>
      <c r="C617" s="22"/>
      <c r="D617" s="22"/>
      <c r="E617" s="22"/>
      <c r="F617" s="22"/>
    </row>
    <row r="618" spans="1:6" ht="14.5">
      <c r="A618" s="28">
        <v>44452</v>
      </c>
      <c r="B618" s="22">
        <v>37</v>
      </c>
      <c r="C618" s="22"/>
      <c r="D618" s="22"/>
      <c r="E618" s="22"/>
      <c r="F618" s="22"/>
    </row>
    <row r="619" spans="1:6" ht="14.5">
      <c r="A619" s="28">
        <v>44453</v>
      </c>
      <c r="B619" s="22">
        <v>37</v>
      </c>
      <c r="C619" s="22">
        <v>2</v>
      </c>
      <c r="D619" s="22"/>
      <c r="E619" s="22" t="s">
        <v>240</v>
      </c>
      <c r="F619" s="22"/>
    </row>
    <row r="620" spans="1:6" ht="14.5">
      <c r="A620" s="28">
        <v>44454</v>
      </c>
      <c r="B620" s="22">
        <v>37</v>
      </c>
      <c r="C620" s="22">
        <f>2+1</f>
        <v>3</v>
      </c>
      <c r="D620" s="22"/>
      <c r="E620" s="22" t="s">
        <v>244</v>
      </c>
      <c r="F620" s="22"/>
    </row>
    <row r="621" spans="1:6" ht="14.5">
      <c r="A621" s="28">
        <v>44455</v>
      </c>
      <c r="B621" s="22">
        <v>37</v>
      </c>
      <c r="C621" s="22"/>
      <c r="D621" s="22"/>
      <c r="E621" s="22"/>
      <c r="F621" s="22"/>
    </row>
    <row r="622" spans="1:6" ht="14.5">
      <c r="A622" s="28">
        <v>44456</v>
      </c>
      <c r="B622" s="22">
        <v>37</v>
      </c>
      <c r="C622" s="22"/>
      <c r="D622" s="22"/>
      <c r="E622" s="22"/>
      <c r="F622" s="22"/>
    </row>
    <row r="623" spans="1:6" ht="14.5">
      <c r="A623" s="28">
        <v>44457</v>
      </c>
      <c r="B623" s="22">
        <v>37</v>
      </c>
      <c r="C623" s="22"/>
      <c r="D623" s="22"/>
      <c r="E623" s="22"/>
      <c r="F623" s="22"/>
    </row>
    <row r="624" spans="1:6" ht="14.5">
      <c r="A624" s="28">
        <v>44458</v>
      </c>
      <c r="B624" s="22">
        <v>37</v>
      </c>
      <c r="C624" s="22"/>
      <c r="D624" s="22"/>
      <c r="E624" s="22"/>
      <c r="F624" s="22"/>
    </row>
    <row r="625" spans="1:6" ht="14.5">
      <c r="A625" s="28">
        <v>44459</v>
      </c>
      <c r="B625" s="22">
        <v>38</v>
      </c>
      <c r="C625" s="22"/>
      <c r="D625" s="22"/>
      <c r="E625" s="22"/>
      <c r="F625" s="22"/>
    </row>
    <row r="626" spans="1:6" ht="14.5">
      <c r="A626" s="28">
        <v>44460</v>
      </c>
      <c r="B626" s="22">
        <v>38</v>
      </c>
      <c r="C626" s="22"/>
      <c r="D626" s="22"/>
      <c r="E626" s="22"/>
      <c r="F626" s="22"/>
    </row>
    <row r="627" spans="1:6" ht="14.5">
      <c r="A627" s="28">
        <v>44461</v>
      </c>
      <c r="B627" s="22">
        <v>38</v>
      </c>
      <c r="C627" s="22"/>
      <c r="D627" s="22"/>
      <c r="E627" s="22"/>
      <c r="F627" s="22"/>
    </row>
    <row r="628" spans="1:6" ht="14.5">
      <c r="A628" s="28">
        <v>44462</v>
      </c>
      <c r="B628" s="22">
        <v>38</v>
      </c>
      <c r="C628" s="22"/>
      <c r="D628" s="22"/>
      <c r="E628" s="22"/>
      <c r="F628" s="22"/>
    </row>
    <row r="629" spans="1:6" ht="14.5">
      <c r="A629" s="28">
        <v>44463</v>
      </c>
      <c r="B629" s="22">
        <v>38</v>
      </c>
      <c r="C629" s="22"/>
      <c r="D629" s="22"/>
      <c r="E629" s="22"/>
      <c r="F629" s="22"/>
    </row>
    <row r="630" spans="1:6" ht="14.5">
      <c r="A630" s="28">
        <v>44464</v>
      </c>
      <c r="B630" s="22">
        <v>38</v>
      </c>
      <c r="C630" s="22"/>
      <c r="D630" s="22"/>
      <c r="E630" s="22"/>
      <c r="F630" s="22"/>
    </row>
    <row r="631" spans="1:6" ht="14.5">
      <c r="A631" s="28">
        <v>44465</v>
      </c>
      <c r="B631" s="22">
        <v>38</v>
      </c>
      <c r="C631" s="22"/>
      <c r="D631" s="22"/>
      <c r="E631" s="22"/>
      <c r="F631" s="22"/>
    </row>
    <row r="632" spans="1:6" ht="14.5">
      <c r="A632" s="28">
        <v>44466</v>
      </c>
      <c r="B632" s="22">
        <v>39</v>
      </c>
      <c r="C632" s="22"/>
      <c r="D632" s="22"/>
      <c r="E632" s="22"/>
      <c r="F632" s="22"/>
    </row>
    <row r="633" spans="1:6" ht="14.5">
      <c r="A633" s="28">
        <v>44467</v>
      </c>
      <c r="B633" s="22">
        <v>39</v>
      </c>
      <c r="C633" s="22"/>
      <c r="D633" s="22"/>
      <c r="E633" s="22"/>
      <c r="F633" s="22"/>
    </row>
    <row r="634" spans="1:6" ht="14.5">
      <c r="A634" s="28">
        <v>44468</v>
      </c>
      <c r="B634" s="22">
        <v>39</v>
      </c>
      <c r="C634" s="22"/>
      <c r="D634" s="22"/>
      <c r="E634" s="22"/>
      <c r="F634" s="22"/>
    </row>
    <row r="635" spans="1:6" ht="14.5">
      <c r="A635" s="28">
        <v>44469</v>
      </c>
      <c r="B635" s="22">
        <v>39</v>
      </c>
      <c r="C635" s="22"/>
      <c r="D635" s="22"/>
      <c r="E635" s="22"/>
      <c r="F635" s="22"/>
    </row>
    <row r="636" spans="1:6" ht="14.5">
      <c r="A636" s="28">
        <v>44470</v>
      </c>
      <c r="B636" s="22">
        <v>39</v>
      </c>
      <c r="C636" s="22"/>
      <c r="D636" s="22"/>
      <c r="E636" s="22"/>
      <c r="F636" s="22"/>
    </row>
    <row r="637" spans="1:6" ht="14.5">
      <c r="A637" s="28">
        <v>44471</v>
      </c>
      <c r="B637" s="22">
        <v>39</v>
      </c>
      <c r="C637" s="22"/>
      <c r="D637" s="22"/>
      <c r="E637" s="22"/>
      <c r="F637" s="22"/>
    </row>
    <row r="638" spans="1:6" ht="14.5">
      <c r="A638" s="28">
        <v>44472</v>
      </c>
      <c r="B638" s="22">
        <v>39</v>
      </c>
      <c r="C638" s="22"/>
      <c r="D638" s="22"/>
      <c r="E638" s="22"/>
      <c r="F638" s="22"/>
    </row>
    <row r="639" spans="1:6" ht="14.5">
      <c r="A639" s="28">
        <v>44473</v>
      </c>
      <c r="B639" s="22">
        <v>40</v>
      </c>
      <c r="C639" s="22"/>
      <c r="D639" s="22"/>
      <c r="E639" s="22"/>
      <c r="F639" s="22"/>
    </row>
    <row r="640" spans="1:6" ht="14.5">
      <c r="A640" s="28">
        <v>44474</v>
      </c>
      <c r="B640" s="22">
        <v>40</v>
      </c>
      <c r="C640" s="22"/>
      <c r="D640" s="22"/>
      <c r="E640" s="22"/>
      <c r="F640" s="22"/>
    </row>
    <row r="641" spans="1:6" ht="14.5">
      <c r="A641" s="28">
        <v>44475</v>
      </c>
      <c r="B641" s="22">
        <v>40</v>
      </c>
      <c r="C641" s="22"/>
      <c r="D641" s="22"/>
      <c r="E641" s="22"/>
      <c r="F641" s="22"/>
    </row>
    <row r="642" spans="1:6" ht="14.5">
      <c r="A642" s="28">
        <v>44476</v>
      </c>
      <c r="B642" s="22">
        <v>40</v>
      </c>
      <c r="C642" s="22"/>
      <c r="D642" s="22"/>
      <c r="E642" s="22"/>
      <c r="F642" s="22"/>
    </row>
    <row r="643" spans="1:6" ht="14.5">
      <c r="A643" s="28">
        <v>44477</v>
      </c>
      <c r="B643" s="22">
        <v>40</v>
      </c>
      <c r="C643" s="22"/>
      <c r="D643" s="22"/>
      <c r="E643" s="22"/>
      <c r="F643" s="22"/>
    </row>
    <row r="644" spans="1:6" ht="14.5">
      <c r="A644" s="28">
        <v>44478</v>
      </c>
      <c r="B644" s="22">
        <v>40</v>
      </c>
      <c r="C644" s="22"/>
      <c r="D644" s="22"/>
      <c r="E644" s="22"/>
      <c r="F644" s="22"/>
    </row>
    <row r="645" spans="1:6" ht="14.5">
      <c r="A645" s="28">
        <v>44479</v>
      </c>
      <c r="B645" s="22">
        <v>40</v>
      </c>
      <c r="C645" s="22"/>
      <c r="D645" s="22"/>
      <c r="E645" s="22"/>
      <c r="F645" s="22"/>
    </row>
    <row r="646" spans="1:6" ht="14.5">
      <c r="A646" s="28">
        <v>44480</v>
      </c>
      <c r="B646" s="22">
        <v>41</v>
      </c>
      <c r="C646" s="22"/>
      <c r="D646" s="22"/>
      <c r="E646" s="22"/>
      <c r="F646" s="22"/>
    </row>
    <row r="647" spans="1:6" ht="14.5">
      <c r="A647" s="28">
        <v>44481</v>
      </c>
      <c r="B647" s="22">
        <v>41</v>
      </c>
      <c r="C647" s="22"/>
      <c r="D647" s="22"/>
      <c r="E647" s="22"/>
      <c r="F647" s="22"/>
    </row>
    <row r="648" spans="1:6" ht="14.5">
      <c r="A648" s="28">
        <v>44482</v>
      </c>
      <c r="B648" s="22">
        <v>41</v>
      </c>
      <c r="C648" s="22"/>
      <c r="D648" s="22"/>
      <c r="E648" s="22"/>
      <c r="F648" s="22"/>
    </row>
    <row r="649" spans="1:6" ht="14.5">
      <c r="A649" s="28">
        <v>44483</v>
      </c>
      <c r="B649" s="22">
        <v>41</v>
      </c>
      <c r="C649" s="22"/>
      <c r="D649" s="22"/>
      <c r="E649" s="22"/>
      <c r="F649" s="22"/>
    </row>
    <row r="650" spans="1:6" ht="14.5">
      <c r="A650" s="28">
        <v>44484</v>
      </c>
      <c r="B650" s="22">
        <v>41</v>
      </c>
      <c r="C650" s="22"/>
      <c r="D650" s="22"/>
      <c r="E650" s="22"/>
      <c r="F650" s="22"/>
    </row>
    <row r="651" spans="1:6" ht="14.5">
      <c r="A651" s="28">
        <v>44485</v>
      </c>
      <c r="B651" s="22">
        <v>41</v>
      </c>
      <c r="C651" s="22"/>
      <c r="D651" s="22"/>
      <c r="E651" s="22"/>
      <c r="F651" s="22"/>
    </row>
    <row r="652" spans="1:6" ht="14.5">
      <c r="A652" s="28">
        <v>44486</v>
      </c>
      <c r="B652" s="22">
        <v>41</v>
      </c>
      <c r="C652" s="22"/>
      <c r="D652" s="22"/>
      <c r="E652" s="22"/>
      <c r="F652" s="22"/>
    </row>
    <row r="653" spans="1:6" ht="14.5">
      <c r="A653" s="28">
        <v>44487</v>
      </c>
      <c r="B653" s="22">
        <v>42</v>
      </c>
      <c r="C653" s="22"/>
      <c r="D653" s="22"/>
      <c r="E653" s="22"/>
      <c r="F653" s="22"/>
    </row>
    <row r="654" spans="1:6" ht="14.5">
      <c r="A654" s="28">
        <v>44488</v>
      </c>
      <c r="B654" s="22">
        <v>42</v>
      </c>
      <c r="C654" s="22"/>
      <c r="D654" s="22"/>
      <c r="E654" s="22"/>
      <c r="F654" s="22"/>
    </row>
    <row r="655" spans="1:6" ht="14.5">
      <c r="A655" s="28">
        <v>44489</v>
      </c>
      <c r="B655" s="22">
        <v>42</v>
      </c>
      <c r="C655" s="22"/>
      <c r="D655" s="22"/>
      <c r="E655" s="22"/>
      <c r="F655" s="22"/>
    </row>
    <row r="656" spans="1:6" ht="14.5">
      <c r="A656" s="28">
        <v>44490</v>
      </c>
      <c r="B656" s="22">
        <v>42</v>
      </c>
      <c r="C656" s="22"/>
      <c r="D656" s="22"/>
      <c r="E656" s="22"/>
      <c r="F656" s="22"/>
    </row>
    <row r="657" spans="1:6" ht="14.5">
      <c r="A657" s="28">
        <v>44491</v>
      </c>
      <c r="B657" s="22">
        <v>42</v>
      </c>
      <c r="C657" s="22"/>
      <c r="D657" s="22"/>
      <c r="E657" s="22"/>
      <c r="F657" s="22"/>
    </row>
    <row r="658" spans="1:6" ht="14.5">
      <c r="A658" s="28">
        <v>44492</v>
      </c>
      <c r="B658" s="22">
        <v>42</v>
      </c>
      <c r="C658" s="22"/>
      <c r="D658" s="22"/>
      <c r="E658" s="22"/>
      <c r="F658" s="22"/>
    </row>
    <row r="659" spans="1:6" ht="14.5">
      <c r="A659" s="28">
        <v>44493</v>
      </c>
      <c r="B659" s="22">
        <v>42</v>
      </c>
      <c r="C659" s="22"/>
      <c r="D659" s="22"/>
      <c r="E659" s="22"/>
      <c r="F659" s="22"/>
    </row>
    <row r="660" spans="1:6" ht="14.5">
      <c r="A660" s="28">
        <v>44494</v>
      </c>
      <c r="B660" s="22">
        <v>43</v>
      </c>
      <c r="C660" s="22"/>
      <c r="D660" s="22"/>
      <c r="E660" s="22"/>
      <c r="F660" s="22"/>
    </row>
    <row r="661" spans="1:6" ht="14.5">
      <c r="A661" s="28">
        <v>44495</v>
      </c>
      <c r="B661" s="22">
        <v>43</v>
      </c>
      <c r="C661" s="22"/>
      <c r="D661" s="22"/>
      <c r="E661" s="22"/>
      <c r="F661" s="22"/>
    </row>
    <row r="662" spans="1:6" ht="14.5">
      <c r="A662" s="28">
        <v>44496</v>
      </c>
      <c r="B662" s="22">
        <v>43</v>
      </c>
      <c r="C662" s="22"/>
      <c r="D662" s="22"/>
      <c r="E662" s="22"/>
      <c r="F662" s="22"/>
    </row>
    <row r="663" spans="1:6" ht="14.5">
      <c r="A663" s="28">
        <v>44497</v>
      </c>
      <c r="B663" s="22">
        <v>43</v>
      </c>
      <c r="C663" s="22"/>
      <c r="D663" s="22"/>
      <c r="E663" s="22"/>
      <c r="F663" s="22"/>
    </row>
    <row r="664" spans="1:6" ht="14.5">
      <c r="A664" s="28">
        <v>44498</v>
      </c>
      <c r="B664" s="22">
        <v>43</v>
      </c>
      <c r="C664" s="22"/>
      <c r="D664" s="22"/>
      <c r="E664" s="22"/>
      <c r="F664" s="22"/>
    </row>
    <row r="665" spans="1:6" ht="14.5">
      <c r="A665" s="28">
        <v>44499</v>
      </c>
      <c r="B665" s="22">
        <v>43</v>
      </c>
      <c r="C665" s="22"/>
      <c r="D665" s="22"/>
      <c r="E665" s="22"/>
      <c r="F665" s="22"/>
    </row>
    <row r="666" spans="1:6" ht="14.5">
      <c r="A666" s="28">
        <v>44500</v>
      </c>
      <c r="B666" s="22">
        <v>43</v>
      </c>
      <c r="C666" s="22"/>
      <c r="D666" s="22"/>
      <c r="E666" s="22"/>
      <c r="F666" s="22"/>
    </row>
    <row r="667" spans="1:6" ht="14.5">
      <c r="A667" s="28">
        <v>44501</v>
      </c>
      <c r="B667" s="22">
        <v>44</v>
      </c>
      <c r="C667" s="22"/>
      <c r="D667" s="22"/>
      <c r="E667" s="22"/>
      <c r="F667" s="22"/>
    </row>
    <row r="668" spans="1:6" ht="14.5">
      <c r="A668" s="28">
        <v>44502</v>
      </c>
      <c r="B668" s="22">
        <v>44</v>
      </c>
      <c r="C668" s="22"/>
      <c r="D668" s="22"/>
      <c r="E668" s="22"/>
      <c r="F668" s="22"/>
    </row>
    <row r="669" spans="1:6" ht="14.5">
      <c r="A669" s="28">
        <v>44503</v>
      </c>
      <c r="B669" s="22">
        <v>44</v>
      </c>
      <c r="C669" s="22"/>
      <c r="D669" s="22"/>
      <c r="E669" s="22"/>
      <c r="F669" s="22"/>
    </row>
    <row r="670" spans="1:6" ht="14.5">
      <c r="A670" s="28">
        <v>44504</v>
      </c>
      <c r="B670" s="22">
        <v>44</v>
      </c>
      <c r="C670" s="22"/>
      <c r="D670" s="22"/>
      <c r="E670" s="22"/>
      <c r="F670" s="22"/>
    </row>
    <row r="671" spans="1:6" ht="14.5">
      <c r="A671" s="28">
        <v>44505</v>
      </c>
      <c r="B671" s="22">
        <v>44</v>
      </c>
      <c r="C671" s="22"/>
      <c r="D671" s="22"/>
      <c r="E671" s="22"/>
      <c r="F671" s="22"/>
    </row>
    <row r="672" spans="1:6" ht="14.5">
      <c r="A672" s="28">
        <v>44506</v>
      </c>
      <c r="B672" s="22">
        <v>44</v>
      </c>
      <c r="C672" s="22"/>
      <c r="D672" s="22"/>
      <c r="E672" s="22"/>
      <c r="F672" s="22"/>
    </row>
    <row r="673" spans="1:6" ht="14.5">
      <c r="A673" s="28">
        <v>44507</v>
      </c>
      <c r="B673" s="22">
        <v>44</v>
      </c>
      <c r="C673" s="22"/>
      <c r="D673" s="22"/>
      <c r="E673" s="22"/>
      <c r="F673" s="22"/>
    </row>
    <row r="674" spans="1:6" ht="14.5">
      <c r="A674" s="28">
        <v>44508</v>
      </c>
      <c r="B674" s="22">
        <v>45</v>
      </c>
      <c r="C674" s="22"/>
      <c r="D674" s="22"/>
      <c r="E674" s="22"/>
      <c r="F674" s="22"/>
    </row>
    <row r="675" spans="1:6" ht="14.5">
      <c r="A675" s="28">
        <v>44509</v>
      </c>
      <c r="B675" s="22">
        <v>45</v>
      </c>
      <c r="C675" s="22"/>
      <c r="D675" s="22"/>
      <c r="E675" s="22"/>
      <c r="F675" s="22"/>
    </row>
    <row r="676" spans="1:6" ht="14.5">
      <c r="A676" s="28">
        <v>44510</v>
      </c>
      <c r="B676" s="22">
        <v>45</v>
      </c>
      <c r="C676" s="22"/>
      <c r="D676" s="22"/>
      <c r="E676" s="22"/>
      <c r="F676" s="22"/>
    </row>
    <row r="677" spans="1:6" ht="14.5">
      <c r="A677" s="28">
        <v>44511</v>
      </c>
      <c r="B677" s="22">
        <v>45</v>
      </c>
      <c r="C677" s="22"/>
      <c r="D677" s="22"/>
      <c r="E677" s="22"/>
      <c r="F677" s="22"/>
    </row>
    <row r="678" spans="1:6" ht="14.5">
      <c r="A678" s="28">
        <v>44512</v>
      </c>
      <c r="B678" s="22">
        <v>45</v>
      </c>
      <c r="C678" s="22"/>
      <c r="D678" s="22"/>
      <c r="E678" s="22"/>
      <c r="F678" s="22"/>
    </row>
    <row r="679" spans="1:6" ht="14.5">
      <c r="A679" s="28">
        <v>44513</v>
      </c>
      <c r="B679" s="22">
        <v>45</v>
      </c>
      <c r="C679" s="22"/>
      <c r="D679" s="22"/>
      <c r="E679" s="22"/>
      <c r="F679" s="22"/>
    </row>
    <row r="680" spans="1:6" ht="14.5">
      <c r="A680" s="28">
        <v>44514</v>
      </c>
      <c r="B680" s="22">
        <v>45</v>
      </c>
      <c r="C680" s="22"/>
      <c r="D680" s="22"/>
      <c r="E680" s="22"/>
      <c r="F680" s="22"/>
    </row>
    <row r="681" spans="1:6" ht="14.5">
      <c r="A681" s="28">
        <v>44515</v>
      </c>
      <c r="B681" s="22">
        <v>46</v>
      </c>
      <c r="C681" s="22"/>
      <c r="D681" s="22"/>
      <c r="E681" s="22"/>
      <c r="F681" s="22"/>
    </row>
    <row r="682" spans="1:6" ht="14.5">
      <c r="A682" s="28">
        <v>44516</v>
      </c>
      <c r="B682" s="22">
        <v>46</v>
      </c>
      <c r="C682" s="22"/>
      <c r="D682" s="22"/>
      <c r="E682" s="22"/>
      <c r="F682" s="22"/>
    </row>
    <row r="683" spans="1:6" ht="14.5">
      <c r="A683" s="28">
        <v>44517</v>
      </c>
      <c r="B683" s="22">
        <v>46</v>
      </c>
      <c r="C683" s="22"/>
      <c r="D683" s="22"/>
      <c r="E683" s="22"/>
      <c r="F683" s="22"/>
    </row>
    <row r="684" spans="1:6" ht="14.5">
      <c r="A684" s="28">
        <v>44518</v>
      </c>
      <c r="B684" s="22">
        <v>46</v>
      </c>
      <c r="C684" s="22"/>
      <c r="D684" s="22"/>
      <c r="E684" s="22"/>
      <c r="F684" s="22"/>
    </row>
    <row r="685" spans="1:6" ht="14.5">
      <c r="A685" s="28">
        <v>44519</v>
      </c>
      <c r="B685" s="22">
        <v>46</v>
      </c>
      <c r="C685" s="22"/>
      <c r="D685" s="22"/>
      <c r="E685" s="22"/>
      <c r="F685" s="22"/>
    </row>
    <row r="686" spans="1:6" ht="14.5">
      <c r="A686" s="28">
        <v>44520</v>
      </c>
      <c r="B686" s="22">
        <v>46</v>
      </c>
      <c r="C686" s="22"/>
      <c r="D686" s="22"/>
      <c r="E686" s="22"/>
      <c r="F686" s="22"/>
    </row>
    <row r="687" spans="1:6" ht="14.5">
      <c r="A687" s="28">
        <v>44521</v>
      </c>
      <c r="B687" s="22">
        <v>46</v>
      </c>
      <c r="C687" s="22"/>
      <c r="D687" s="22"/>
      <c r="E687" s="22"/>
      <c r="F687" s="22"/>
    </row>
    <row r="688" spans="1:6" ht="14.5">
      <c r="A688" s="28">
        <v>44522</v>
      </c>
      <c r="B688" s="22">
        <v>47</v>
      </c>
      <c r="C688" s="22"/>
      <c r="D688" s="22"/>
      <c r="E688" s="22"/>
      <c r="F688" s="22"/>
    </row>
    <row r="689" spans="1:6" ht="14.5">
      <c r="A689" s="28">
        <v>44523</v>
      </c>
      <c r="B689" s="22">
        <v>47</v>
      </c>
      <c r="C689" s="22"/>
      <c r="D689" s="22"/>
      <c r="E689" s="22"/>
      <c r="F689" s="22"/>
    </row>
    <row r="690" spans="1:6" ht="14.5">
      <c r="A690" s="28">
        <v>44524</v>
      </c>
      <c r="B690" s="22">
        <v>47</v>
      </c>
      <c r="C690" s="22"/>
      <c r="D690" s="22"/>
      <c r="E690" s="22"/>
      <c r="F690" s="22"/>
    </row>
    <row r="691" spans="1:6" ht="14.5">
      <c r="A691" s="28">
        <v>44525</v>
      </c>
      <c r="B691" s="22">
        <v>47</v>
      </c>
      <c r="C691" s="22"/>
      <c r="D691" s="22"/>
      <c r="E691" s="22"/>
      <c r="F691" s="22"/>
    </row>
    <row r="692" spans="1:6" ht="14.5">
      <c r="A692" s="28">
        <v>44526</v>
      </c>
      <c r="B692" s="22">
        <v>47</v>
      </c>
      <c r="C692" s="22"/>
      <c r="D692" s="22"/>
      <c r="E692" s="22"/>
      <c r="F692" s="22"/>
    </row>
    <row r="693" spans="1:6" ht="14.5">
      <c r="A693" s="28">
        <v>44527</v>
      </c>
      <c r="B693" s="22">
        <v>47</v>
      </c>
      <c r="C693" s="22"/>
      <c r="D693" s="22"/>
      <c r="E693" s="22"/>
      <c r="F693" s="22"/>
    </row>
    <row r="694" spans="1:6" ht="14.5">
      <c r="A694" s="28">
        <v>44528</v>
      </c>
      <c r="B694" s="22">
        <v>47</v>
      </c>
      <c r="C694" s="22"/>
      <c r="D694" s="22"/>
      <c r="E694" s="22"/>
      <c r="F694" s="22"/>
    </row>
    <row r="695" spans="1:6" ht="14.5">
      <c r="A695" s="28">
        <v>44529</v>
      </c>
      <c r="B695" s="22">
        <v>48</v>
      </c>
      <c r="C695" s="22"/>
      <c r="D695" s="22"/>
      <c r="E695" s="22"/>
      <c r="F695" s="22"/>
    </row>
    <row r="696" spans="1:6" ht="14.5">
      <c r="A696" s="28">
        <v>44530</v>
      </c>
      <c r="B696" s="22">
        <v>48</v>
      </c>
      <c r="C696" s="22"/>
      <c r="D696" s="22"/>
      <c r="E696" s="22"/>
      <c r="F696" s="22"/>
    </row>
    <row r="697" spans="1:6" ht="14.5">
      <c r="A697" s="28">
        <v>44531</v>
      </c>
      <c r="B697" s="22">
        <v>48</v>
      </c>
      <c r="C697" s="22"/>
      <c r="D697" s="22"/>
      <c r="E697" s="22"/>
      <c r="F697" s="22"/>
    </row>
    <row r="698" spans="1:6" ht="14.5">
      <c r="A698" s="28">
        <v>44532</v>
      </c>
      <c r="B698" s="22">
        <v>48</v>
      </c>
      <c r="C698" s="22"/>
      <c r="D698" s="22"/>
      <c r="E698" s="22"/>
      <c r="F698" s="22"/>
    </row>
    <row r="699" spans="1:6" ht="14.5">
      <c r="A699" s="28">
        <v>44533</v>
      </c>
      <c r="B699" s="22">
        <v>48</v>
      </c>
      <c r="C699" s="22"/>
      <c r="D699" s="22"/>
      <c r="E699" s="22"/>
      <c r="F699" s="22"/>
    </row>
    <row r="700" spans="1:6" ht="14.5">
      <c r="A700" s="28">
        <v>44534</v>
      </c>
      <c r="B700" s="22">
        <v>48</v>
      </c>
      <c r="C700" s="22"/>
      <c r="D700" s="22"/>
      <c r="E700" s="22"/>
      <c r="F700" s="22"/>
    </row>
    <row r="701" spans="1:6" ht="14.5">
      <c r="A701" s="28">
        <v>44535</v>
      </c>
      <c r="B701" s="22">
        <v>48</v>
      </c>
      <c r="C701" s="22"/>
      <c r="D701" s="22"/>
      <c r="E701" s="22"/>
      <c r="F701" s="22"/>
    </row>
    <row r="702" spans="1:6" ht="14.5">
      <c r="A702" s="28">
        <v>44536</v>
      </c>
      <c r="B702" s="22">
        <v>49</v>
      </c>
      <c r="C702" s="22"/>
      <c r="D702" s="22"/>
      <c r="E702" s="22"/>
      <c r="F702" s="22"/>
    </row>
    <row r="703" spans="1:6" ht="14.5">
      <c r="A703" s="28">
        <v>44537</v>
      </c>
      <c r="B703" s="22">
        <v>49</v>
      </c>
      <c r="C703" s="22"/>
      <c r="D703" s="22"/>
      <c r="E703" s="22"/>
      <c r="F703" s="22"/>
    </row>
    <row r="704" spans="1:6" ht="14.5">
      <c r="A704" s="28">
        <v>44538</v>
      </c>
      <c r="B704" s="22">
        <v>49</v>
      </c>
      <c r="C704" s="22"/>
      <c r="D704" s="22"/>
      <c r="E704" s="22"/>
      <c r="F704" s="22"/>
    </row>
    <row r="705" spans="1:6" ht="14.5">
      <c r="A705" s="28">
        <v>44539</v>
      </c>
      <c r="B705" s="22">
        <v>49</v>
      </c>
      <c r="C705" s="22"/>
      <c r="D705" s="22"/>
      <c r="E705" s="22"/>
      <c r="F705" s="22"/>
    </row>
    <row r="706" spans="1:6" ht="14.5">
      <c r="A706" s="28">
        <v>44540</v>
      </c>
      <c r="B706" s="22">
        <v>49</v>
      </c>
      <c r="C706" s="22"/>
      <c r="D706" s="22"/>
      <c r="E706" s="22"/>
      <c r="F706" s="22"/>
    </row>
    <row r="707" spans="1:6" ht="14.5">
      <c r="A707" s="28">
        <v>44541</v>
      </c>
      <c r="B707" s="22">
        <v>49</v>
      </c>
      <c r="C707" s="22"/>
      <c r="D707" s="22"/>
      <c r="E707" s="22"/>
      <c r="F707" s="22"/>
    </row>
    <row r="708" spans="1:6" ht="14.5">
      <c r="A708" s="28">
        <v>44542</v>
      </c>
      <c r="B708" s="22">
        <v>49</v>
      </c>
      <c r="C708" s="22"/>
      <c r="D708" s="22"/>
      <c r="E708" s="22"/>
      <c r="F708" s="22"/>
    </row>
    <row r="709" spans="1:6" ht="14.5">
      <c r="A709" s="28">
        <v>44543</v>
      </c>
      <c r="B709" s="22">
        <v>50</v>
      </c>
      <c r="C709" s="22">
        <v>1</v>
      </c>
      <c r="D709" s="22"/>
      <c r="E709" s="22" t="s">
        <v>234</v>
      </c>
      <c r="F709" s="22"/>
    </row>
    <row r="710" spans="1:6" ht="14.5">
      <c r="A710" s="28">
        <v>44544</v>
      </c>
      <c r="B710" s="22">
        <v>50</v>
      </c>
      <c r="C710" s="22"/>
      <c r="D710" s="22"/>
      <c r="E710" s="22"/>
      <c r="F710" s="22"/>
    </row>
    <row r="711" spans="1:6" ht="14.5">
      <c r="A711" s="28">
        <v>44545</v>
      </c>
      <c r="B711" s="22">
        <v>50</v>
      </c>
      <c r="C711" s="22"/>
      <c r="D711" s="22"/>
      <c r="E711" s="22"/>
      <c r="F711" s="22"/>
    </row>
    <row r="712" spans="1:6" ht="14.5">
      <c r="A712" s="28">
        <v>44546</v>
      </c>
      <c r="B712" s="22">
        <v>50</v>
      </c>
      <c r="C712" s="22"/>
      <c r="D712" s="22"/>
      <c r="E712" s="22"/>
      <c r="F712" s="22"/>
    </row>
    <row r="713" spans="1:6" ht="14.5">
      <c r="A713" s="28">
        <v>44547</v>
      </c>
      <c r="B713" s="22">
        <v>50</v>
      </c>
      <c r="C713" s="22"/>
      <c r="D713" s="22"/>
      <c r="E713" s="22"/>
      <c r="F713" s="22"/>
    </row>
    <row r="714" spans="1:6" ht="14.5">
      <c r="A714" s="28">
        <v>44548</v>
      </c>
      <c r="B714" s="22">
        <v>50</v>
      </c>
      <c r="C714" s="22"/>
      <c r="D714" s="22"/>
      <c r="E714" s="22"/>
      <c r="F714" s="22"/>
    </row>
    <row r="715" spans="1:6" ht="14.5">
      <c r="A715" s="28">
        <v>44549</v>
      </c>
      <c r="B715" s="22">
        <v>50</v>
      </c>
      <c r="C715" s="22"/>
      <c r="D715" s="22"/>
      <c r="E715" s="22"/>
      <c r="F715" s="22"/>
    </row>
    <row r="716" spans="1:6" ht="14.5">
      <c r="A716" s="28">
        <v>44550</v>
      </c>
      <c r="B716" s="22">
        <v>51</v>
      </c>
      <c r="C716" s="22"/>
      <c r="D716" s="22"/>
      <c r="E716" s="22"/>
      <c r="F716" s="22"/>
    </row>
    <row r="717" spans="1:6" ht="14.5">
      <c r="A717" s="28">
        <v>44551</v>
      </c>
      <c r="B717" s="22">
        <v>51</v>
      </c>
      <c r="C717" s="22"/>
      <c r="D717" s="22"/>
      <c r="E717" s="22"/>
      <c r="F717" s="22"/>
    </row>
    <row r="718" spans="1:6" ht="14.5">
      <c r="A718" s="28">
        <v>44552</v>
      </c>
      <c r="B718" s="22">
        <v>51</v>
      </c>
      <c r="C718" s="22"/>
      <c r="D718" s="22"/>
      <c r="E718" s="22"/>
      <c r="F718" s="22"/>
    </row>
    <row r="719" spans="1:6" ht="14.5">
      <c r="A719" s="28">
        <v>44553</v>
      </c>
      <c r="B719" s="22">
        <v>51</v>
      </c>
      <c r="C719" s="22"/>
      <c r="D719" s="22"/>
      <c r="E719" s="22"/>
      <c r="F719" s="22"/>
    </row>
    <row r="720" spans="1:6" ht="14.5">
      <c r="A720" s="28">
        <v>44554</v>
      </c>
      <c r="B720" s="22">
        <v>51</v>
      </c>
      <c r="C720" s="22"/>
      <c r="D720" s="22"/>
      <c r="E720" s="22"/>
      <c r="F720" s="22"/>
    </row>
    <row r="721" spans="1:6" ht="14.5">
      <c r="A721" s="28">
        <v>44555</v>
      </c>
      <c r="B721" s="22">
        <v>51</v>
      </c>
      <c r="C721" s="22"/>
      <c r="D721" s="22"/>
      <c r="E721" s="22"/>
      <c r="F721" s="22"/>
    </row>
    <row r="722" spans="1:6" ht="14.5">
      <c r="A722" s="28">
        <v>44556</v>
      </c>
      <c r="B722" s="22">
        <v>51</v>
      </c>
      <c r="C722" s="22"/>
      <c r="D722" s="22"/>
      <c r="E722" s="22"/>
      <c r="F722" s="22"/>
    </row>
    <row r="723" spans="1:6" ht="14.5">
      <c r="A723" s="28">
        <v>44557</v>
      </c>
      <c r="B723" s="22">
        <v>52</v>
      </c>
      <c r="C723" s="22"/>
      <c r="D723" s="22"/>
      <c r="E723" s="22"/>
      <c r="F723" s="22"/>
    </row>
    <row r="724" spans="1:6" ht="14.5">
      <c r="A724" s="28">
        <v>44558</v>
      </c>
      <c r="B724" s="22">
        <v>52</v>
      </c>
      <c r="C724" s="22"/>
      <c r="D724" s="22"/>
      <c r="E724" s="22"/>
      <c r="F724" s="22"/>
    </row>
    <row r="725" spans="1:6" ht="14.5">
      <c r="A725" s="28">
        <v>44559</v>
      </c>
      <c r="B725" s="22">
        <v>52</v>
      </c>
      <c r="C725" s="22"/>
      <c r="D725" s="22"/>
      <c r="E725" s="22"/>
      <c r="F725" s="22"/>
    </row>
    <row r="726" spans="1:6" ht="14.5">
      <c r="A726" s="28">
        <v>44560</v>
      </c>
      <c r="B726" s="22">
        <v>52</v>
      </c>
      <c r="C726" s="22"/>
      <c r="D726" s="22"/>
      <c r="E726" s="22"/>
      <c r="F726" s="22"/>
    </row>
    <row r="727" spans="1:6" ht="14.5">
      <c r="A727" s="28">
        <v>44561</v>
      </c>
      <c r="B727" s="22">
        <v>52</v>
      </c>
      <c r="C727" s="22"/>
      <c r="D727" s="22"/>
      <c r="E727" s="22"/>
      <c r="F727" s="22"/>
    </row>
    <row r="728" spans="1:6" ht="14.5">
      <c r="A728" s="28">
        <v>44562</v>
      </c>
      <c r="B728" s="22">
        <v>52</v>
      </c>
      <c r="C728" s="22"/>
      <c r="D728" s="22"/>
      <c r="E728" s="22"/>
      <c r="F728" s="22"/>
    </row>
    <row r="729" spans="1:6" ht="14.5">
      <c r="A729" s="28">
        <v>44563</v>
      </c>
      <c r="B729" s="22">
        <v>52</v>
      </c>
      <c r="C729" s="22"/>
      <c r="D729" s="22"/>
      <c r="E729" s="22"/>
      <c r="F729" s="22"/>
    </row>
    <row r="730" spans="1:6" ht="14.5">
      <c r="A730" s="28">
        <v>44564</v>
      </c>
      <c r="B730" s="22">
        <v>1</v>
      </c>
      <c r="C730" s="22"/>
      <c r="D730" s="22"/>
      <c r="E730" s="22"/>
      <c r="F730" s="22"/>
    </row>
    <row r="731" spans="1:6" ht="14.5">
      <c r="A731" s="28">
        <v>44565</v>
      </c>
      <c r="B731" s="22">
        <v>1</v>
      </c>
      <c r="C731" s="22"/>
      <c r="D731" s="22"/>
      <c r="E731" s="22"/>
      <c r="F731" s="22"/>
    </row>
    <row r="732" spans="1:6" ht="14.5">
      <c r="A732" s="28">
        <v>44566</v>
      </c>
      <c r="B732" s="22">
        <v>1</v>
      </c>
      <c r="C732" s="22"/>
      <c r="D732" s="22"/>
      <c r="E732" s="22"/>
      <c r="F732" s="22"/>
    </row>
    <row r="733" spans="1:6" ht="14.5">
      <c r="A733" s="28">
        <v>44567</v>
      </c>
      <c r="B733" s="22">
        <v>1</v>
      </c>
      <c r="C733" s="22"/>
      <c r="D733" s="22"/>
      <c r="E733" s="22"/>
      <c r="F733" s="22"/>
    </row>
    <row r="734" spans="1:6" ht="14.5">
      <c r="A734" s="28">
        <v>44568</v>
      </c>
      <c r="B734" s="22">
        <v>1</v>
      </c>
      <c r="C734" s="22"/>
      <c r="D734" s="22"/>
      <c r="E734" s="22"/>
      <c r="F734" s="22"/>
    </row>
    <row r="735" spans="1:6" ht="14.5">
      <c r="A735" s="28">
        <v>44569</v>
      </c>
      <c r="B735" s="22">
        <v>1</v>
      </c>
      <c r="C735" s="22"/>
      <c r="D735" s="22"/>
      <c r="E735" s="22"/>
      <c r="F735" s="22"/>
    </row>
    <row r="736" spans="1:6" ht="14.5">
      <c r="A736" s="28">
        <v>44570</v>
      </c>
      <c r="B736" s="22">
        <v>1</v>
      </c>
      <c r="C736" s="22"/>
      <c r="D736" s="22"/>
      <c r="E736" s="22"/>
      <c r="F736" s="22"/>
    </row>
    <row r="737" spans="1:6" ht="14.5">
      <c r="A737" s="28">
        <v>44571</v>
      </c>
      <c r="B737" s="22">
        <v>2</v>
      </c>
      <c r="C737" s="22"/>
      <c r="D737" s="22"/>
      <c r="E737" s="22"/>
      <c r="F737" s="22"/>
    </row>
    <row r="738" spans="1:6" ht="14.5">
      <c r="A738" s="28">
        <v>44572</v>
      </c>
      <c r="B738" s="22">
        <v>2</v>
      </c>
      <c r="C738" s="22">
        <v>1</v>
      </c>
      <c r="D738" s="22"/>
      <c r="E738" s="22" t="s">
        <v>234</v>
      </c>
      <c r="F738" s="22"/>
    </row>
    <row r="739" spans="1:6" ht="14.5">
      <c r="A739" s="28">
        <v>44573</v>
      </c>
      <c r="B739" s="22">
        <v>2</v>
      </c>
      <c r="C739" s="22">
        <v>1</v>
      </c>
      <c r="D739" s="22"/>
      <c r="E739" s="22" t="s">
        <v>242</v>
      </c>
      <c r="F739" s="22"/>
    </row>
    <row r="740" spans="1:6" ht="14.5">
      <c r="A740" s="28">
        <v>44574</v>
      </c>
      <c r="B740" s="22">
        <v>2</v>
      </c>
      <c r="C740" s="22"/>
      <c r="D740" s="22"/>
      <c r="E740" s="22"/>
      <c r="F740" s="22"/>
    </row>
    <row r="741" spans="1:6" ht="14.5">
      <c r="A741" s="28">
        <v>44575</v>
      </c>
      <c r="B741" s="22">
        <v>2</v>
      </c>
      <c r="C741" s="22"/>
      <c r="D741" s="22"/>
      <c r="E741" s="22"/>
      <c r="F741" s="22"/>
    </row>
    <row r="742" spans="1:6" ht="14.5">
      <c r="A742" s="28">
        <v>44576</v>
      </c>
      <c r="B742" s="22">
        <v>2</v>
      </c>
      <c r="C742" s="22"/>
      <c r="D742" s="22"/>
      <c r="E742" s="22"/>
      <c r="F742" s="22"/>
    </row>
    <row r="743" spans="1:6" ht="14.5">
      <c r="A743" s="28">
        <v>44577</v>
      </c>
      <c r="B743" s="22">
        <v>2</v>
      </c>
      <c r="C743" s="22"/>
      <c r="D743" s="22"/>
      <c r="E743" s="22"/>
      <c r="F743" s="22"/>
    </row>
    <row r="744" spans="1:6" ht="14.5">
      <c r="A744" s="28">
        <v>44578</v>
      </c>
      <c r="B744" s="22">
        <v>3</v>
      </c>
      <c r="C744" s="22">
        <f>3+2</f>
        <v>5</v>
      </c>
      <c r="D744" s="22"/>
      <c r="E744" s="22" t="s">
        <v>250</v>
      </c>
      <c r="F744" s="22"/>
    </row>
    <row r="745" spans="1:6" ht="14.5">
      <c r="A745" s="28">
        <v>44579</v>
      </c>
      <c r="B745" s="22">
        <v>3</v>
      </c>
      <c r="C745" s="22">
        <v>3</v>
      </c>
      <c r="D745" s="22"/>
      <c r="E745" s="22" t="s">
        <v>243</v>
      </c>
      <c r="F745" s="22"/>
    </row>
    <row r="746" spans="1:6" ht="14.5">
      <c r="A746" s="28">
        <v>44580</v>
      </c>
      <c r="B746" s="22">
        <v>3</v>
      </c>
      <c r="C746" s="22">
        <f>2+2</f>
        <v>4</v>
      </c>
      <c r="D746" s="22"/>
      <c r="E746" s="22" t="s">
        <v>249</v>
      </c>
      <c r="F746" s="22"/>
    </row>
    <row r="747" spans="1:6" ht="14.5">
      <c r="A747" s="28">
        <v>44581</v>
      </c>
      <c r="B747" s="22">
        <v>3</v>
      </c>
      <c r="C747" s="22"/>
      <c r="D747" s="22"/>
      <c r="E747" s="22"/>
      <c r="F747" s="22"/>
    </row>
    <row r="748" spans="1:6" ht="14.5">
      <c r="A748" s="28">
        <v>44582</v>
      </c>
      <c r="B748" s="22">
        <v>3</v>
      </c>
      <c r="C748" s="22"/>
      <c r="D748" s="22"/>
      <c r="E748" s="22"/>
      <c r="F748" s="22"/>
    </row>
    <row r="749" spans="1:6" ht="14.5">
      <c r="A749" s="28">
        <v>44583</v>
      </c>
      <c r="B749" s="22">
        <v>3</v>
      </c>
      <c r="C749" s="22"/>
      <c r="D749" s="22"/>
      <c r="E749" s="22"/>
      <c r="F749" s="22"/>
    </row>
    <row r="750" spans="1:6" ht="14.5">
      <c r="A750" s="28">
        <v>44584</v>
      </c>
      <c r="B750" s="22">
        <v>3</v>
      </c>
      <c r="C750" s="22"/>
      <c r="D750" s="22"/>
      <c r="E750" s="22"/>
      <c r="F750" s="22"/>
    </row>
    <row r="751" spans="1:6" ht="14.5">
      <c r="A751" s="28">
        <v>44585</v>
      </c>
      <c r="B751" s="22">
        <v>4</v>
      </c>
      <c r="C751" s="22"/>
      <c r="D751" s="22"/>
      <c r="E751" s="22"/>
      <c r="F751" s="22"/>
    </row>
    <row r="752" spans="1:6" ht="14.5">
      <c r="A752" s="28">
        <v>44586</v>
      </c>
      <c r="B752" s="22">
        <v>4</v>
      </c>
      <c r="C752" s="22">
        <f>8+7</f>
        <v>15</v>
      </c>
      <c r="D752" s="22"/>
      <c r="E752" s="22" t="s">
        <v>251</v>
      </c>
      <c r="F752" s="22"/>
    </row>
    <row r="753" spans="1:6" ht="14.5">
      <c r="A753" s="28">
        <v>44587</v>
      </c>
      <c r="B753" s="22">
        <v>4</v>
      </c>
      <c r="C753" s="22"/>
      <c r="D753" s="22"/>
      <c r="E753" s="22"/>
      <c r="F753" s="22"/>
    </row>
    <row r="754" spans="1:6" ht="14.5">
      <c r="A754" s="28">
        <v>44588</v>
      </c>
      <c r="B754" s="22">
        <v>4</v>
      </c>
      <c r="C754" s="22">
        <f>5+7</f>
        <v>12</v>
      </c>
      <c r="D754" s="22"/>
      <c r="E754" s="22" t="s">
        <v>252</v>
      </c>
      <c r="F754" s="22"/>
    </row>
    <row r="755" spans="1:6" ht="14.5">
      <c r="A755" s="28">
        <v>44589</v>
      </c>
      <c r="B755" s="22">
        <v>4</v>
      </c>
      <c r="C755" s="22">
        <f>7+2</f>
        <v>9</v>
      </c>
      <c r="D755" s="22">
        <f>2</f>
        <v>2</v>
      </c>
      <c r="E755" s="22" t="s">
        <v>253</v>
      </c>
      <c r="F755" s="22" t="s">
        <v>235</v>
      </c>
    </row>
    <row r="756" spans="1:6" ht="14.5">
      <c r="A756" s="28">
        <v>44590</v>
      </c>
      <c r="B756" s="22">
        <v>4</v>
      </c>
      <c r="C756" s="22"/>
      <c r="D756" s="22"/>
      <c r="E756" s="22"/>
      <c r="F756" s="22"/>
    </row>
    <row r="757" spans="1:6" ht="14.5">
      <c r="A757" s="28">
        <v>44591</v>
      </c>
      <c r="B757" s="22">
        <v>4</v>
      </c>
      <c r="C757" s="22"/>
      <c r="D757" s="22"/>
      <c r="E757" s="22"/>
      <c r="F757" s="22"/>
    </row>
    <row r="758" spans="1:6" ht="14.5">
      <c r="A758" s="28">
        <v>44592</v>
      </c>
      <c r="B758" s="22">
        <v>5</v>
      </c>
      <c r="C758" s="22">
        <f>1+3</f>
        <v>4</v>
      </c>
      <c r="D758" s="22"/>
      <c r="E758" s="22" t="s">
        <v>254</v>
      </c>
      <c r="F758" s="22"/>
    </row>
    <row r="759" spans="1:6" ht="14.5">
      <c r="A759" s="49">
        <v>44593</v>
      </c>
      <c r="B759" s="52">
        <v>5</v>
      </c>
      <c r="C759" s="52">
        <f>12+3</f>
        <v>15</v>
      </c>
      <c r="D759" s="52"/>
      <c r="E759" s="22" t="s">
        <v>255</v>
      </c>
      <c r="F759" s="52"/>
    </row>
    <row r="760" spans="1:6" ht="14.5">
      <c r="A760" s="49">
        <v>44594</v>
      </c>
      <c r="B760" s="52">
        <v>5</v>
      </c>
      <c r="C760" s="52"/>
      <c r="D760" s="52"/>
      <c r="E760" s="52"/>
      <c r="F760" s="52"/>
    </row>
    <row r="761" spans="1:6" ht="14.5">
      <c r="A761" s="49">
        <v>44595</v>
      </c>
      <c r="B761" s="52">
        <v>5</v>
      </c>
      <c r="C761" s="52"/>
      <c r="D761" s="52"/>
      <c r="E761" s="52"/>
      <c r="F761" s="52"/>
    </row>
    <row r="762" spans="1:6" ht="14.5">
      <c r="A762" s="49">
        <v>44596</v>
      </c>
      <c r="B762" s="52">
        <v>5</v>
      </c>
      <c r="C762" s="52">
        <f>5+3</f>
        <v>8</v>
      </c>
      <c r="D762" s="52">
        <f>1+1</f>
        <v>2</v>
      </c>
      <c r="E762" s="22" t="s">
        <v>256</v>
      </c>
      <c r="F762" s="22" t="s">
        <v>257</v>
      </c>
    </row>
    <row r="763" spans="1:6" ht="14.5">
      <c r="A763" s="49">
        <v>44597</v>
      </c>
      <c r="B763" s="52">
        <v>5</v>
      </c>
      <c r="C763" s="52"/>
      <c r="D763" s="52"/>
      <c r="E763" s="52"/>
      <c r="F763" s="52"/>
    </row>
    <row r="764" spans="1:6" ht="14.5">
      <c r="A764" s="49">
        <v>44598</v>
      </c>
      <c r="B764" s="52">
        <v>5</v>
      </c>
      <c r="C764" s="52"/>
      <c r="D764" s="52"/>
      <c r="E764" s="52"/>
      <c r="F764" s="52"/>
    </row>
    <row r="765" spans="1:6" ht="14.5">
      <c r="A765" s="49">
        <v>44599</v>
      </c>
      <c r="B765" s="52">
        <v>6</v>
      </c>
      <c r="C765" s="52">
        <f>7+2</f>
        <v>9</v>
      </c>
      <c r="D765" s="52"/>
      <c r="E765" s="22" t="s">
        <v>253</v>
      </c>
      <c r="F765" s="52"/>
    </row>
    <row r="766" spans="1:6" ht="14.5">
      <c r="A766" s="49">
        <v>44600</v>
      </c>
      <c r="B766" s="52">
        <v>6</v>
      </c>
      <c r="C766" s="52"/>
      <c r="D766" s="52"/>
      <c r="E766" s="52"/>
      <c r="F766" s="52"/>
    </row>
    <row r="767" spans="1:6" ht="14.5">
      <c r="A767" s="49">
        <v>44601</v>
      </c>
      <c r="B767" s="52">
        <v>6</v>
      </c>
      <c r="C767" s="52">
        <f>9+5</f>
        <v>14</v>
      </c>
      <c r="D767" s="52"/>
      <c r="E767" s="22" t="s">
        <v>258</v>
      </c>
      <c r="F767" s="52"/>
    </row>
    <row r="768" spans="1:6" ht="14.5">
      <c r="A768" s="49">
        <v>44602</v>
      </c>
      <c r="B768" s="52">
        <v>6</v>
      </c>
      <c r="C768" s="52"/>
      <c r="D768" s="52"/>
      <c r="E768" s="52"/>
      <c r="F768" s="52"/>
    </row>
    <row r="769" spans="1:6" ht="14.5">
      <c r="A769" s="49">
        <v>44603</v>
      </c>
      <c r="B769" s="52">
        <v>6</v>
      </c>
      <c r="C769" s="52"/>
      <c r="D769" s="52"/>
      <c r="E769" s="52"/>
      <c r="F769" s="52"/>
    </row>
    <row r="770" spans="1:6" ht="14.5">
      <c r="A770" s="49">
        <v>44604</v>
      </c>
      <c r="B770" s="52">
        <v>6</v>
      </c>
      <c r="C770" s="52"/>
      <c r="D770" s="52"/>
      <c r="E770" s="52"/>
      <c r="F770" s="52"/>
    </row>
    <row r="771" spans="1:6" ht="14.5">
      <c r="A771" s="49">
        <v>44605</v>
      </c>
      <c r="B771" s="52">
        <v>6</v>
      </c>
      <c r="C771" s="52"/>
      <c r="D771" s="52"/>
      <c r="E771" s="52"/>
      <c r="F771" s="52"/>
    </row>
    <row r="772" spans="1:6" ht="14.5">
      <c r="A772" s="49">
        <v>44606</v>
      </c>
      <c r="B772" s="52">
        <v>7</v>
      </c>
      <c r="C772" s="52"/>
      <c r="D772" s="52"/>
      <c r="E772" s="52"/>
      <c r="F772" s="52"/>
    </row>
    <row r="773" spans="1:6" ht="14.5">
      <c r="A773" s="49">
        <v>44607</v>
      </c>
      <c r="B773" s="52">
        <v>7</v>
      </c>
      <c r="C773" s="52">
        <f>5+3</f>
        <v>8</v>
      </c>
      <c r="D773" s="52">
        <v>2</v>
      </c>
      <c r="E773" s="22" t="s">
        <v>256</v>
      </c>
      <c r="F773" s="52" t="s">
        <v>235</v>
      </c>
    </row>
    <row r="774" spans="1:6" ht="14.5">
      <c r="A774" s="49">
        <v>44608</v>
      </c>
      <c r="B774" s="52">
        <v>7</v>
      </c>
      <c r="C774" s="52"/>
      <c r="D774" s="52"/>
      <c r="E774" s="52"/>
      <c r="F774" s="52"/>
    </row>
    <row r="775" spans="1:6" ht="14.5">
      <c r="A775" s="49">
        <v>44609</v>
      </c>
      <c r="B775" s="52">
        <v>7</v>
      </c>
      <c r="C775" s="52">
        <f>10</f>
        <v>10</v>
      </c>
      <c r="D775" s="52"/>
      <c r="E775" s="22" t="s">
        <v>236</v>
      </c>
      <c r="F775" s="52"/>
    </row>
    <row r="776" spans="1:6" ht="14.5">
      <c r="A776" s="49">
        <v>44610</v>
      </c>
      <c r="B776" s="52">
        <v>7</v>
      </c>
      <c r="C776" s="52">
        <f>3+2</f>
        <v>5</v>
      </c>
      <c r="D776" s="52">
        <v>1</v>
      </c>
      <c r="E776" s="22" t="s">
        <v>250</v>
      </c>
      <c r="F776" s="52" t="s">
        <v>241</v>
      </c>
    </row>
    <row r="777" spans="1:6" ht="14.5">
      <c r="A777" s="49">
        <v>44611</v>
      </c>
      <c r="B777" s="52">
        <v>7</v>
      </c>
      <c r="C777" s="52"/>
      <c r="D777" s="52"/>
      <c r="E777" s="52"/>
      <c r="F777" s="52"/>
    </row>
    <row r="778" spans="1:6" ht="14.5">
      <c r="A778" s="49">
        <v>44612</v>
      </c>
      <c r="B778" s="52">
        <v>7</v>
      </c>
      <c r="C778" s="52"/>
      <c r="D778" s="52"/>
      <c r="E778" s="52"/>
      <c r="F778" s="52"/>
    </row>
    <row r="779" spans="1:6" ht="14.5">
      <c r="A779" s="49">
        <v>44613</v>
      </c>
      <c r="B779" s="52">
        <v>8</v>
      </c>
      <c r="C779" s="52"/>
      <c r="D779" s="52"/>
      <c r="E779" s="52"/>
      <c r="F779" s="52"/>
    </row>
    <row r="780" spans="1:6" ht="14.5">
      <c r="A780" s="49">
        <v>44614</v>
      </c>
      <c r="B780" s="52">
        <v>8</v>
      </c>
      <c r="C780" s="52"/>
      <c r="D780" s="52"/>
      <c r="E780" s="52"/>
      <c r="F780" s="52"/>
    </row>
    <row r="781" spans="1:6" ht="14.5">
      <c r="A781" s="49">
        <v>44615</v>
      </c>
      <c r="B781" s="52">
        <v>8</v>
      </c>
      <c r="C781" s="52"/>
      <c r="D781" s="52"/>
      <c r="E781" s="52"/>
      <c r="F781" s="52"/>
    </row>
    <row r="782" spans="1:6" ht="14.5">
      <c r="A782" s="49">
        <v>44616</v>
      </c>
      <c r="B782" s="52">
        <v>8</v>
      </c>
      <c r="C782" s="52"/>
      <c r="D782" s="52"/>
      <c r="E782" s="52"/>
      <c r="F782" s="52"/>
    </row>
    <row r="783" spans="1:6" ht="14.5">
      <c r="A783" s="49">
        <v>44617</v>
      </c>
      <c r="B783" s="52">
        <v>8</v>
      </c>
      <c r="C783" s="52"/>
      <c r="D783" s="52"/>
      <c r="E783" s="52"/>
      <c r="F783" s="52"/>
    </row>
    <row r="784" spans="1:6" ht="14.5">
      <c r="A784" s="49">
        <v>44618</v>
      </c>
      <c r="B784" s="52">
        <v>8</v>
      </c>
      <c r="C784" s="52"/>
      <c r="D784" s="52"/>
      <c r="E784" s="52"/>
      <c r="F784" s="52"/>
    </row>
    <row r="785" spans="1:6" ht="14.5">
      <c r="A785" s="49">
        <v>44619</v>
      </c>
      <c r="B785" s="52">
        <v>8</v>
      </c>
      <c r="C785" s="52"/>
      <c r="D785" s="52"/>
      <c r="E785" s="52"/>
      <c r="F785" s="52"/>
    </row>
    <row r="786" spans="1:6" ht="14.5">
      <c r="A786" s="50">
        <v>44620</v>
      </c>
      <c r="B786" s="52">
        <v>9</v>
      </c>
      <c r="C786" s="52">
        <v>2</v>
      </c>
      <c r="D786" s="52"/>
      <c r="E786" s="52" t="s">
        <v>235</v>
      </c>
      <c r="F786" s="52"/>
    </row>
    <row r="787" spans="1:6" ht="14.5">
      <c r="A787" s="64">
        <v>44621</v>
      </c>
      <c r="B787" s="52">
        <v>9</v>
      </c>
      <c r="C787" s="52">
        <v>3</v>
      </c>
      <c r="D787" s="52">
        <v>2</v>
      </c>
      <c r="E787" s="52" t="s">
        <v>246</v>
      </c>
      <c r="F787" s="52" t="s">
        <v>239</v>
      </c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display="https://www.shizuoka.ac.jp/news/2020/covid-19_portal.html" xr:uid="{00000000-0004-0000-0C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L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50</v>
      </c>
      <c r="B1" s="112"/>
      <c r="C1" s="112"/>
      <c r="D1" s="112"/>
      <c r="E1" s="112"/>
      <c r="F1" s="113"/>
      <c r="G1" s="69" t="s">
        <v>86</v>
      </c>
    </row>
    <row r="2" spans="1:7" ht="31.25" customHeight="1">
      <c r="A2" s="123" t="s">
        <v>259</v>
      </c>
      <c r="B2" s="115"/>
      <c r="C2" s="115"/>
      <c r="D2" s="115"/>
      <c r="E2" s="115"/>
      <c r="F2" s="116"/>
      <c r="G2" s="68"/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7" ht="14.5">
      <c r="A209" s="25">
        <v>44044</v>
      </c>
      <c r="B209" s="26">
        <v>29</v>
      </c>
      <c r="C209" s="22"/>
      <c r="D209" s="22"/>
      <c r="E209" s="22"/>
      <c r="F209" s="22"/>
    </row>
    <row r="210" spans="1:7" ht="14.5">
      <c r="A210" s="25">
        <v>44045</v>
      </c>
      <c r="B210" s="26">
        <v>29</v>
      </c>
      <c r="C210" s="22"/>
      <c r="D210" s="22"/>
      <c r="E210" s="22"/>
      <c r="F210" s="22"/>
    </row>
    <row r="211" spans="1:7" ht="14.5">
      <c r="A211" s="25">
        <v>44046</v>
      </c>
      <c r="B211" s="26">
        <v>30</v>
      </c>
      <c r="C211" s="22"/>
      <c r="D211" s="22"/>
      <c r="E211" s="22"/>
      <c r="F211" s="22"/>
    </row>
    <row r="212" spans="1:7" ht="14.5">
      <c r="A212" s="25">
        <v>44047</v>
      </c>
      <c r="B212" s="26">
        <v>30</v>
      </c>
      <c r="C212" s="22">
        <v>2</v>
      </c>
      <c r="D212" s="22"/>
      <c r="E212" s="22"/>
      <c r="F212" s="22"/>
      <c r="G212" s="55" t="s">
        <v>261</v>
      </c>
    </row>
    <row r="213" spans="1:7" ht="14.5">
      <c r="A213" s="25">
        <v>44048</v>
      </c>
      <c r="B213" s="26">
        <v>30</v>
      </c>
      <c r="C213" s="22"/>
      <c r="D213" s="22"/>
      <c r="E213" s="22"/>
      <c r="F213" s="22"/>
    </row>
    <row r="214" spans="1:7" ht="14.5">
      <c r="A214" s="25">
        <v>44049</v>
      </c>
      <c r="B214" s="26">
        <v>30</v>
      </c>
      <c r="C214" s="22"/>
      <c r="D214" s="22"/>
      <c r="E214" s="22"/>
      <c r="F214" s="22"/>
    </row>
    <row r="215" spans="1:7" ht="14.5">
      <c r="A215" s="25">
        <v>44050</v>
      </c>
      <c r="B215" s="26">
        <v>30</v>
      </c>
      <c r="C215" s="22"/>
      <c r="D215" s="22"/>
      <c r="E215" s="22"/>
      <c r="F215" s="22"/>
    </row>
    <row r="216" spans="1:7" ht="14.5">
      <c r="A216" s="25">
        <v>44051</v>
      </c>
      <c r="B216" s="26">
        <v>30</v>
      </c>
      <c r="C216" s="22"/>
      <c r="D216" s="22"/>
      <c r="E216" s="22"/>
      <c r="F216" s="22"/>
    </row>
    <row r="217" spans="1:7" ht="14.5">
      <c r="A217" s="25">
        <v>44052</v>
      </c>
      <c r="B217" s="26">
        <v>30</v>
      </c>
      <c r="C217" s="22"/>
      <c r="D217" s="22"/>
      <c r="E217" s="22"/>
      <c r="F217" s="22"/>
    </row>
    <row r="218" spans="1:7" ht="14.5">
      <c r="A218" s="25">
        <v>44053</v>
      </c>
      <c r="B218" s="26">
        <v>31</v>
      </c>
      <c r="C218" s="22"/>
      <c r="D218" s="22"/>
      <c r="E218" s="22"/>
      <c r="F218" s="22"/>
    </row>
    <row r="219" spans="1:7" ht="14.5">
      <c r="A219" s="25">
        <v>44054</v>
      </c>
      <c r="B219" s="26">
        <v>31</v>
      </c>
      <c r="C219" s="22"/>
      <c r="D219" s="22"/>
      <c r="E219" s="22"/>
      <c r="F219" s="22"/>
    </row>
    <row r="220" spans="1:7" ht="14.5">
      <c r="A220" s="25">
        <v>44055</v>
      </c>
      <c r="B220" s="26">
        <v>31</v>
      </c>
      <c r="C220" s="22"/>
      <c r="D220" s="22"/>
      <c r="E220" s="22"/>
      <c r="F220" s="22"/>
    </row>
    <row r="221" spans="1:7" ht="14.5">
      <c r="A221" s="25">
        <v>44056</v>
      </c>
      <c r="B221" s="26">
        <v>31</v>
      </c>
      <c r="C221" s="22"/>
      <c r="D221" s="22"/>
      <c r="E221" s="22"/>
      <c r="F221" s="22"/>
    </row>
    <row r="222" spans="1:7" ht="14.5">
      <c r="A222" s="25">
        <v>44057</v>
      </c>
      <c r="B222" s="26">
        <v>31</v>
      </c>
      <c r="C222" s="22"/>
      <c r="D222" s="22"/>
      <c r="E222" s="22"/>
      <c r="F222" s="22"/>
    </row>
    <row r="223" spans="1:7" ht="14.5">
      <c r="A223" s="25">
        <v>44058</v>
      </c>
      <c r="B223" s="26">
        <v>31</v>
      </c>
      <c r="C223" s="22"/>
      <c r="D223" s="22"/>
      <c r="E223" s="22"/>
      <c r="F223" s="22"/>
    </row>
    <row r="224" spans="1:7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>
        <v>3</v>
      </c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>
        <v>1</v>
      </c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  <c r="G234" s="55" t="s">
        <v>260</v>
      </c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>
        <v>2</v>
      </c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7" ht="14.5">
      <c r="A273" s="25">
        <v>44108</v>
      </c>
      <c r="B273" s="26">
        <v>38</v>
      </c>
      <c r="C273" s="22"/>
      <c r="D273" s="22"/>
      <c r="E273" s="22"/>
      <c r="F273" s="22"/>
    </row>
    <row r="274" spans="1:7" ht="14.5">
      <c r="A274" s="25">
        <v>44109</v>
      </c>
      <c r="B274" s="26">
        <v>39</v>
      </c>
      <c r="C274" s="22"/>
      <c r="D274" s="22"/>
      <c r="E274" s="22"/>
      <c r="F274" s="22"/>
    </row>
    <row r="275" spans="1:7" ht="14.5">
      <c r="A275" s="25">
        <v>44110</v>
      </c>
      <c r="B275" s="26">
        <v>39</v>
      </c>
      <c r="C275" s="22">
        <v>2</v>
      </c>
      <c r="D275" s="22"/>
      <c r="E275" s="22"/>
      <c r="F275" s="22"/>
    </row>
    <row r="276" spans="1:7" ht="14.5">
      <c r="A276" s="25">
        <v>44111</v>
      </c>
      <c r="B276" s="26">
        <v>39</v>
      </c>
      <c r="C276" s="22"/>
      <c r="D276" s="22"/>
      <c r="E276" s="22"/>
      <c r="F276" s="22"/>
    </row>
    <row r="277" spans="1:7" ht="14.5">
      <c r="A277" s="25">
        <v>44112</v>
      </c>
      <c r="B277" s="26">
        <v>39</v>
      </c>
      <c r="C277" s="22"/>
      <c r="D277" s="22"/>
      <c r="E277" s="22"/>
      <c r="F277" s="22"/>
    </row>
    <row r="278" spans="1:7" ht="14.5">
      <c r="A278" s="25">
        <v>44113</v>
      </c>
      <c r="B278" s="26">
        <v>39</v>
      </c>
      <c r="C278" s="22"/>
      <c r="D278" s="22"/>
      <c r="E278" s="22"/>
      <c r="F278" s="22"/>
    </row>
    <row r="279" spans="1:7" ht="14.5">
      <c r="A279" s="25">
        <v>44114</v>
      </c>
      <c r="B279" s="26">
        <v>39</v>
      </c>
      <c r="C279" s="22"/>
      <c r="D279" s="22"/>
      <c r="E279" s="22"/>
      <c r="F279" s="22"/>
    </row>
    <row r="280" spans="1:7" ht="14.5">
      <c r="A280" s="25">
        <v>44115</v>
      </c>
      <c r="B280" s="26">
        <v>39</v>
      </c>
      <c r="C280" s="22"/>
      <c r="D280" s="22"/>
      <c r="E280" s="22"/>
      <c r="F280" s="22"/>
    </row>
    <row r="281" spans="1:7" ht="14.5">
      <c r="A281" s="25">
        <v>44116</v>
      </c>
      <c r="B281" s="26">
        <v>40</v>
      </c>
      <c r="C281" s="22"/>
      <c r="D281" s="22"/>
      <c r="E281" s="22"/>
      <c r="F281" s="22"/>
    </row>
    <row r="282" spans="1:7" ht="14.5">
      <c r="A282" s="25">
        <v>44117</v>
      </c>
      <c r="B282" s="26">
        <v>40</v>
      </c>
      <c r="C282" s="22"/>
      <c r="D282" s="22"/>
      <c r="E282" s="22"/>
      <c r="F282" s="22"/>
      <c r="G282" s="55" t="s">
        <v>6</v>
      </c>
    </row>
    <row r="283" spans="1:7" ht="14.5">
      <c r="A283" s="25">
        <v>44118</v>
      </c>
      <c r="B283" s="26">
        <v>40</v>
      </c>
      <c r="C283" s="22"/>
      <c r="D283" s="22"/>
      <c r="E283" s="22"/>
      <c r="F283" s="22"/>
    </row>
    <row r="284" spans="1:7" ht="14.5">
      <c r="A284" s="25">
        <v>44119</v>
      </c>
      <c r="B284" s="26">
        <v>40</v>
      </c>
      <c r="C284" s="22"/>
      <c r="D284" s="22"/>
      <c r="E284" s="22"/>
      <c r="F284" s="22"/>
    </row>
    <row r="285" spans="1:7" ht="14.5">
      <c r="A285" s="25">
        <v>44120</v>
      </c>
      <c r="B285" s="26">
        <v>40</v>
      </c>
      <c r="C285" s="22"/>
      <c r="D285" s="22"/>
      <c r="E285" s="22"/>
      <c r="F285" s="22"/>
    </row>
    <row r="286" spans="1:7" ht="14.5">
      <c r="A286" s="25">
        <v>44121</v>
      </c>
      <c r="B286" s="26">
        <v>40</v>
      </c>
      <c r="C286" s="22"/>
      <c r="D286" s="22"/>
      <c r="E286" s="22"/>
      <c r="F286" s="22"/>
    </row>
    <row r="287" spans="1:7" ht="14.5">
      <c r="A287" s="25">
        <v>44122</v>
      </c>
      <c r="B287" s="26">
        <v>40</v>
      </c>
      <c r="C287" s="22"/>
      <c r="D287" s="22"/>
      <c r="E287" s="22"/>
      <c r="F287" s="22"/>
    </row>
    <row r="288" spans="1:7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>
        <v>1</v>
      </c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>
        <f t="shared" ref="C334:C339" si="0">9/6</f>
        <v>1.5</v>
      </c>
      <c r="D334" s="22"/>
      <c r="E334" s="22"/>
      <c r="F334" s="22"/>
    </row>
    <row r="335" spans="1:6" ht="14.5">
      <c r="A335" s="25">
        <v>44170</v>
      </c>
      <c r="B335" s="26">
        <v>47</v>
      </c>
      <c r="C335" s="22">
        <f t="shared" si="0"/>
        <v>1.5</v>
      </c>
      <c r="D335" s="22"/>
      <c r="E335" s="22"/>
      <c r="F335" s="22"/>
    </row>
    <row r="336" spans="1:6" ht="14.5">
      <c r="A336" s="25">
        <v>44171</v>
      </c>
      <c r="B336" s="26">
        <v>47</v>
      </c>
      <c r="C336" s="22">
        <f t="shared" si="0"/>
        <v>1.5</v>
      </c>
      <c r="D336" s="22"/>
      <c r="E336" s="22"/>
      <c r="F336" s="22"/>
    </row>
    <row r="337" spans="1:6" ht="14.5">
      <c r="A337" s="25">
        <v>44172</v>
      </c>
      <c r="B337" s="26">
        <v>48</v>
      </c>
      <c r="C337" s="22">
        <f t="shared" si="0"/>
        <v>1.5</v>
      </c>
      <c r="D337" s="22"/>
      <c r="E337" s="22"/>
      <c r="F337" s="22"/>
    </row>
    <row r="338" spans="1:6" ht="14.5">
      <c r="A338" s="25">
        <v>44173</v>
      </c>
      <c r="B338" s="26">
        <v>48</v>
      </c>
      <c r="C338" s="22">
        <f t="shared" si="0"/>
        <v>1.5</v>
      </c>
      <c r="D338" s="22"/>
      <c r="E338" s="22"/>
      <c r="F338" s="22"/>
    </row>
    <row r="339" spans="1:6" ht="14.5">
      <c r="A339" s="25">
        <v>44174</v>
      </c>
      <c r="B339" s="26">
        <v>48</v>
      </c>
      <c r="C339" s="22">
        <f t="shared" si="0"/>
        <v>1.5</v>
      </c>
      <c r="D339" s="22"/>
      <c r="E339" s="22"/>
      <c r="F339" s="22"/>
    </row>
    <row r="340" spans="1:6" ht="14.5">
      <c r="A340" s="25">
        <v>44175</v>
      </c>
      <c r="B340" s="26">
        <v>48</v>
      </c>
      <c r="C340" s="22">
        <f t="shared" ref="C340:C346" si="1">9/7</f>
        <v>1.2857142857142858</v>
      </c>
      <c r="D340" s="22"/>
      <c r="E340" s="22"/>
      <c r="F340" s="22"/>
    </row>
    <row r="341" spans="1:6" ht="14.5">
      <c r="A341" s="25">
        <v>44176</v>
      </c>
      <c r="B341" s="26">
        <v>48</v>
      </c>
      <c r="C341" s="22">
        <f t="shared" si="1"/>
        <v>1.2857142857142858</v>
      </c>
      <c r="D341" s="22"/>
      <c r="E341" s="22"/>
      <c r="F341" s="22"/>
    </row>
    <row r="342" spans="1:6" ht="14.5">
      <c r="A342" s="25">
        <v>44177</v>
      </c>
      <c r="B342" s="26">
        <v>48</v>
      </c>
      <c r="C342" s="22">
        <f t="shared" si="1"/>
        <v>1.2857142857142858</v>
      </c>
      <c r="D342" s="22"/>
      <c r="E342" s="22"/>
      <c r="F342" s="22"/>
    </row>
    <row r="343" spans="1:6" ht="14.5">
      <c r="A343" s="25">
        <v>44178</v>
      </c>
      <c r="B343" s="26">
        <v>48</v>
      </c>
      <c r="C343" s="22">
        <f t="shared" si="1"/>
        <v>1.2857142857142858</v>
      </c>
      <c r="D343" s="22"/>
      <c r="E343" s="22"/>
      <c r="F343" s="22"/>
    </row>
    <row r="344" spans="1:6" ht="14.5">
      <c r="A344" s="25">
        <v>44179</v>
      </c>
      <c r="B344" s="26">
        <v>49</v>
      </c>
      <c r="C344" s="22">
        <f t="shared" si="1"/>
        <v>1.2857142857142858</v>
      </c>
      <c r="D344" s="22"/>
      <c r="E344" s="22"/>
      <c r="F344" s="22"/>
    </row>
    <row r="345" spans="1:6" ht="14.5">
      <c r="A345" s="25">
        <v>44180</v>
      </c>
      <c r="B345" s="26">
        <v>49</v>
      </c>
      <c r="C345" s="22">
        <f t="shared" si="1"/>
        <v>1.2857142857142858</v>
      </c>
      <c r="D345" s="22"/>
      <c r="E345" s="22"/>
      <c r="F345" s="22"/>
    </row>
    <row r="346" spans="1:6" ht="14.5">
      <c r="A346" s="25">
        <v>44181</v>
      </c>
      <c r="B346" s="26">
        <v>49</v>
      </c>
      <c r="C346" s="22">
        <f t="shared" si="1"/>
        <v>1.2857142857142858</v>
      </c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1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>
        <v>1</v>
      </c>
      <c r="D348" s="22"/>
      <c r="E348" s="22"/>
      <c r="F348" s="22"/>
    </row>
    <row r="349" spans="1:6" ht="14.5">
      <c r="A349" s="25">
        <v>44184</v>
      </c>
      <c r="B349" s="26">
        <v>49</v>
      </c>
      <c r="C349" s="22">
        <v>1</v>
      </c>
      <c r="D349" s="22"/>
      <c r="E349" s="22"/>
      <c r="F349" s="22"/>
    </row>
    <row r="350" spans="1:6" ht="14.5">
      <c r="A350" s="25">
        <v>44185</v>
      </c>
      <c r="B350" s="26">
        <v>49</v>
      </c>
      <c r="C350" s="22">
        <v>1</v>
      </c>
      <c r="D350" s="22"/>
      <c r="E350" s="22"/>
      <c r="F350" s="22"/>
    </row>
    <row r="351" spans="1:6" ht="14.5">
      <c r="A351" s="25">
        <v>44186</v>
      </c>
      <c r="B351" s="26">
        <v>50</v>
      </c>
      <c r="C351" s="22">
        <v>1</v>
      </c>
      <c r="D351" s="22"/>
      <c r="E351" s="22"/>
      <c r="F351" s="22"/>
    </row>
    <row r="352" spans="1:6" ht="14.5">
      <c r="A352" s="25">
        <v>44187</v>
      </c>
      <c r="B352" s="26">
        <v>50</v>
      </c>
      <c r="C352" s="22">
        <v>2</v>
      </c>
      <c r="D352" s="22"/>
      <c r="E352" s="22"/>
      <c r="F352" s="22"/>
    </row>
    <row r="353" spans="1:6" ht="14.5">
      <c r="A353" s="25">
        <v>44188</v>
      </c>
      <c r="B353" s="26">
        <v>50</v>
      </c>
      <c r="C353" s="22">
        <v>1</v>
      </c>
      <c r="D353" s="22"/>
      <c r="E353" s="22"/>
      <c r="F353" s="22"/>
    </row>
    <row r="354" spans="1:6" ht="14.5">
      <c r="A354" s="25">
        <v>44189</v>
      </c>
      <c r="B354" s="26">
        <v>50</v>
      </c>
      <c r="C354" s="22">
        <v>1</v>
      </c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/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/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>
        <v>1</v>
      </c>
      <c r="D365" s="22"/>
      <c r="E365" s="22"/>
      <c r="F365" s="22"/>
    </row>
    <row r="366" spans="1:6" ht="14.5">
      <c r="A366" s="25">
        <v>44201</v>
      </c>
      <c r="B366" s="26">
        <v>1</v>
      </c>
      <c r="C366" s="22">
        <v>1</v>
      </c>
      <c r="D366" s="22"/>
      <c r="E366" s="22"/>
      <c r="F366" s="22"/>
    </row>
    <row r="367" spans="1:6" ht="14.5">
      <c r="A367" s="25">
        <v>44202</v>
      </c>
      <c r="B367" s="26">
        <v>1</v>
      </c>
      <c r="C367" s="22">
        <v>1</v>
      </c>
      <c r="D367" s="22"/>
      <c r="E367" s="22"/>
      <c r="F367" s="22"/>
    </row>
    <row r="368" spans="1:6" ht="14.5">
      <c r="A368" s="25">
        <v>44203</v>
      </c>
      <c r="B368" s="26">
        <v>1</v>
      </c>
      <c r="C368" s="22"/>
      <c r="D368" s="22"/>
      <c r="E368" s="22"/>
      <c r="F368" s="22"/>
    </row>
    <row r="369" spans="1:6" ht="14.5">
      <c r="A369" s="25">
        <v>44204</v>
      </c>
      <c r="B369" s="26">
        <v>1</v>
      </c>
      <c r="C369" s="22">
        <v>1.5</v>
      </c>
      <c r="D369" s="22"/>
      <c r="E369" s="22"/>
      <c r="F369" s="22"/>
    </row>
    <row r="370" spans="1:6" ht="14.5">
      <c r="A370" s="25">
        <v>44205</v>
      </c>
      <c r="B370" s="26">
        <v>1</v>
      </c>
      <c r="C370" s="22">
        <v>1.5</v>
      </c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/>
      <c r="D373" s="22"/>
      <c r="E373" s="22"/>
      <c r="F373" s="22"/>
    </row>
    <row r="374" spans="1:6" ht="14.5">
      <c r="A374" s="25">
        <v>44209</v>
      </c>
      <c r="B374" s="26">
        <v>2</v>
      </c>
      <c r="C374" s="22"/>
      <c r="D374" s="22"/>
      <c r="E374" s="22"/>
      <c r="F374" s="22"/>
    </row>
    <row r="375" spans="1:6" ht="14.5">
      <c r="A375" s="25">
        <v>44210</v>
      </c>
      <c r="B375" s="26">
        <v>2</v>
      </c>
      <c r="C375" s="22">
        <v>1</v>
      </c>
      <c r="D375" s="22"/>
      <c r="E375" s="22"/>
      <c r="F375" s="22"/>
    </row>
    <row r="376" spans="1:6" ht="14.5">
      <c r="A376" s="25">
        <v>44211</v>
      </c>
      <c r="B376" s="26">
        <v>2</v>
      </c>
      <c r="C376" s="22"/>
      <c r="D376" s="22">
        <v>1</v>
      </c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/>
      <c r="D379" s="22"/>
      <c r="E379" s="22"/>
      <c r="F379" s="22"/>
    </row>
    <row r="380" spans="1:6" ht="14.5">
      <c r="A380" s="25">
        <v>44215</v>
      </c>
      <c r="B380" s="26">
        <v>3</v>
      </c>
      <c r="C380" s="22"/>
      <c r="D380" s="22"/>
      <c r="E380" s="22"/>
      <c r="F380" s="22"/>
    </row>
    <row r="381" spans="1:6" ht="14.5">
      <c r="A381" s="25">
        <v>44216</v>
      </c>
      <c r="B381" s="26">
        <v>3</v>
      </c>
      <c r="C381" s="22"/>
      <c r="D381" s="22"/>
      <c r="E381" s="22"/>
      <c r="F381" s="22"/>
    </row>
    <row r="382" spans="1:6" ht="14.5">
      <c r="A382" s="25">
        <v>44217</v>
      </c>
      <c r="B382" s="26">
        <v>3</v>
      </c>
      <c r="C382" s="22"/>
      <c r="D382" s="22"/>
      <c r="E382" s="22"/>
      <c r="F382" s="22"/>
    </row>
    <row r="383" spans="1:6" ht="14.5">
      <c r="A383" s="25">
        <v>44218</v>
      </c>
      <c r="B383" s="26">
        <v>3</v>
      </c>
      <c r="C383" s="22"/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36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6" ht="14.5">
      <c r="A465" s="25">
        <v>44300</v>
      </c>
      <c r="B465" s="26">
        <v>15</v>
      </c>
      <c r="C465" s="22"/>
      <c r="D465" s="22"/>
      <c r="E465" s="22"/>
      <c r="F465" s="22"/>
    </row>
    <row r="466" spans="1:6" ht="14.5">
      <c r="A466" s="25">
        <v>44301</v>
      </c>
      <c r="B466" s="26">
        <v>15</v>
      </c>
      <c r="C466" s="22"/>
      <c r="D466" s="22"/>
      <c r="E466" s="22"/>
      <c r="F466" s="22"/>
    </row>
    <row r="467" spans="1:6" ht="14.5">
      <c r="A467" s="25">
        <v>44302</v>
      </c>
      <c r="B467" s="26">
        <v>15</v>
      </c>
      <c r="C467" s="22"/>
      <c r="D467" s="22"/>
      <c r="E467" s="22"/>
      <c r="F467" s="22"/>
    </row>
    <row r="468" spans="1:6" ht="14.5">
      <c r="A468" s="25">
        <v>44303</v>
      </c>
      <c r="B468" s="26">
        <v>15</v>
      </c>
      <c r="C468" s="22"/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>
        <v>1</v>
      </c>
      <c r="D470" s="22"/>
      <c r="E470" s="22"/>
      <c r="F470" s="22"/>
    </row>
    <row r="471" spans="1:6" ht="14.5">
      <c r="A471" s="25">
        <v>44306</v>
      </c>
      <c r="B471" s="26">
        <v>16</v>
      </c>
      <c r="C471" s="22">
        <v>1</v>
      </c>
      <c r="D471" s="22"/>
      <c r="E471" s="22"/>
      <c r="F471" s="22"/>
    </row>
    <row r="472" spans="1:6" ht="14.5">
      <c r="A472" s="25">
        <v>44307</v>
      </c>
      <c r="B472" s="26">
        <v>16</v>
      </c>
      <c r="C472" s="22"/>
      <c r="D472" s="22"/>
      <c r="E472" s="22"/>
      <c r="F472" s="22"/>
    </row>
    <row r="473" spans="1:6" ht="14.5">
      <c r="A473" s="25">
        <v>44308</v>
      </c>
      <c r="B473" s="26">
        <v>16</v>
      </c>
      <c r="C473" s="22">
        <f t="shared" ref="C473:C480" si="2">7/8</f>
        <v>0.875</v>
      </c>
      <c r="D473" s="22"/>
      <c r="E473" s="22"/>
      <c r="F473" s="22"/>
    </row>
    <row r="474" spans="1:6" ht="14.5">
      <c r="A474" s="25">
        <v>44309</v>
      </c>
      <c r="B474" s="26">
        <v>16</v>
      </c>
      <c r="C474" s="22">
        <f t="shared" si="2"/>
        <v>0.875</v>
      </c>
      <c r="D474" s="22"/>
      <c r="E474" s="22"/>
      <c r="F474" s="22"/>
    </row>
    <row r="475" spans="1:6" ht="14.5">
      <c r="A475" s="25">
        <v>44310</v>
      </c>
      <c r="B475" s="26">
        <v>16</v>
      </c>
      <c r="C475" s="22">
        <f t="shared" si="2"/>
        <v>0.875</v>
      </c>
      <c r="D475" s="22"/>
      <c r="E475" s="22"/>
      <c r="F475" s="22"/>
    </row>
    <row r="476" spans="1:6" ht="14.5">
      <c r="A476" s="25">
        <v>44311</v>
      </c>
      <c r="B476" s="26">
        <v>16</v>
      </c>
      <c r="C476" s="22">
        <f t="shared" si="2"/>
        <v>0.875</v>
      </c>
      <c r="D476" s="22"/>
      <c r="E476" s="22"/>
      <c r="F476" s="22"/>
    </row>
    <row r="477" spans="1:6" ht="14.5">
      <c r="A477" s="25">
        <v>44312</v>
      </c>
      <c r="B477" s="26">
        <v>17</v>
      </c>
      <c r="C477" s="22">
        <f t="shared" si="2"/>
        <v>0.875</v>
      </c>
      <c r="D477" s="22"/>
      <c r="E477" s="22"/>
      <c r="F477" s="22"/>
    </row>
    <row r="478" spans="1:6" ht="14.5">
      <c r="A478" s="25">
        <v>44313</v>
      </c>
      <c r="B478" s="26">
        <v>17</v>
      </c>
      <c r="C478" s="22">
        <f t="shared" si="2"/>
        <v>0.875</v>
      </c>
      <c r="D478" s="22"/>
      <c r="E478" s="22"/>
      <c r="F478" s="22"/>
    </row>
    <row r="479" spans="1:6" ht="14.5">
      <c r="A479" s="25">
        <v>44314</v>
      </c>
      <c r="B479" s="26">
        <v>17</v>
      </c>
      <c r="C479" s="22">
        <f t="shared" si="2"/>
        <v>0.875</v>
      </c>
      <c r="D479" s="22"/>
      <c r="E479" s="22"/>
      <c r="F479" s="22"/>
    </row>
    <row r="480" spans="1:6" ht="14.5">
      <c r="A480" s="25">
        <v>44315</v>
      </c>
      <c r="B480" s="26">
        <v>17</v>
      </c>
      <c r="C480" s="22">
        <f t="shared" si="2"/>
        <v>0.875</v>
      </c>
      <c r="D480" s="22"/>
      <c r="E480" s="22"/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4.5">
      <c r="A482" s="25">
        <v>44317</v>
      </c>
      <c r="B482" s="26">
        <v>17</v>
      </c>
      <c r="C482" s="22">
        <f t="shared" ref="C482:C484" si="3">(8/3)+(16/12)</f>
        <v>4</v>
      </c>
      <c r="D482" s="22">
        <f t="shared" ref="D482:D493" si="4">1/12</f>
        <v>8.3333333333333329E-2</v>
      </c>
      <c r="E482" s="22"/>
      <c r="F482" s="22"/>
      <c r="G482" s="17"/>
    </row>
    <row r="483" spans="1:7" ht="14.5">
      <c r="A483" s="25">
        <v>44318</v>
      </c>
      <c r="B483" s="26">
        <v>17</v>
      </c>
      <c r="C483" s="22">
        <f t="shared" si="3"/>
        <v>4</v>
      </c>
      <c r="D483" s="22">
        <f t="shared" si="4"/>
        <v>8.3333333333333329E-2</v>
      </c>
      <c r="E483" s="22"/>
      <c r="F483" s="22"/>
    </row>
    <row r="484" spans="1:7" ht="14.5">
      <c r="A484" s="25">
        <v>44319</v>
      </c>
      <c r="B484" s="26">
        <v>18</v>
      </c>
      <c r="C484" s="22">
        <f t="shared" si="3"/>
        <v>4</v>
      </c>
      <c r="D484" s="22">
        <f t="shared" si="4"/>
        <v>8.3333333333333329E-2</v>
      </c>
      <c r="E484" s="22"/>
      <c r="F484" s="22"/>
    </row>
    <row r="485" spans="1:7" ht="14.5">
      <c r="A485" s="25">
        <v>44320</v>
      </c>
      <c r="B485" s="26">
        <v>18</v>
      </c>
      <c r="C485" s="22">
        <f t="shared" ref="C485:C490" si="5">16/12</f>
        <v>1.3333333333333333</v>
      </c>
      <c r="D485" s="22">
        <f t="shared" si="4"/>
        <v>8.3333333333333329E-2</v>
      </c>
      <c r="E485" s="22"/>
      <c r="F485" s="22"/>
    </row>
    <row r="486" spans="1:7" ht="14.5">
      <c r="A486" s="25">
        <v>44321</v>
      </c>
      <c r="B486" s="26">
        <v>18</v>
      </c>
      <c r="C486" s="22">
        <f t="shared" si="5"/>
        <v>1.3333333333333333</v>
      </c>
      <c r="D486" s="22">
        <f t="shared" si="4"/>
        <v>8.3333333333333329E-2</v>
      </c>
      <c r="E486" s="22"/>
      <c r="F486" s="22"/>
    </row>
    <row r="487" spans="1:7" ht="14.5">
      <c r="A487" s="25">
        <v>44322</v>
      </c>
      <c r="B487" s="26">
        <v>18</v>
      </c>
      <c r="C487" s="22">
        <f t="shared" si="5"/>
        <v>1.3333333333333333</v>
      </c>
      <c r="D487" s="22">
        <f t="shared" si="4"/>
        <v>8.3333333333333329E-2</v>
      </c>
      <c r="E487" s="22"/>
      <c r="F487" s="22"/>
    </row>
    <row r="488" spans="1:7" ht="14.5">
      <c r="A488" s="25">
        <v>44323</v>
      </c>
      <c r="B488" s="26">
        <v>18</v>
      </c>
      <c r="C488" s="22">
        <f t="shared" si="5"/>
        <v>1.3333333333333333</v>
      </c>
      <c r="D488" s="22">
        <f t="shared" si="4"/>
        <v>8.3333333333333329E-2</v>
      </c>
      <c r="E488" s="22"/>
      <c r="F488" s="22"/>
    </row>
    <row r="489" spans="1:7" ht="14.5">
      <c r="A489" s="25">
        <v>44324</v>
      </c>
      <c r="B489" s="26">
        <v>18</v>
      </c>
      <c r="C489" s="22">
        <f t="shared" si="5"/>
        <v>1.3333333333333333</v>
      </c>
      <c r="D489" s="22">
        <f t="shared" si="4"/>
        <v>8.3333333333333329E-2</v>
      </c>
      <c r="E489" s="22"/>
      <c r="F489" s="22"/>
    </row>
    <row r="490" spans="1:7" ht="14.5">
      <c r="A490" s="25">
        <v>44325</v>
      </c>
      <c r="B490" s="26">
        <v>18</v>
      </c>
      <c r="C490" s="22">
        <f t="shared" si="5"/>
        <v>1.3333333333333333</v>
      </c>
      <c r="D490" s="22">
        <f t="shared" si="4"/>
        <v>8.3333333333333329E-2</v>
      </c>
      <c r="E490" s="22"/>
      <c r="F490" s="22"/>
    </row>
    <row r="491" spans="1:7" ht="14.5">
      <c r="A491" s="25">
        <v>44326</v>
      </c>
      <c r="B491" s="26">
        <v>19</v>
      </c>
      <c r="C491" s="22">
        <f t="shared" ref="C491:C493" si="6">(16/12)+(11/8)</f>
        <v>2.708333333333333</v>
      </c>
      <c r="D491" s="22">
        <f t="shared" si="4"/>
        <v>8.3333333333333329E-2</v>
      </c>
      <c r="E491" s="22"/>
      <c r="F491" s="22"/>
    </row>
    <row r="492" spans="1:7" ht="14.5">
      <c r="A492" s="25">
        <v>44327</v>
      </c>
      <c r="B492" s="26">
        <v>19</v>
      </c>
      <c r="C492" s="22">
        <f t="shared" si="6"/>
        <v>2.708333333333333</v>
      </c>
      <c r="D492" s="22">
        <f t="shared" si="4"/>
        <v>8.3333333333333329E-2</v>
      </c>
      <c r="E492" s="22"/>
      <c r="F492" s="22"/>
    </row>
    <row r="493" spans="1:7" ht="14.5">
      <c r="A493" s="25">
        <v>44328</v>
      </c>
      <c r="B493" s="26">
        <v>19</v>
      </c>
      <c r="C493" s="22">
        <f t="shared" si="6"/>
        <v>2.708333333333333</v>
      </c>
      <c r="D493" s="22">
        <f t="shared" si="4"/>
        <v>8.3333333333333329E-2</v>
      </c>
      <c r="E493" s="22"/>
      <c r="F493" s="22"/>
    </row>
    <row r="494" spans="1:7" ht="14.5">
      <c r="A494" s="25">
        <v>44329</v>
      </c>
      <c r="B494" s="26">
        <v>19</v>
      </c>
      <c r="C494" s="22">
        <f t="shared" ref="C494:C495" si="7">11/8</f>
        <v>1.375</v>
      </c>
      <c r="D494" s="22"/>
      <c r="E494" s="22"/>
      <c r="F494" s="22"/>
    </row>
    <row r="495" spans="1:7" ht="14.5">
      <c r="A495" s="25">
        <v>44330</v>
      </c>
      <c r="B495" s="26">
        <v>19</v>
      </c>
      <c r="C495" s="22">
        <f t="shared" si="7"/>
        <v>1.375</v>
      </c>
      <c r="D495" s="22"/>
      <c r="E495" s="22"/>
      <c r="F495" s="22"/>
    </row>
    <row r="496" spans="1:7" ht="14.5">
      <c r="A496" s="25">
        <v>44331</v>
      </c>
      <c r="B496" s="26">
        <v>19</v>
      </c>
      <c r="C496" s="22">
        <f t="shared" ref="C496:C498" si="8">(11/8)+(9/8)</f>
        <v>2.5</v>
      </c>
      <c r="D496" s="22"/>
      <c r="E496" s="22"/>
      <c r="F496" s="22"/>
    </row>
    <row r="497" spans="1:6" ht="14.5">
      <c r="A497" s="25">
        <v>44332</v>
      </c>
      <c r="B497" s="26">
        <v>19</v>
      </c>
      <c r="C497" s="22">
        <f t="shared" si="8"/>
        <v>2.5</v>
      </c>
      <c r="D497" s="22"/>
      <c r="E497" s="22"/>
      <c r="F497" s="22"/>
    </row>
    <row r="498" spans="1:6" ht="14.5">
      <c r="A498" s="25">
        <v>44333</v>
      </c>
      <c r="B498" s="26">
        <v>20</v>
      </c>
      <c r="C498" s="22">
        <f t="shared" si="8"/>
        <v>2.5</v>
      </c>
      <c r="D498" s="22"/>
      <c r="E498" s="22"/>
      <c r="F498" s="22"/>
    </row>
    <row r="499" spans="1:6" ht="14.5">
      <c r="A499" s="25">
        <v>44334</v>
      </c>
      <c r="B499" s="26">
        <v>20</v>
      </c>
      <c r="C499" s="22">
        <f t="shared" ref="C499:C504" si="9">9/8</f>
        <v>1.125</v>
      </c>
      <c r="D499" s="22"/>
      <c r="E499" s="22"/>
      <c r="F499" s="22"/>
    </row>
    <row r="500" spans="1:6" ht="14.5">
      <c r="A500" s="25">
        <v>44335</v>
      </c>
      <c r="B500" s="26">
        <v>20</v>
      </c>
      <c r="C500" s="22">
        <f t="shared" si="9"/>
        <v>1.125</v>
      </c>
      <c r="D500" s="22"/>
      <c r="E500" s="22"/>
      <c r="F500" s="22"/>
    </row>
    <row r="501" spans="1:6" ht="14.5">
      <c r="A501" s="25">
        <v>44336</v>
      </c>
      <c r="B501" s="26">
        <v>20</v>
      </c>
      <c r="C501" s="22">
        <f t="shared" si="9"/>
        <v>1.125</v>
      </c>
      <c r="D501" s="22"/>
      <c r="E501" s="22"/>
      <c r="F501" s="22"/>
    </row>
    <row r="502" spans="1:6" ht="14.5">
      <c r="A502" s="25">
        <v>44337</v>
      </c>
      <c r="B502" s="26">
        <v>20</v>
      </c>
      <c r="C502" s="22">
        <f t="shared" si="9"/>
        <v>1.125</v>
      </c>
      <c r="D502" s="22"/>
      <c r="E502" s="22"/>
      <c r="F502" s="22"/>
    </row>
    <row r="503" spans="1:6" ht="14.5">
      <c r="A503" s="25">
        <v>44338</v>
      </c>
      <c r="B503" s="26">
        <v>20</v>
      </c>
      <c r="C503" s="22">
        <f t="shared" si="9"/>
        <v>1.125</v>
      </c>
      <c r="D503" s="22"/>
      <c r="E503" s="22"/>
      <c r="F503" s="22"/>
    </row>
    <row r="504" spans="1:6" ht="14.5">
      <c r="A504" s="25">
        <v>44339</v>
      </c>
      <c r="B504" s="26">
        <v>20</v>
      </c>
      <c r="C504" s="22">
        <f t="shared" si="9"/>
        <v>1.125</v>
      </c>
      <c r="D504" s="22"/>
      <c r="E504" s="22"/>
      <c r="F504" s="22"/>
    </row>
    <row r="505" spans="1:6" ht="14.5">
      <c r="A505" s="25">
        <v>44340</v>
      </c>
      <c r="B505" s="26">
        <v>21</v>
      </c>
      <c r="C505" s="22">
        <f t="shared" ref="C505:C510" si="10">5/6</f>
        <v>0.83333333333333337</v>
      </c>
      <c r="D505" s="22"/>
      <c r="E505" s="22"/>
      <c r="F505" s="22"/>
    </row>
    <row r="506" spans="1:6" ht="14.5">
      <c r="A506" s="25">
        <v>44341</v>
      </c>
      <c r="B506" s="26">
        <v>21</v>
      </c>
      <c r="C506" s="22">
        <f t="shared" si="10"/>
        <v>0.83333333333333337</v>
      </c>
      <c r="D506" s="22"/>
      <c r="E506" s="22"/>
      <c r="F506" s="22"/>
    </row>
    <row r="507" spans="1:6" ht="14.5">
      <c r="A507" s="25">
        <v>44342</v>
      </c>
      <c r="B507" s="26">
        <v>21</v>
      </c>
      <c r="C507" s="22">
        <f t="shared" si="10"/>
        <v>0.83333333333333337</v>
      </c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f t="shared" si="10"/>
        <v>0.83333333333333337</v>
      </c>
      <c r="D508" s="22"/>
      <c r="E508" s="22"/>
      <c r="F508" s="22"/>
    </row>
    <row r="509" spans="1:6" ht="14.5">
      <c r="A509" s="25">
        <v>44344</v>
      </c>
      <c r="B509" s="26">
        <v>21</v>
      </c>
      <c r="C509" s="22">
        <f t="shared" si="10"/>
        <v>0.83333333333333337</v>
      </c>
      <c r="D509" s="22"/>
      <c r="E509" s="22"/>
      <c r="F509" s="22"/>
    </row>
    <row r="510" spans="1:6" ht="14.5">
      <c r="A510" s="25">
        <v>44345</v>
      </c>
      <c r="B510" s="26">
        <v>21</v>
      </c>
      <c r="C510" s="22">
        <f t="shared" si="10"/>
        <v>0.83333333333333337</v>
      </c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>
        <v>1</v>
      </c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>
        <v>1</v>
      </c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39"/>
      <c r="F568" s="22"/>
    </row>
    <row r="569" spans="1:6" ht="14.5">
      <c r="A569" s="25">
        <v>44404</v>
      </c>
      <c r="B569" s="26">
        <v>30</v>
      </c>
      <c r="C569" s="22"/>
      <c r="D569" s="22"/>
      <c r="E569" s="39"/>
      <c r="F569" s="22"/>
    </row>
    <row r="570" spans="1:6" ht="14.5">
      <c r="A570" s="25">
        <v>44405</v>
      </c>
      <c r="B570" s="26">
        <v>30</v>
      </c>
      <c r="C570" s="22">
        <f>(6/6)</f>
        <v>1</v>
      </c>
      <c r="D570" s="22"/>
      <c r="E570" s="22"/>
      <c r="F570" s="22"/>
    </row>
    <row r="571" spans="1:6" ht="14.5">
      <c r="A571" s="28">
        <v>44406</v>
      </c>
      <c r="B571" s="22">
        <v>30</v>
      </c>
      <c r="C571" s="22">
        <f t="shared" ref="C571:C572" si="11">(6/6)</f>
        <v>1</v>
      </c>
      <c r="D571" s="22"/>
      <c r="E571" s="22"/>
      <c r="F571" s="22"/>
    </row>
    <row r="572" spans="1:6" ht="14.5">
      <c r="A572" s="28">
        <v>44407</v>
      </c>
      <c r="B572" s="22">
        <v>30</v>
      </c>
      <c r="C572" s="22">
        <f t="shared" si="11"/>
        <v>1</v>
      </c>
      <c r="D572" s="22"/>
      <c r="E572" s="22"/>
      <c r="F572" s="22"/>
    </row>
    <row r="573" spans="1:6" ht="14.5">
      <c r="A573" s="28">
        <v>44408</v>
      </c>
      <c r="B573" s="22">
        <v>30</v>
      </c>
      <c r="C573" s="22">
        <f>(6/6)+(9/12)</f>
        <v>1.75</v>
      </c>
      <c r="D573" s="22"/>
      <c r="E573" s="22"/>
      <c r="F573" s="22"/>
    </row>
    <row r="574" spans="1:6" ht="14.5">
      <c r="A574" s="28">
        <v>44409</v>
      </c>
      <c r="B574" s="22">
        <v>30</v>
      </c>
      <c r="C574" s="22">
        <f>(6/6)+(9/12)</f>
        <v>1.75</v>
      </c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f>(6/6)+(9/12)</f>
        <v>1.75</v>
      </c>
      <c r="D575" s="22"/>
      <c r="E575" s="22"/>
      <c r="F575" s="22"/>
    </row>
    <row r="576" spans="1:6" ht="14.5">
      <c r="A576" s="28">
        <v>44411</v>
      </c>
      <c r="B576" s="22">
        <v>31</v>
      </c>
      <c r="C576" s="22">
        <f t="shared" ref="C576:C582" si="12">(9/12)</f>
        <v>0.75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 t="shared" si="12"/>
        <v>0.75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 t="shared" si="12"/>
        <v>0.75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 t="shared" si="12"/>
        <v>0.75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f t="shared" si="12"/>
        <v>0.75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f t="shared" si="12"/>
        <v>0.75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 t="shared" si="12"/>
        <v>0.75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f>(9/12)+(12/8)</f>
        <v>2.25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>(9/12)+(12/8)</f>
        <v>2.25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f t="shared" ref="C585:C589" si="13">(12/8)</f>
        <v>1.5</v>
      </c>
      <c r="D585" s="22"/>
      <c r="E585" s="22"/>
      <c r="F585" s="22"/>
    </row>
    <row r="586" spans="1:6" ht="14.5">
      <c r="A586" s="28">
        <v>44421</v>
      </c>
      <c r="B586" s="22">
        <v>32</v>
      </c>
      <c r="C586" s="22">
        <f t="shared" si="13"/>
        <v>1.5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>
        <f t="shared" si="13"/>
        <v>1.5</v>
      </c>
      <c r="D587" s="22"/>
      <c r="E587" s="22"/>
      <c r="F587" s="22"/>
    </row>
    <row r="588" spans="1:6" ht="14.5">
      <c r="A588" s="28">
        <v>44423</v>
      </c>
      <c r="B588" s="22">
        <v>32</v>
      </c>
      <c r="C588" s="22">
        <f t="shared" si="13"/>
        <v>1.5</v>
      </c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 t="shared" si="13"/>
        <v>1.5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f>(12/8)+(17/10)</f>
        <v>3.2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 t="shared" ref="C591:C598" si="14">(17/10)</f>
        <v>1.7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 t="shared" si="14"/>
        <v>1.7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 t="shared" si="14"/>
        <v>1.7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 t="shared" si="14"/>
        <v>1.7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 t="shared" si="14"/>
        <v>1.7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 t="shared" si="14"/>
        <v>1.7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 t="shared" si="14"/>
        <v>1.7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 t="shared" si="14"/>
        <v>1.7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(17/10)</f>
        <v>1.7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(15/8)</f>
        <v>1.875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 t="shared" ref="C601:C607" si="15">(15/8)</f>
        <v>1.875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f t="shared" si="15"/>
        <v>1.875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 t="shared" si="15"/>
        <v>1.875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 t="shared" si="15"/>
        <v>1.875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 t="shared" si="15"/>
        <v>1.875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 t="shared" si="15"/>
        <v>1.875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 t="shared" si="15"/>
        <v>1.875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>(7/9)</f>
        <v>0.77777777777777779</v>
      </c>
      <c r="D610" s="22">
        <f>(1/9)</f>
        <v>0.1111111111111111</v>
      </c>
      <c r="E610" s="22"/>
      <c r="F610" s="22"/>
    </row>
    <row r="611" spans="1:6" ht="14.5">
      <c r="A611" s="28">
        <v>44446</v>
      </c>
      <c r="B611" s="22">
        <v>36</v>
      </c>
      <c r="C611" s="22">
        <f t="shared" ref="C611:C618" si="16">(7/9)</f>
        <v>0.77777777777777779</v>
      </c>
      <c r="D611" s="22">
        <f t="shared" ref="D611:D618" si="17">(1/9)</f>
        <v>0.1111111111111111</v>
      </c>
      <c r="E611" s="22"/>
      <c r="F611" s="22"/>
    </row>
    <row r="612" spans="1:6" ht="14.5">
      <c r="A612" s="28">
        <v>44447</v>
      </c>
      <c r="B612" s="22">
        <v>36</v>
      </c>
      <c r="C612" s="22">
        <f t="shared" si="16"/>
        <v>0.77777777777777779</v>
      </c>
      <c r="D612" s="22">
        <f t="shared" si="17"/>
        <v>0.1111111111111111</v>
      </c>
      <c r="E612" s="22"/>
      <c r="F612" s="22"/>
    </row>
    <row r="613" spans="1:6" ht="14.5">
      <c r="A613" s="28">
        <v>44448</v>
      </c>
      <c r="B613" s="22">
        <v>36</v>
      </c>
      <c r="C613" s="22">
        <f t="shared" si="16"/>
        <v>0.77777777777777779</v>
      </c>
      <c r="D613" s="22">
        <f t="shared" si="17"/>
        <v>0.1111111111111111</v>
      </c>
      <c r="E613" s="22"/>
      <c r="F613" s="22"/>
    </row>
    <row r="614" spans="1:6" ht="14.5">
      <c r="A614" s="28">
        <v>44449</v>
      </c>
      <c r="B614" s="22">
        <v>36</v>
      </c>
      <c r="C614" s="22">
        <f t="shared" si="16"/>
        <v>0.77777777777777779</v>
      </c>
      <c r="D614" s="22">
        <f t="shared" si="17"/>
        <v>0.1111111111111111</v>
      </c>
      <c r="E614" s="22"/>
      <c r="F614" s="22"/>
    </row>
    <row r="615" spans="1:6" ht="14.5">
      <c r="A615" s="28">
        <v>44450</v>
      </c>
      <c r="B615" s="22">
        <v>36</v>
      </c>
      <c r="C615" s="22">
        <f t="shared" si="16"/>
        <v>0.77777777777777779</v>
      </c>
      <c r="D615" s="22">
        <f t="shared" si="17"/>
        <v>0.1111111111111111</v>
      </c>
      <c r="E615" s="22"/>
      <c r="F615" s="22"/>
    </row>
    <row r="616" spans="1:6" ht="14.5">
      <c r="A616" s="28">
        <v>44451</v>
      </c>
      <c r="B616" s="22">
        <v>36</v>
      </c>
      <c r="C616" s="22">
        <f t="shared" si="16"/>
        <v>0.77777777777777779</v>
      </c>
      <c r="D616" s="22">
        <f t="shared" si="17"/>
        <v>0.1111111111111111</v>
      </c>
      <c r="E616" s="22"/>
      <c r="F616" s="22"/>
    </row>
    <row r="617" spans="1:6" ht="14.5">
      <c r="A617" s="28">
        <v>44452</v>
      </c>
      <c r="B617" s="22">
        <v>37</v>
      </c>
      <c r="C617" s="22">
        <f t="shared" si="16"/>
        <v>0.77777777777777779</v>
      </c>
      <c r="D617" s="22">
        <f t="shared" si="17"/>
        <v>0.1111111111111111</v>
      </c>
      <c r="E617" s="22"/>
      <c r="F617" s="22"/>
    </row>
    <row r="618" spans="1:6" ht="14.5">
      <c r="A618" s="28">
        <v>44453</v>
      </c>
      <c r="B618" s="22">
        <v>37</v>
      </c>
      <c r="C618" s="22">
        <f t="shared" si="16"/>
        <v>0.77777777777777779</v>
      </c>
      <c r="D618" s="22">
        <f t="shared" si="17"/>
        <v>0.1111111111111111</v>
      </c>
      <c r="E618" s="22"/>
      <c r="F618" s="22"/>
    </row>
    <row r="619" spans="1:6" ht="14.5">
      <c r="A619" s="28">
        <v>44454</v>
      </c>
      <c r="B619" s="22">
        <v>37</v>
      </c>
      <c r="C619" s="22">
        <f>(3/10)</f>
        <v>0.3</v>
      </c>
      <c r="D619" s="22">
        <f>(1/10)</f>
        <v>0.1</v>
      </c>
      <c r="E619" s="22"/>
      <c r="F619" s="22"/>
    </row>
    <row r="620" spans="1:6" ht="14.5">
      <c r="A620" s="28">
        <v>44455</v>
      </c>
      <c r="B620" s="22">
        <v>37</v>
      </c>
      <c r="C620" s="22">
        <f t="shared" ref="C620:C628" si="18">(3/10)</f>
        <v>0.3</v>
      </c>
      <c r="D620" s="22">
        <f t="shared" ref="D620:D628" si="19">(1/10)</f>
        <v>0.1</v>
      </c>
      <c r="E620" s="22"/>
      <c r="F620" s="22"/>
    </row>
    <row r="621" spans="1:6" ht="14.5">
      <c r="A621" s="28">
        <v>44456</v>
      </c>
      <c r="B621" s="22">
        <v>37</v>
      </c>
      <c r="C621" s="22">
        <f t="shared" si="18"/>
        <v>0.3</v>
      </c>
      <c r="D621" s="22">
        <f t="shared" si="19"/>
        <v>0.1</v>
      </c>
      <c r="E621" s="22"/>
      <c r="F621" s="22"/>
    </row>
    <row r="622" spans="1:6" ht="14.5">
      <c r="A622" s="28">
        <v>44457</v>
      </c>
      <c r="B622" s="22">
        <v>37</v>
      </c>
      <c r="C622" s="22">
        <f t="shared" si="18"/>
        <v>0.3</v>
      </c>
      <c r="D622" s="22">
        <f t="shared" si="19"/>
        <v>0.1</v>
      </c>
      <c r="E622" s="22"/>
      <c r="F622" s="22"/>
    </row>
    <row r="623" spans="1:6" ht="14.5">
      <c r="A623" s="28">
        <v>44458</v>
      </c>
      <c r="B623" s="22">
        <v>37</v>
      </c>
      <c r="C623" s="22">
        <f t="shared" si="18"/>
        <v>0.3</v>
      </c>
      <c r="D623" s="22">
        <f t="shared" si="19"/>
        <v>0.1</v>
      </c>
      <c r="E623" s="22"/>
      <c r="F623" s="22"/>
    </row>
    <row r="624" spans="1:6" ht="14.5">
      <c r="A624" s="28">
        <v>44459</v>
      </c>
      <c r="B624" s="22">
        <v>38</v>
      </c>
      <c r="C624" s="22">
        <f t="shared" si="18"/>
        <v>0.3</v>
      </c>
      <c r="D624" s="22">
        <f t="shared" si="19"/>
        <v>0.1</v>
      </c>
      <c r="E624" s="22"/>
      <c r="F624" s="22"/>
    </row>
    <row r="625" spans="1:6" ht="14.5">
      <c r="A625" s="28">
        <v>44460</v>
      </c>
      <c r="B625" s="22">
        <v>38</v>
      </c>
      <c r="C625" s="22">
        <f t="shared" si="18"/>
        <v>0.3</v>
      </c>
      <c r="D625" s="22">
        <f t="shared" si="19"/>
        <v>0.1</v>
      </c>
      <c r="E625" s="22"/>
      <c r="F625" s="22"/>
    </row>
    <row r="626" spans="1:6" ht="14.5">
      <c r="A626" s="28">
        <v>44461</v>
      </c>
      <c r="B626" s="22">
        <v>38</v>
      </c>
      <c r="C626" s="22">
        <f t="shared" si="18"/>
        <v>0.3</v>
      </c>
      <c r="D626" s="22">
        <f t="shared" si="19"/>
        <v>0.1</v>
      </c>
      <c r="E626" s="22"/>
      <c r="F626" s="22"/>
    </row>
    <row r="627" spans="1:6" ht="14.5">
      <c r="A627" s="28">
        <v>44462</v>
      </c>
      <c r="B627" s="22">
        <v>38</v>
      </c>
      <c r="C627" s="22">
        <f t="shared" si="18"/>
        <v>0.3</v>
      </c>
      <c r="D627" s="22">
        <f t="shared" si="19"/>
        <v>0.1</v>
      </c>
      <c r="E627" s="22"/>
      <c r="F627" s="22"/>
    </row>
    <row r="628" spans="1:6" ht="14.5">
      <c r="A628" s="28">
        <v>44463</v>
      </c>
      <c r="B628" s="22">
        <v>38</v>
      </c>
      <c r="C628" s="22">
        <f t="shared" si="18"/>
        <v>0.3</v>
      </c>
      <c r="D628" s="22">
        <f t="shared" si="19"/>
        <v>0.1</v>
      </c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12" ht="14.5">
      <c r="A721" s="28">
        <v>44556</v>
      </c>
      <c r="B721" s="22">
        <v>51</v>
      </c>
      <c r="C721" s="22"/>
      <c r="D721" s="22"/>
      <c r="E721" s="22"/>
      <c r="F721" s="22"/>
    </row>
    <row r="722" spans="1:12" ht="14.5">
      <c r="A722" s="28">
        <v>44557</v>
      </c>
      <c r="B722" s="22">
        <v>52</v>
      </c>
      <c r="C722" s="22"/>
      <c r="D722" s="22"/>
      <c r="E722" s="22"/>
      <c r="F722" s="22"/>
    </row>
    <row r="723" spans="1:12" ht="14.5">
      <c r="A723" s="28">
        <v>44558</v>
      </c>
      <c r="B723" s="22">
        <v>52</v>
      </c>
      <c r="C723" s="22"/>
      <c r="D723" s="22"/>
      <c r="E723" s="22"/>
      <c r="F723" s="22"/>
    </row>
    <row r="724" spans="1:12" ht="14.5">
      <c r="A724" s="28">
        <v>44559</v>
      </c>
      <c r="B724" s="22">
        <v>52</v>
      </c>
      <c r="C724" s="22"/>
      <c r="D724" s="22"/>
      <c r="E724" s="22"/>
      <c r="F724" s="22"/>
    </row>
    <row r="725" spans="1:12" ht="14.5">
      <c r="A725" s="28">
        <v>44560</v>
      </c>
      <c r="B725" s="22">
        <v>52</v>
      </c>
      <c r="C725" s="22"/>
      <c r="D725" s="22"/>
      <c r="E725" s="22"/>
      <c r="F725" s="22"/>
    </row>
    <row r="726" spans="1:12" ht="14.5">
      <c r="A726" s="28">
        <v>44561</v>
      </c>
      <c r="B726" s="22">
        <v>52</v>
      </c>
      <c r="C726" s="22"/>
      <c r="D726" s="22"/>
      <c r="E726" s="22"/>
      <c r="F726" s="22"/>
    </row>
    <row r="727" spans="1:12" ht="14.5">
      <c r="A727" s="28">
        <v>44562</v>
      </c>
      <c r="B727" s="22">
        <v>52</v>
      </c>
      <c r="C727" s="22"/>
      <c r="D727" s="22"/>
      <c r="E727" s="22"/>
      <c r="F727" s="22"/>
    </row>
    <row r="728" spans="1:12" ht="14.5">
      <c r="A728" s="28">
        <v>44563</v>
      </c>
      <c r="B728" s="22">
        <v>52</v>
      </c>
      <c r="C728" s="22"/>
      <c r="D728" s="22"/>
      <c r="E728" s="22"/>
      <c r="F728" s="22"/>
    </row>
    <row r="729" spans="1:12" ht="14.5">
      <c r="A729" s="28">
        <v>44564</v>
      </c>
      <c r="B729" s="22">
        <v>1</v>
      </c>
      <c r="C729" s="22"/>
      <c r="D729" s="22"/>
      <c r="E729" s="22"/>
      <c r="F729" s="22"/>
    </row>
    <row r="730" spans="1:12" ht="14.5">
      <c r="A730" s="28">
        <v>44565</v>
      </c>
      <c r="B730" s="22">
        <v>1</v>
      </c>
      <c r="C730" s="22"/>
      <c r="D730" s="22"/>
      <c r="E730" s="22"/>
      <c r="F730" s="22"/>
    </row>
    <row r="731" spans="1:12" ht="14.5">
      <c r="A731" s="28">
        <v>44566</v>
      </c>
      <c r="B731" s="22">
        <v>1</v>
      </c>
      <c r="C731" s="22"/>
      <c r="D731" s="22"/>
      <c r="E731" s="22"/>
      <c r="F731" s="22"/>
    </row>
    <row r="732" spans="1:12" ht="14.5">
      <c r="A732" s="28">
        <v>44567</v>
      </c>
      <c r="B732" s="22">
        <v>1</v>
      </c>
      <c r="C732" s="22">
        <f>(7/6)</f>
        <v>1.1666666666666667</v>
      </c>
      <c r="D732" s="22">
        <f>(1/6)</f>
        <v>0.16666666666666666</v>
      </c>
      <c r="E732" s="22"/>
      <c r="F732" s="22"/>
    </row>
    <row r="733" spans="1:12" ht="14.5">
      <c r="A733" s="28">
        <v>44568</v>
      </c>
      <c r="B733" s="22">
        <v>1</v>
      </c>
      <c r="C733" s="22">
        <f>(7/6)+(5/6)</f>
        <v>2</v>
      </c>
      <c r="D733" s="22">
        <f t="shared" ref="D733:D737" si="20">(1/6)</f>
        <v>0.16666666666666666</v>
      </c>
      <c r="E733" s="22"/>
      <c r="F733" s="22"/>
      <c r="G733" s="138" t="s">
        <v>262</v>
      </c>
      <c r="H733" s="139"/>
      <c r="I733" s="139"/>
      <c r="J733" s="139"/>
      <c r="K733" s="139"/>
      <c r="L733" s="140"/>
    </row>
    <row r="734" spans="1:12" ht="14.5">
      <c r="A734" s="28">
        <v>44569</v>
      </c>
      <c r="B734" s="22">
        <v>1</v>
      </c>
      <c r="C734" s="22">
        <f>(7/6)+(5/6)</f>
        <v>2</v>
      </c>
      <c r="D734" s="22">
        <f t="shared" si="20"/>
        <v>0.16666666666666666</v>
      </c>
      <c r="E734" s="22"/>
      <c r="F734" s="22"/>
    </row>
    <row r="735" spans="1:12" ht="14.5">
      <c r="A735" s="28">
        <v>44570</v>
      </c>
      <c r="B735" s="22">
        <v>1</v>
      </c>
      <c r="C735" s="22">
        <f>(7/6)+(5/6)</f>
        <v>2</v>
      </c>
      <c r="D735" s="22">
        <f t="shared" si="20"/>
        <v>0.16666666666666666</v>
      </c>
      <c r="E735" s="22"/>
      <c r="F735" s="22"/>
    </row>
    <row r="736" spans="1:12" ht="14.5">
      <c r="A736" s="28">
        <v>44571</v>
      </c>
      <c r="B736" s="22">
        <v>2</v>
      </c>
      <c r="C736" s="22">
        <f>(7/6)+(5/6)</f>
        <v>2</v>
      </c>
      <c r="D736" s="22">
        <f t="shared" si="20"/>
        <v>0.16666666666666666</v>
      </c>
      <c r="E736" s="22"/>
      <c r="F736" s="22"/>
    </row>
    <row r="737" spans="1:6" ht="14.5">
      <c r="A737" s="28">
        <v>44572</v>
      </c>
      <c r="B737" s="22">
        <v>2</v>
      </c>
      <c r="C737" s="22">
        <f>(7/6)+(5/6)</f>
        <v>2</v>
      </c>
      <c r="D737" s="22">
        <f t="shared" si="20"/>
        <v>0.16666666666666666</v>
      </c>
      <c r="E737" s="22"/>
      <c r="F737" s="22"/>
    </row>
    <row r="738" spans="1:6" ht="14.5">
      <c r="A738" s="28">
        <v>44573</v>
      </c>
      <c r="B738" s="22">
        <v>2</v>
      </c>
      <c r="C738" s="22">
        <f>(37/6)</f>
        <v>6.166666666666667</v>
      </c>
      <c r="D738" s="22">
        <f>(1/6)</f>
        <v>0.16666666666666666</v>
      </c>
      <c r="E738" s="22"/>
      <c r="F738" s="22"/>
    </row>
    <row r="739" spans="1:6" ht="14.5">
      <c r="A739" s="28">
        <v>44574</v>
      </c>
      <c r="B739" s="22">
        <v>2</v>
      </c>
      <c r="C739" s="22">
        <f t="shared" ref="C739:C743" si="21">(37/6)</f>
        <v>6.166666666666667</v>
      </c>
      <c r="D739" s="22">
        <f t="shared" ref="D739:D743" si="22">(1/6)</f>
        <v>0.16666666666666666</v>
      </c>
      <c r="E739" s="22"/>
      <c r="F739" s="22"/>
    </row>
    <row r="740" spans="1:6" ht="14.5">
      <c r="A740" s="28">
        <v>44575</v>
      </c>
      <c r="B740" s="22">
        <v>2</v>
      </c>
      <c r="C740" s="22">
        <f t="shared" si="21"/>
        <v>6.166666666666667</v>
      </c>
      <c r="D740" s="22">
        <f t="shared" si="22"/>
        <v>0.16666666666666666</v>
      </c>
      <c r="E740" s="22"/>
      <c r="F740" s="22"/>
    </row>
    <row r="741" spans="1:6" ht="14.5">
      <c r="A741" s="28">
        <v>44576</v>
      </c>
      <c r="B741" s="22">
        <v>2</v>
      </c>
      <c r="C741" s="22">
        <f t="shared" si="21"/>
        <v>6.166666666666667</v>
      </c>
      <c r="D741" s="22">
        <f t="shared" si="22"/>
        <v>0.16666666666666666</v>
      </c>
      <c r="E741" s="22"/>
      <c r="F741" s="22"/>
    </row>
    <row r="742" spans="1:6" ht="14.5">
      <c r="A742" s="28">
        <v>44577</v>
      </c>
      <c r="B742" s="22">
        <v>2</v>
      </c>
      <c r="C742" s="22">
        <f t="shared" si="21"/>
        <v>6.166666666666667</v>
      </c>
      <c r="D742" s="22">
        <f t="shared" si="22"/>
        <v>0.16666666666666666</v>
      </c>
      <c r="E742" s="22"/>
      <c r="F742" s="22"/>
    </row>
    <row r="743" spans="1:6" ht="14.5">
      <c r="A743" s="28">
        <v>44578</v>
      </c>
      <c r="B743" s="22">
        <v>3</v>
      </c>
      <c r="C743" s="22">
        <f t="shared" si="21"/>
        <v>6.166666666666667</v>
      </c>
      <c r="D743" s="22">
        <f t="shared" si="22"/>
        <v>0.16666666666666666</v>
      </c>
      <c r="E743" s="22"/>
      <c r="F743" s="22"/>
    </row>
    <row r="744" spans="1:6" ht="14.5">
      <c r="A744" s="28">
        <v>44579</v>
      </c>
      <c r="B744" s="22">
        <v>3</v>
      </c>
      <c r="C744" s="22">
        <f>(52/7)</f>
        <v>7.4285714285714288</v>
      </c>
      <c r="D744" s="22">
        <f>(7/7)</f>
        <v>1</v>
      </c>
      <c r="E744" s="22"/>
      <c r="F744" s="22"/>
    </row>
    <row r="745" spans="1:6" ht="14.5">
      <c r="A745" s="28">
        <v>44580</v>
      </c>
      <c r="B745" s="22">
        <v>3</v>
      </c>
      <c r="C745" s="22">
        <f t="shared" ref="C745:C750" si="23">(52/7)</f>
        <v>7.4285714285714288</v>
      </c>
      <c r="D745" s="22">
        <f t="shared" ref="D745:D750" si="24">(7/7)</f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f t="shared" si="23"/>
        <v>7.4285714285714288</v>
      </c>
      <c r="D746" s="22">
        <f t="shared" si="24"/>
        <v>1</v>
      </c>
      <c r="E746" s="22"/>
      <c r="F746" s="22"/>
    </row>
    <row r="747" spans="1:6" ht="14.5">
      <c r="A747" s="28">
        <v>44582</v>
      </c>
      <c r="B747" s="22">
        <v>3</v>
      </c>
      <c r="C747" s="22">
        <f t="shared" si="23"/>
        <v>7.4285714285714288</v>
      </c>
      <c r="D747" s="22">
        <f t="shared" si="24"/>
        <v>1</v>
      </c>
      <c r="E747" s="22"/>
      <c r="F747" s="22"/>
    </row>
    <row r="748" spans="1:6" ht="14.5">
      <c r="A748" s="28">
        <v>44583</v>
      </c>
      <c r="B748" s="22">
        <v>3</v>
      </c>
      <c r="C748" s="22">
        <f t="shared" si="23"/>
        <v>7.4285714285714288</v>
      </c>
      <c r="D748" s="22">
        <f t="shared" si="24"/>
        <v>1</v>
      </c>
      <c r="E748" s="22"/>
      <c r="F748" s="22"/>
    </row>
    <row r="749" spans="1:6" ht="14.5">
      <c r="A749" s="28">
        <v>44584</v>
      </c>
      <c r="B749" s="22">
        <v>3</v>
      </c>
      <c r="C749" s="22">
        <f t="shared" si="23"/>
        <v>7.4285714285714288</v>
      </c>
      <c r="D749" s="22">
        <f t="shared" si="24"/>
        <v>1</v>
      </c>
      <c r="E749" s="22"/>
      <c r="F749" s="22"/>
    </row>
    <row r="750" spans="1:6" ht="14.5">
      <c r="A750" s="28">
        <v>44585</v>
      </c>
      <c r="B750" s="22">
        <v>4</v>
      </c>
      <c r="C750" s="22">
        <f t="shared" si="23"/>
        <v>7.4285714285714288</v>
      </c>
      <c r="D750" s="22">
        <f t="shared" si="24"/>
        <v>1</v>
      </c>
      <c r="E750" s="22"/>
      <c r="F750" s="22"/>
    </row>
    <row r="751" spans="1:6" ht="14.5">
      <c r="A751" s="28">
        <v>44586</v>
      </c>
      <c r="B751" s="22">
        <v>4</v>
      </c>
      <c r="C751" s="22">
        <f>(38/8)</f>
        <v>4.75</v>
      </c>
      <c r="D751" s="22">
        <f>(4/8)</f>
        <v>0.5</v>
      </c>
      <c r="E751" s="22"/>
      <c r="F751" s="22"/>
    </row>
    <row r="752" spans="1:6" ht="14.5">
      <c r="A752" s="28">
        <v>44587</v>
      </c>
      <c r="B752" s="22">
        <v>4</v>
      </c>
      <c r="C752" s="22">
        <f t="shared" ref="C752:C758" si="25">(38/8)</f>
        <v>4.75</v>
      </c>
      <c r="D752" s="22">
        <f t="shared" ref="D752:D758" si="26">(4/8)</f>
        <v>0.5</v>
      </c>
      <c r="E752" s="22"/>
      <c r="F752" s="22"/>
    </row>
    <row r="753" spans="1:6" ht="14.5">
      <c r="A753" s="28">
        <v>44588</v>
      </c>
      <c r="B753" s="22">
        <v>4</v>
      </c>
      <c r="C753" s="22">
        <f t="shared" si="25"/>
        <v>4.75</v>
      </c>
      <c r="D753" s="22">
        <f t="shared" si="26"/>
        <v>0.5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si="25"/>
        <v>4.75</v>
      </c>
      <c r="D754" s="22">
        <f t="shared" si="26"/>
        <v>0.5</v>
      </c>
      <c r="E754" s="22"/>
      <c r="F754" s="22"/>
    </row>
    <row r="755" spans="1:6" ht="14.5">
      <c r="A755" s="28">
        <v>44590</v>
      </c>
      <c r="B755" s="22">
        <v>4</v>
      </c>
      <c r="C755" s="22">
        <f t="shared" si="25"/>
        <v>4.75</v>
      </c>
      <c r="D755" s="22">
        <f t="shared" si="26"/>
        <v>0.5</v>
      </c>
      <c r="E755" s="22"/>
      <c r="F755" s="22"/>
    </row>
    <row r="756" spans="1:6" ht="14.5">
      <c r="A756" s="28">
        <v>44591</v>
      </c>
      <c r="B756" s="22">
        <v>4</v>
      </c>
      <c r="C756" s="22">
        <f t="shared" si="25"/>
        <v>4.75</v>
      </c>
      <c r="D756" s="22">
        <f t="shared" si="26"/>
        <v>0.5</v>
      </c>
      <c r="E756" s="22"/>
      <c r="F756" s="22"/>
    </row>
    <row r="757" spans="1:6" ht="14.5">
      <c r="A757" s="28">
        <v>44592</v>
      </c>
      <c r="B757" s="22">
        <v>5</v>
      </c>
      <c r="C757" s="22">
        <f t="shared" si="25"/>
        <v>4.75</v>
      </c>
      <c r="D757" s="22">
        <f t="shared" si="26"/>
        <v>0.5</v>
      </c>
      <c r="E757" s="22"/>
      <c r="F757" s="22"/>
    </row>
    <row r="758" spans="1:6" ht="14.5">
      <c r="A758" s="49">
        <v>44593</v>
      </c>
      <c r="B758" s="52">
        <v>5</v>
      </c>
      <c r="C758" s="22">
        <f t="shared" si="25"/>
        <v>4.75</v>
      </c>
      <c r="D758" s="22">
        <f t="shared" si="26"/>
        <v>0.5</v>
      </c>
      <c r="E758" s="52"/>
      <c r="F758" s="52"/>
    </row>
    <row r="759" spans="1:6" ht="14.5">
      <c r="A759" s="49">
        <v>44594</v>
      </c>
      <c r="B759" s="52">
        <v>5</v>
      </c>
      <c r="C759" s="22">
        <f>(12/8)</f>
        <v>1.5</v>
      </c>
      <c r="D759" s="22">
        <f>(7/8)</f>
        <v>0.875</v>
      </c>
      <c r="E759" s="52"/>
      <c r="F759" s="52"/>
    </row>
    <row r="760" spans="1:6" ht="14.5">
      <c r="A760" s="49">
        <v>44595</v>
      </c>
      <c r="B760" s="52">
        <v>5</v>
      </c>
      <c r="C760" s="22">
        <f t="shared" ref="C760:C766" si="27">(12/8)</f>
        <v>1.5</v>
      </c>
      <c r="D760" s="22">
        <f t="shared" ref="D760:D766" si="28">(7/8)</f>
        <v>0.875</v>
      </c>
      <c r="E760" s="52"/>
      <c r="F760" s="52"/>
    </row>
    <row r="761" spans="1:6" ht="14.5">
      <c r="A761" s="49">
        <v>44596</v>
      </c>
      <c r="B761" s="52">
        <v>5</v>
      </c>
      <c r="C761" s="22">
        <f t="shared" si="27"/>
        <v>1.5</v>
      </c>
      <c r="D761" s="22">
        <f t="shared" si="28"/>
        <v>0.875</v>
      </c>
      <c r="E761" s="52"/>
      <c r="F761" s="52"/>
    </row>
    <row r="762" spans="1:6" ht="14.5">
      <c r="A762" s="49">
        <v>44597</v>
      </c>
      <c r="B762" s="52">
        <v>5</v>
      </c>
      <c r="C762" s="22">
        <f t="shared" si="27"/>
        <v>1.5</v>
      </c>
      <c r="D762" s="22">
        <f t="shared" si="28"/>
        <v>0.875</v>
      </c>
      <c r="E762" s="52"/>
      <c r="F762" s="52"/>
    </row>
    <row r="763" spans="1:6" ht="14.5">
      <c r="A763" s="49">
        <v>44598</v>
      </c>
      <c r="B763" s="52">
        <v>5</v>
      </c>
      <c r="C763" s="22">
        <f t="shared" si="27"/>
        <v>1.5</v>
      </c>
      <c r="D763" s="22">
        <f t="shared" si="28"/>
        <v>0.875</v>
      </c>
      <c r="E763" s="52"/>
      <c r="F763" s="52"/>
    </row>
    <row r="764" spans="1:6" ht="14.5">
      <c r="A764" s="49">
        <v>44599</v>
      </c>
      <c r="B764" s="52">
        <v>6</v>
      </c>
      <c r="C764" s="22">
        <f t="shared" si="27"/>
        <v>1.5</v>
      </c>
      <c r="D764" s="22">
        <f t="shared" si="28"/>
        <v>0.875</v>
      </c>
      <c r="E764" s="52"/>
      <c r="F764" s="52"/>
    </row>
    <row r="765" spans="1:6" ht="14.5">
      <c r="A765" s="49">
        <v>44600</v>
      </c>
      <c r="B765" s="52">
        <v>6</v>
      </c>
      <c r="C765" s="22">
        <f t="shared" si="27"/>
        <v>1.5</v>
      </c>
      <c r="D765" s="22">
        <f t="shared" si="28"/>
        <v>0.875</v>
      </c>
      <c r="E765" s="52"/>
      <c r="F765" s="52"/>
    </row>
    <row r="766" spans="1:6" ht="14.5">
      <c r="A766" s="49">
        <v>44601</v>
      </c>
      <c r="B766" s="52">
        <v>6</v>
      </c>
      <c r="C766" s="22">
        <f t="shared" si="27"/>
        <v>1.5</v>
      </c>
      <c r="D766" s="22">
        <f t="shared" si="28"/>
        <v>0.875</v>
      </c>
      <c r="E766" s="52"/>
      <c r="F766" s="52"/>
    </row>
    <row r="767" spans="1:6" ht="14.5">
      <c r="A767" s="49">
        <v>44602</v>
      </c>
      <c r="B767" s="52">
        <v>6</v>
      </c>
      <c r="C767" s="22">
        <f>(7/8)</f>
        <v>0.875</v>
      </c>
      <c r="D767" s="22">
        <f>(4/8)</f>
        <v>0.5</v>
      </c>
      <c r="E767" s="52"/>
      <c r="F767" s="52"/>
    </row>
    <row r="768" spans="1:6" ht="14.5">
      <c r="A768" s="49">
        <v>44603</v>
      </c>
      <c r="B768" s="52">
        <v>6</v>
      </c>
      <c r="C768" s="22">
        <f t="shared" ref="C768:C774" si="29">(7/8)</f>
        <v>0.875</v>
      </c>
      <c r="D768" s="22">
        <f t="shared" ref="D768:D774" si="30">(4/8)</f>
        <v>0.5</v>
      </c>
      <c r="E768" s="52"/>
      <c r="F768" s="52"/>
    </row>
    <row r="769" spans="1:6" ht="14.5">
      <c r="A769" s="49">
        <v>44604</v>
      </c>
      <c r="B769" s="52">
        <v>6</v>
      </c>
      <c r="C769" s="22">
        <f>(7/8)</f>
        <v>0.875</v>
      </c>
      <c r="D769" s="22">
        <f t="shared" si="30"/>
        <v>0.5</v>
      </c>
      <c r="E769" s="52"/>
      <c r="F769" s="52"/>
    </row>
    <row r="770" spans="1:6" ht="14.5">
      <c r="A770" s="49">
        <v>44605</v>
      </c>
      <c r="B770" s="52">
        <v>6</v>
      </c>
      <c r="C770" s="22">
        <f t="shared" si="29"/>
        <v>0.875</v>
      </c>
      <c r="D770" s="22">
        <f t="shared" si="30"/>
        <v>0.5</v>
      </c>
      <c r="E770" s="52"/>
      <c r="F770" s="52"/>
    </row>
    <row r="771" spans="1:6" ht="14.5">
      <c r="A771" s="49">
        <v>44606</v>
      </c>
      <c r="B771" s="52">
        <v>7</v>
      </c>
      <c r="C771" s="22">
        <f t="shared" si="29"/>
        <v>0.875</v>
      </c>
      <c r="D771" s="22">
        <f t="shared" si="30"/>
        <v>0.5</v>
      </c>
      <c r="E771" s="52"/>
      <c r="F771" s="52"/>
    </row>
    <row r="772" spans="1:6" ht="14.5">
      <c r="A772" s="49">
        <v>44607</v>
      </c>
      <c r="B772" s="52">
        <v>7</v>
      </c>
      <c r="C772" s="22">
        <f t="shared" si="29"/>
        <v>0.875</v>
      </c>
      <c r="D772" s="22">
        <f t="shared" si="30"/>
        <v>0.5</v>
      </c>
      <c r="E772" s="52"/>
      <c r="F772" s="52"/>
    </row>
    <row r="773" spans="1:6" ht="14.5">
      <c r="A773" s="49">
        <v>44608</v>
      </c>
      <c r="B773" s="52">
        <v>7</v>
      </c>
      <c r="C773" s="22">
        <f t="shared" si="29"/>
        <v>0.875</v>
      </c>
      <c r="D773" s="22">
        <f t="shared" si="30"/>
        <v>0.5</v>
      </c>
      <c r="E773" s="52"/>
      <c r="F773" s="52"/>
    </row>
    <row r="774" spans="1:6" ht="14.5">
      <c r="A774" s="49">
        <v>44609</v>
      </c>
      <c r="B774" s="52">
        <v>7</v>
      </c>
      <c r="C774" s="22">
        <f t="shared" si="29"/>
        <v>0.875</v>
      </c>
      <c r="D774" s="22">
        <f t="shared" si="30"/>
        <v>0.5</v>
      </c>
      <c r="E774" s="52"/>
      <c r="F774" s="52"/>
    </row>
    <row r="775" spans="1:6" ht="14.5">
      <c r="A775" s="49">
        <v>44610</v>
      </c>
      <c r="B775" s="52">
        <v>7</v>
      </c>
      <c r="C775" s="52">
        <f>(12/11)</f>
        <v>1.0909090909090908</v>
      </c>
      <c r="D775" s="52">
        <f>(1/11)</f>
        <v>9.0909090909090912E-2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ref="C776:C785" si="31">(12/11)</f>
        <v>1.0909090909090908</v>
      </c>
      <c r="D776" s="52">
        <f t="shared" ref="D776:D785" si="32">(1/11)</f>
        <v>9.0909090909090912E-2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31"/>
        <v>1.0909090909090908</v>
      </c>
      <c r="D777" s="52">
        <f t="shared" si="32"/>
        <v>9.0909090909090912E-2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31"/>
        <v>1.0909090909090908</v>
      </c>
      <c r="D778" s="52">
        <f t="shared" si="32"/>
        <v>9.0909090909090912E-2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si="31"/>
        <v>1.0909090909090908</v>
      </c>
      <c r="D779" s="52">
        <f t="shared" si="32"/>
        <v>9.0909090909090912E-2</v>
      </c>
      <c r="E779" s="52"/>
      <c r="F779" s="52"/>
    </row>
    <row r="780" spans="1:6" ht="14.5">
      <c r="A780" s="49">
        <v>44615</v>
      </c>
      <c r="B780" s="52">
        <v>8</v>
      </c>
      <c r="C780" s="52">
        <f t="shared" si="31"/>
        <v>1.0909090909090908</v>
      </c>
      <c r="D780" s="52">
        <f t="shared" si="32"/>
        <v>9.0909090909090912E-2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si="31"/>
        <v>1.0909090909090908</v>
      </c>
      <c r="D781" s="52">
        <f t="shared" si="32"/>
        <v>9.0909090909090912E-2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31"/>
        <v>1.0909090909090908</v>
      </c>
      <c r="D782" s="52">
        <f t="shared" si="32"/>
        <v>9.0909090909090912E-2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31"/>
        <v>1.0909090909090908</v>
      </c>
      <c r="D783" s="52">
        <f t="shared" si="32"/>
        <v>9.0909090909090912E-2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31"/>
        <v>1.0909090909090908</v>
      </c>
      <c r="D784" s="52">
        <f t="shared" si="32"/>
        <v>9.0909090909090912E-2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31"/>
        <v>1.0909090909090908</v>
      </c>
      <c r="D785" s="52">
        <f t="shared" si="32"/>
        <v>9.0909090909090912E-2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7">
    <mergeCell ref="G733:L733"/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12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5.5" style="55" customWidth="1"/>
    <col min="6" max="6" width="12.9140625" style="55" customWidth="1"/>
    <col min="7" max="7" width="66.33203125" style="55" customWidth="1"/>
    <col min="8" max="16384" width="12.58203125" style="55"/>
  </cols>
  <sheetData>
    <row r="1" spans="1:7" ht="15" customHeight="1">
      <c r="A1" s="120" t="s">
        <v>68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17</v>
      </c>
      <c r="B2" s="115"/>
      <c r="C2" s="115"/>
      <c r="D2" s="115"/>
      <c r="E2" s="115"/>
      <c r="F2" s="116"/>
      <c r="G2" s="72" t="s">
        <v>303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29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>
        <v>1</v>
      </c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>
        <v>1</v>
      </c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>
        <v>1</v>
      </c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>
        <v>1</v>
      </c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>
        <v>1</v>
      </c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>
        <v>1</v>
      </c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>
        <v>1</v>
      </c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1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>
        <v>1</v>
      </c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>
        <v>1</v>
      </c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>
        <v>1</v>
      </c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>
        <v>1</v>
      </c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>
        <v>2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>
        <v>1</v>
      </c>
      <c r="D371" s="22">
        <v>1</v>
      </c>
      <c r="E371" s="14"/>
      <c r="F371" s="14"/>
      <c r="G371" s="126"/>
    </row>
    <row r="372" spans="1:7" ht="14.5">
      <c r="A372" s="25">
        <v>44207</v>
      </c>
      <c r="B372" s="26">
        <v>2</v>
      </c>
      <c r="C372" s="22">
        <v>1</v>
      </c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v>1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>
        <v>1</v>
      </c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1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>
        <v>1</v>
      </c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>
        <v>1</v>
      </c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>
        <v>1</v>
      </c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>
        <v>1</v>
      </c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>
        <v>2</v>
      </c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>
        <v>2</v>
      </c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>
        <v>1</v>
      </c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2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1</v>
      </c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>
        <v>1</v>
      </c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1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>
        <v>1</v>
      </c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>
        <v>2</v>
      </c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1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>
        <v>1</v>
      </c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>
        <v>1</v>
      </c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v>2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>
        <v>1</v>
      </c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>
        <v>1</v>
      </c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>
        <v>2</v>
      </c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>
        <v>1</v>
      </c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>
        <v>1</v>
      </c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2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>
        <v>1</v>
      </c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>
        <v>3</v>
      </c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>
        <v>2</v>
      </c>
      <c r="D558" s="22">
        <v>1</v>
      </c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>
        <v>1</v>
      </c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1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5">
        <v>44400</v>
      </c>
      <c r="B565" s="32">
        <v>29</v>
      </c>
      <c r="C565" s="32">
        <v>1</v>
      </c>
      <c r="D565" s="32"/>
      <c r="E565" s="32"/>
      <c r="F565" s="32"/>
    </row>
    <row r="566" spans="1:7" ht="14.5">
      <c r="A566" s="25">
        <v>44401</v>
      </c>
      <c r="B566" s="22">
        <v>29</v>
      </c>
      <c r="C566" s="32"/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5">
        <v>44407</v>
      </c>
      <c r="B572" s="22">
        <v>30</v>
      </c>
      <c r="C572" s="32"/>
      <c r="D572" s="32"/>
      <c r="E572" s="32"/>
      <c r="F572" s="32"/>
    </row>
    <row r="573" spans="1:7" ht="14.5">
      <c r="A573" s="25">
        <v>44408</v>
      </c>
      <c r="B573" s="22">
        <v>30</v>
      </c>
      <c r="C573" s="32"/>
      <c r="D573" s="32"/>
      <c r="E573" s="32"/>
      <c r="F573" s="3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>
        <v>1</v>
      </c>
      <c r="E575" s="22" t="s">
        <v>285</v>
      </c>
      <c r="F575" s="22" t="s">
        <v>263</v>
      </c>
    </row>
    <row r="576" spans="1:7" ht="14.5">
      <c r="A576" s="28">
        <v>44411</v>
      </c>
      <c r="B576" s="22">
        <v>31</v>
      </c>
      <c r="C576" s="22">
        <f>6+1+1+1</f>
        <v>9</v>
      </c>
      <c r="D576" s="22"/>
      <c r="E576" s="22" t="s">
        <v>308</v>
      </c>
      <c r="F576" s="22"/>
    </row>
    <row r="577" spans="1:6" ht="14.5">
      <c r="A577" s="28">
        <v>44412</v>
      </c>
      <c r="B577" s="22">
        <v>31</v>
      </c>
      <c r="C577" s="22">
        <v>3</v>
      </c>
      <c r="D577" s="22"/>
      <c r="E577" s="22" t="s">
        <v>264</v>
      </c>
      <c r="F577" s="22"/>
    </row>
    <row r="578" spans="1:6" ht="14.5">
      <c r="A578" s="28">
        <v>44413</v>
      </c>
      <c r="B578" s="22">
        <v>31</v>
      </c>
      <c r="C578" s="22">
        <v>1</v>
      </c>
      <c r="D578" s="22">
        <v>1</v>
      </c>
      <c r="E578" s="22" t="s">
        <v>273</v>
      </c>
      <c r="F578" s="22" t="s">
        <v>263</v>
      </c>
    </row>
    <row r="579" spans="1:6" ht="14.5">
      <c r="A579" s="28">
        <v>44414</v>
      </c>
      <c r="B579" s="22">
        <v>31</v>
      </c>
      <c r="C579" s="22"/>
      <c r="D579" s="22">
        <v>1</v>
      </c>
      <c r="E579" s="22"/>
      <c r="F579" s="22" t="s">
        <v>263</v>
      </c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f>1+1</f>
        <v>2</v>
      </c>
      <c r="D583" s="22"/>
      <c r="E583" s="22" t="s">
        <v>274</v>
      </c>
      <c r="F583" s="22"/>
    </row>
    <row r="584" spans="1:6" ht="14.5">
      <c r="A584" s="28">
        <v>44419</v>
      </c>
      <c r="B584" s="22">
        <v>32</v>
      </c>
      <c r="C584" s="22">
        <f>1+1</f>
        <v>2</v>
      </c>
      <c r="D584" s="22"/>
      <c r="E584" s="22" t="s">
        <v>286</v>
      </c>
      <c r="F584" s="22"/>
    </row>
    <row r="585" spans="1:6" ht="14.5">
      <c r="A585" s="28">
        <v>44420</v>
      </c>
      <c r="B585" s="22">
        <v>32</v>
      </c>
      <c r="C585" s="22">
        <f>6+1</f>
        <v>7</v>
      </c>
      <c r="D585" s="22"/>
      <c r="E585" s="22" t="s">
        <v>275</v>
      </c>
      <c r="F585" s="22"/>
    </row>
    <row r="586" spans="1:6" ht="14.5">
      <c r="A586" s="28">
        <v>44421</v>
      </c>
      <c r="B586" s="22">
        <v>32</v>
      </c>
      <c r="C586" s="22">
        <v>1</v>
      </c>
      <c r="D586" s="22"/>
      <c r="E586" s="22" t="s">
        <v>277</v>
      </c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v>1</v>
      </c>
      <c r="D589" s="22"/>
      <c r="E589" s="22" t="s">
        <v>266</v>
      </c>
      <c r="F589" s="22"/>
    </row>
    <row r="590" spans="1:6" ht="14.5">
      <c r="A590" s="28">
        <v>44425</v>
      </c>
      <c r="B590" s="22">
        <v>33</v>
      </c>
      <c r="C590" s="22">
        <v>3</v>
      </c>
      <c r="D590" s="22">
        <v>1</v>
      </c>
      <c r="E590" s="22" t="s">
        <v>267</v>
      </c>
      <c r="F590" s="22" t="s">
        <v>265</v>
      </c>
    </row>
    <row r="591" spans="1:6" ht="14.5">
      <c r="A591" s="28">
        <v>44426</v>
      </c>
      <c r="B591" s="22">
        <v>33</v>
      </c>
      <c r="C591" s="22">
        <f>1+2+1</f>
        <v>4</v>
      </c>
      <c r="D591" s="22"/>
      <c r="E591" s="22" t="s">
        <v>287</v>
      </c>
      <c r="F591" s="22"/>
    </row>
    <row r="592" spans="1:6" ht="14.5">
      <c r="A592" s="28">
        <v>44427</v>
      </c>
      <c r="B592" s="22">
        <v>33</v>
      </c>
      <c r="C592" s="22">
        <v>1</v>
      </c>
      <c r="D592" s="22"/>
      <c r="E592" s="22" t="s">
        <v>277</v>
      </c>
      <c r="F592" s="22"/>
    </row>
    <row r="593" spans="1:6" ht="14.5">
      <c r="A593" s="28">
        <v>44428</v>
      </c>
      <c r="B593" s="22">
        <v>33</v>
      </c>
      <c r="C593" s="22">
        <v>3</v>
      </c>
      <c r="D593" s="22"/>
      <c r="E593" s="22" t="s">
        <v>267</v>
      </c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v>2</v>
      </c>
      <c r="D597" s="22">
        <v>1</v>
      </c>
      <c r="E597" s="22" t="s">
        <v>278</v>
      </c>
      <c r="F597" s="22" t="s">
        <v>277</v>
      </c>
    </row>
    <row r="598" spans="1:6" ht="14.5">
      <c r="A598" s="28">
        <v>44433</v>
      </c>
      <c r="B598" s="22">
        <v>34</v>
      </c>
      <c r="C598" s="22"/>
      <c r="D598" s="22">
        <v>1</v>
      </c>
      <c r="E598" s="22"/>
      <c r="F598" s="22" t="s">
        <v>266</v>
      </c>
    </row>
    <row r="599" spans="1:6" ht="14.5">
      <c r="A599" s="28">
        <v>44434</v>
      </c>
      <c r="B599" s="22">
        <v>34</v>
      </c>
      <c r="C599" s="22">
        <f>2+1</f>
        <v>3</v>
      </c>
      <c r="D599" s="22"/>
      <c r="E599" s="22" t="s">
        <v>279</v>
      </c>
      <c r="F599" s="22"/>
    </row>
    <row r="600" spans="1:6" ht="14.5">
      <c r="A600" s="28">
        <v>44435</v>
      </c>
      <c r="B600" s="22">
        <v>34</v>
      </c>
      <c r="C600" s="22">
        <v>3</v>
      </c>
      <c r="D600" s="22">
        <v>1</v>
      </c>
      <c r="E600" s="22" t="s">
        <v>267</v>
      </c>
      <c r="F600" s="22" t="s">
        <v>266</v>
      </c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3</v>
      </c>
      <c r="D603" s="22"/>
      <c r="E603" s="22" t="s">
        <v>267</v>
      </c>
      <c r="F603" s="22"/>
    </row>
    <row r="604" spans="1:6" ht="14.5">
      <c r="A604" s="28">
        <v>44439</v>
      </c>
      <c r="B604" s="22">
        <v>35</v>
      </c>
      <c r="C604" s="22">
        <f>2+1</f>
        <v>3</v>
      </c>
      <c r="D604" s="22"/>
      <c r="E604" s="22" t="s">
        <v>304</v>
      </c>
      <c r="F604" s="22"/>
    </row>
    <row r="605" spans="1:6" ht="14.5">
      <c r="A605" s="28">
        <v>44440</v>
      </c>
      <c r="B605" s="22">
        <v>35</v>
      </c>
      <c r="C605" s="22">
        <v>2</v>
      </c>
      <c r="D605" s="22"/>
      <c r="E605" s="22" t="s">
        <v>269</v>
      </c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v>1</v>
      </c>
      <c r="D607" s="22"/>
      <c r="E607" s="22" t="s">
        <v>277</v>
      </c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v>2</v>
      </c>
      <c r="D612" s="22"/>
      <c r="E612" s="22" t="s">
        <v>269</v>
      </c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v>2</v>
      </c>
      <c r="D617" s="22"/>
      <c r="E617" s="22" t="s">
        <v>269</v>
      </c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v>1</v>
      </c>
      <c r="D625" s="22"/>
      <c r="E625" s="22" t="s">
        <v>277</v>
      </c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>
        <v>1</v>
      </c>
      <c r="D677" s="22"/>
      <c r="E677" s="22" t="s">
        <v>266</v>
      </c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1+1</f>
        <v>2</v>
      </c>
      <c r="D738" s="22"/>
      <c r="E738" s="22" t="s">
        <v>280</v>
      </c>
      <c r="F738" s="22"/>
    </row>
    <row r="739" spans="1:6" ht="14.5">
      <c r="A739" s="28">
        <v>44574</v>
      </c>
      <c r="B739" s="22">
        <v>2</v>
      </c>
      <c r="C739" s="22">
        <v>1</v>
      </c>
      <c r="D739" s="22"/>
      <c r="E739" s="22" t="s">
        <v>276</v>
      </c>
      <c r="F739" s="22"/>
    </row>
    <row r="740" spans="1:6" ht="14.5">
      <c r="A740" s="28">
        <v>44575</v>
      </c>
      <c r="B740" s="22">
        <v>2</v>
      </c>
      <c r="C740" s="22">
        <f>5+1</f>
        <v>6</v>
      </c>
      <c r="D740" s="22"/>
      <c r="E740" s="22" t="s">
        <v>281</v>
      </c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2+1</f>
        <v>3</v>
      </c>
      <c r="D743" s="22"/>
      <c r="E743" s="22" t="s">
        <v>279</v>
      </c>
      <c r="F743" s="22"/>
    </row>
    <row r="744" spans="1:6" ht="14.5">
      <c r="A744" s="28">
        <v>44579</v>
      </c>
      <c r="B744" s="22">
        <v>3</v>
      </c>
      <c r="C744" s="22"/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16</f>
        <v>16</v>
      </c>
      <c r="D745" s="22">
        <v>1</v>
      </c>
      <c r="E745" s="22" t="s">
        <v>288</v>
      </c>
      <c r="F745" s="22" t="s">
        <v>265</v>
      </c>
    </row>
    <row r="746" spans="1:6" ht="14.5">
      <c r="A746" s="28">
        <v>44581</v>
      </c>
      <c r="B746" s="22">
        <v>3</v>
      </c>
      <c r="C746" s="22">
        <f>6+2</f>
        <v>8</v>
      </c>
      <c r="D746" s="22"/>
      <c r="E746" s="22" t="s">
        <v>282</v>
      </c>
      <c r="F746" s="22"/>
    </row>
    <row r="747" spans="1:6" ht="14.5">
      <c r="A747" s="28">
        <v>44582</v>
      </c>
      <c r="B747" s="22">
        <v>3</v>
      </c>
      <c r="C747" s="22">
        <v>9</v>
      </c>
      <c r="D747" s="22"/>
      <c r="E747" s="22" t="s">
        <v>289</v>
      </c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1+2</f>
        <v>3</v>
      </c>
      <c r="D750" s="22"/>
      <c r="E750" s="22" t="s">
        <v>291</v>
      </c>
      <c r="F750" s="22"/>
    </row>
    <row r="751" spans="1:6" ht="14.5">
      <c r="A751" s="28">
        <v>44586</v>
      </c>
      <c r="B751" s="22">
        <v>4</v>
      </c>
      <c r="C751" s="22">
        <f>11+2</f>
        <v>13</v>
      </c>
      <c r="D751" s="22"/>
      <c r="E751" s="22" t="s">
        <v>283</v>
      </c>
      <c r="F751" s="22"/>
    </row>
    <row r="752" spans="1:6" ht="14.5">
      <c r="A752" s="28">
        <v>44587</v>
      </c>
      <c r="B752" s="22">
        <v>4</v>
      </c>
      <c r="C752" s="22">
        <f>6+1</f>
        <v>7</v>
      </c>
      <c r="D752" s="22"/>
      <c r="E752" s="22" t="s">
        <v>292</v>
      </c>
      <c r="F752" s="22"/>
    </row>
    <row r="753" spans="1:6" ht="14.5">
      <c r="A753" s="28">
        <v>44588</v>
      </c>
      <c r="B753" s="22">
        <v>4</v>
      </c>
      <c r="C753" s="22">
        <v>5</v>
      </c>
      <c r="D753" s="22">
        <v>1</v>
      </c>
      <c r="E753" s="22" t="s">
        <v>270</v>
      </c>
      <c r="F753" s="22" t="s">
        <v>293</v>
      </c>
    </row>
    <row r="754" spans="1:6" ht="14.5">
      <c r="A754" s="28">
        <v>44589</v>
      </c>
      <c r="B754" s="22">
        <v>4</v>
      </c>
      <c r="C754" s="22">
        <v>5</v>
      </c>
      <c r="D754" s="22">
        <v>1</v>
      </c>
      <c r="E754" s="22" t="s">
        <v>295</v>
      </c>
      <c r="F754" s="22" t="s">
        <v>265</v>
      </c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9</v>
      </c>
      <c r="D757" s="22"/>
      <c r="E757" s="22" t="s">
        <v>296</v>
      </c>
      <c r="F757" s="22"/>
    </row>
    <row r="758" spans="1:6" ht="14.5">
      <c r="A758" s="49">
        <v>44593</v>
      </c>
      <c r="B758" s="52">
        <v>5</v>
      </c>
      <c r="C758" s="52">
        <v>13</v>
      </c>
      <c r="D758" s="52">
        <v>4</v>
      </c>
      <c r="E758" s="22" t="s">
        <v>305</v>
      </c>
      <c r="F758" s="22" t="s">
        <v>284</v>
      </c>
    </row>
    <row r="759" spans="1:6" ht="14.5">
      <c r="A759" s="49">
        <v>44594</v>
      </c>
      <c r="B759" s="52">
        <v>5</v>
      </c>
      <c r="C759" s="52">
        <v>2</v>
      </c>
      <c r="D759" s="52">
        <v>3</v>
      </c>
      <c r="E759" s="22" t="s">
        <v>268</v>
      </c>
      <c r="F759" s="22" t="s">
        <v>264</v>
      </c>
    </row>
    <row r="760" spans="1:6" ht="14.5">
      <c r="A760" s="49">
        <v>44595</v>
      </c>
      <c r="B760" s="52">
        <v>5</v>
      </c>
      <c r="C760" s="52">
        <v>3</v>
      </c>
      <c r="D760" s="52">
        <v>2</v>
      </c>
      <c r="E760" s="22" t="s">
        <v>290</v>
      </c>
      <c r="F760" s="22" t="s">
        <v>297</v>
      </c>
    </row>
    <row r="761" spans="1:6" ht="14.5">
      <c r="A761" s="49">
        <v>44596</v>
      </c>
      <c r="B761" s="52">
        <v>5</v>
      </c>
      <c r="C761" s="52">
        <v>5</v>
      </c>
      <c r="D761" s="52">
        <v>1</v>
      </c>
      <c r="E761" s="22" t="s">
        <v>294</v>
      </c>
      <c r="F761" s="52" t="s">
        <v>307</v>
      </c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v>1</v>
      </c>
      <c r="D764" s="52"/>
      <c r="E764" s="22" t="s">
        <v>265</v>
      </c>
      <c r="F764" s="52"/>
    </row>
    <row r="765" spans="1:6" ht="14.5">
      <c r="A765" s="49">
        <v>44600</v>
      </c>
      <c r="B765" s="52">
        <v>6</v>
      </c>
      <c r="C765" s="52">
        <v>6</v>
      </c>
      <c r="D765" s="52">
        <v>1</v>
      </c>
      <c r="E765" s="22" t="s">
        <v>271</v>
      </c>
      <c r="F765" s="22" t="s">
        <v>265</v>
      </c>
    </row>
    <row r="766" spans="1:6" ht="14.5">
      <c r="A766" s="49">
        <v>44601</v>
      </c>
      <c r="B766" s="52">
        <v>6</v>
      </c>
      <c r="C766" s="52">
        <v>3</v>
      </c>
      <c r="D766" s="52">
        <v>3</v>
      </c>
      <c r="E766" s="22" t="s">
        <v>279</v>
      </c>
      <c r="F766" s="22" t="s">
        <v>298</v>
      </c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v>2</v>
      </c>
      <c r="D771" s="52"/>
      <c r="E771" s="52" t="s">
        <v>299</v>
      </c>
      <c r="F771" s="52"/>
    </row>
    <row r="772" spans="1:6" ht="14.5">
      <c r="A772" s="49">
        <v>44607</v>
      </c>
      <c r="B772" s="52">
        <v>7</v>
      </c>
      <c r="C772" s="52">
        <v>8</v>
      </c>
      <c r="D772" s="52">
        <v>3</v>
      </c>
      <c r="E772" s="22" t="s">
        <v>306</v>
      </c>
      <c r="F772" s="22" t="s">
        <v>264</v>
      </c>
    </row>
    <row r="773" spans="1:6" ht="14.5">
      <c r="A773" s="49">
        <v>44608</v>
      </c>
      <c r="B773" s="52">
        <v>7</v>
      </c>
      <c r="C773" s="52">
        <v>1</v>
      </c>
      <c r="D773" s="52">
        <v>1</v>
      </c>
      <c r="E773" s="22" t="s">
        <v>265</v>
      </c>
      <c r="F773" s="52" t="s">
        <v>300</v>
      </c>
    </row>
    <row r="774" spans="1:6" ht="14.5">
      <c r="A774" s="49">
        <v>44609</v>
      </c>
      <c r="B774" s="52">
        <v>7</v>
      </c>
      <c r="C774" s="52">
        <v>1</v>
      </c>
      <c r="D774" s="52"/>
      <c r="E774" s="22" t="s">
        <v>265</v>
      </c>
      <c r="F774" s="52"/>
    </row>
    <row r="775" spans="1:6" ht="14.5">
      <c r="A775" s="49">
        <v>44610</v>
      </c>
      <c r="B775" s="52">
        <v>7</v>
      </c>
      <c r="C775" s="52">
        <v>3</v>
      </c>
      <c r="D775" s="52">
        <v>1</v>
      </c>
      <c r="E775" s="52" t="s">
        <v>301</v>
      </c>
      <c r="F775" s="22" t="s">
        <v>265</v>
      </c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v>2</v>
      </c>
      <c r="D778" s="52">
        <v>2</v>
      </c>
      <c r="E778" s="22" t="s">
        <v>302</v>
      </c>
      <c r="F778" s="22" t="s">
        <v>268</v>
      </c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v>4</v>
      </c>
      <c r="D781" s="52"/>
      <c r="E781" s="22" t="s">
        <v>272</v>
      </c>
      <c r="F781" s="52"/>
    </row>
    <row r="782" spans="1:6" ht="14.5">
      <c r="A782" s="49">
        <v>44617</v>
      </c>
      <c r="B782" s="52">
        <v>8</v>
      </c>
      <c r="C782" s="52">
        <v>2</v>
      </c>
      <c r="D782" s="52">
        <v>1</v>
      </c>
      <c r="E782" s="22" t="s">
        <v>280</v>
      </c>
      <c r="F782" s="22" t="s">
        <v>265</v>
      </c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73">
        <v>44620</v>
      </c>
      <c r="B785" s="74">
        <v>9</v>
      </c>
      <c r="C785" s="74">
        <v>3</v>
      </c>
      <c r="D785" s="74">
        <v>2</v>
      </c>
      <c r="E785" s="51" t="s">
        <v>264</v>
      </c>
      <c r="F785" s="51" t="s">
        <v>268</v>
      </c>
    </row>
    <row r="786" spans="1:6" ht="14.5">
      <c r="A786" s="64">
        <v>44621</v>
      </c>
      <c r="B786" s="74">
        <v>9</v>
      </c>
      <c r="C786" s="52">
        <v>8</v>
      </c>
      <c r="D786" s="52"/>
      <c r="E786" s="52" t="s">
        <v>282</v>
      </c>
      <c r="F786" s="52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B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859"/>
  <sheetViews>
    <sheetView workbookViewId="0">
      <pane ySplit="7" topLeftCell="A20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8" customHeight="1">
      <c r="A1" s="120" t="s">
        <v>45</v>
      </c>
      <c r="B1" s="112"/>
      <c r="C1" s="112"/>
      <c r="D1" s="112"/>
      <c r="E1" s="112"/>
      <c r="F1" s="113"/>
      <c r="G1" s="69" t="s">
        <v>86</v>
      </c>
    </row>
    <row r="2" spans="1:7" ht="18" customHeight="1">
      <c r="A2" s="127" t="s">
        <v>1</v>
      </c>
      <c r="B2" s="115"/>
      <c r="C2" s="115"/>
      <c r="D2" s="115"/>
      <c r="E2" s="115"/>
      <c r="F2" s="116"/>
      <c r="G2" s="55" t="s">
        <v>229</v>
      </c>
    </row>
    <row r="3" spans="1:7" ht="18" customHeight="1">
      <c r="A3" s="118" t="s">
        <v>309</v>
      </c>
      <c r="B3" s="115"/>
      <c r="C3" s="115"/>
      <c r="D3" s="115"/>
      <c r="E3" s="115"/>
      <c r="F3" s="116"/>
    </row>
    <row r="4" spans="1:7" ht="18" customHeight="1">
      <c r="A4" s="118"/>
      <c r="B4" s="115"/>
      <c r="C4" s="115"/>
      <c r="D4" s="115"/>
      <c r="E4" s="115"/>
      <c r="F4" s="116"/>
    </row>
    <row r="5" spans="1:7" ht="18" customHeight="1">
      <c r="A5" s="118"/>
      <c r="B5" s="115"/>
      <c r="C5" s="115"/>
      <c r="D5" s="115"/>
      <c r="E5" s="115"/>
      <c r="F5" s="116"/>
    </row>
    <row r="6" spans="1:7" ht="18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4.5">
      <c r="A8" s="25">
        <v>43843</v>
      </c>
      <c r="B8" s="26">
        <v>1</v>
      </c>
      <c r="C8" s="22"/>
      <c r="D8" s="22"/>
      <c r="E8" s="22"/>
      <c r="F8" s="22"/>
    </row>
    <row r="9" spans="1:7" ht="14.5">
      <c r="A9" s="25">
        <v>43844</v>
      </c>
      <c r="B9" s="26">
        <v>1</v>
      </c>
      <c r="C9" s="22"/>
      <c r="D9" s="22"/>
      <c r="E9" s="22"/>
      <c r="F9" s="22"/>
    </row>
    <row r="10" spans="1:7" ht="14.5">
      <c r="A10" s="25">
        <v>43845</v>
      </c>
      <c r="B10" s="26">
        <v>1</v>
      </c>
      <c r="C10" s="22"/>
      <c r="D10" s="22"/>
      <c r="E10" s="22"/>
      <c r="F10" s="22"/>
    </row>
    <row r="11" spans="1:7" ht="14.5">
      <c r="A11" s="25">
        <v>43846</v>
      </c>
      <c r="B11" s="26">
        <v>1</v>
      </c>
      <c r="C11" s="22"/>
      <c r="D11" s="22"/>
      <c r="E11" s="22"/>
      <c r="F11" s="22"/>
    </row>
    <row r="12" spans="1:7" ht="14.5">
      <c r="A12" s="25">
        <v>43847</v>
      </c>
      <c r="B12" s="26">
        <v>1</v>
      </c>
      <c r="C12" s="22"/>
      <c r="D12" s="22"/>
      <c r="E12" s="22"/>
      <c r="F12" s="22"/>
    </row>
    <row r="13" spans="1:7" ht="14.5">
      <c r="A13" s="25">
        <v>43848</v>
      </c>
      <c r="B13" s="26">
        <v>1</v>
      </c>
      <c r="C13" s="22"/>
      <c r="D13" s="22"/>
      <c r="E13" s="22"/>
      <c r="F13" s="22"/>
    </row>
    <row r="14" spans="1:7" ht="14.5">
      <c r="A14" s="25">
        <v>43849</v>
      </c>
      <c r="B14" s="26">
        <v>1</v>
      </c>
      <c r="C14" s="22"/>
      <c r="D14" s="22"/>
      <c r="E14" s="22"/>
      <c r="F14" s="22"/>
    </row>
    <row r="15" spans="1:7" ht="14.5">
      <c r="A15" s="25">
        <v>43850</v>
      </c>
      <c r="B15" s="26">
        <v>2</v>
      </c>
      <c r="C15" s="22"/>
      <c r="D15" s="22"/>
      <c r="E15" s="22"/>
      <c r="F15" s="22"/>
    </row>
    <row r="16" spans="1:7" ht="14.5">
      <c r="A16" s="25">
        <v>43851</v>
      </c>
      <c r="B16" s="26">
        <v>2</v>
      </c>
      <c r="C16" s="22"/>
      <c r="D16" s="22"/>
      <c r="E16" s="22"/>
      <c r="F16" s="22"/>
    </row>
    <row r="17" spans="1:6" ht="14.5">
      <c r="A17" s="25">
        <v>43852</v>
      </c>
      <c r="B17" s="26">
        <v>2</v>
      </c>
      <c r="C17" s="22"/>
      <c r="D17" s="22"/>
      <c r="E17" s="22"/>
      <c r="F17" s="22"/>
    </row>
    <row r="18" spans="1:6" ht="14.5">
      <c r="A18" s="25">
        <v>43853</v>
      </c>
      <c r="B18" s="26">
        <v>2</v>
      </c>
      <c r="C18" s="22"/>
      <c r="D18" s="22"/>
      <c r="E18" s="22"/>
      <c r="F18" s="22"/>
    </row>
    <row r="19" spans="1:6" ht="14.5">
      <c r="A19" s="25">
        <v>43854</v>
      </c>
      <c r="B19" s="26">
        <v>2</v>
      </c>
      <c r="C19" s="22"/>
      <c r="D19" s="22"/>
      <c r="E19" s="22"/>
      <c r="F19" s="22"/>
    </row>
    <row r="20" spans="1:6" ht="14.5">
      <c r="A20" s="25">
        <v>43855</v>
      </c>
      <c r="B20" s="26">
        <v>2</v>
      </c>
      <c r="C20" s="22"/>
      <c r="D20" s="22"/>
      <c r="E20" s="22"/>
      <c r="F20" s="22"/>
    </row>
    <row r="21" spans="1:6" ht="14.5">
      <c r="A21" s="25">
        <v>43856</v>
      </c>
      <c r="B21" s="26">
        <v>2</v>
      </c>
      <c r="C21" s="22"/>
      <c r="D21" s="22"/>
      <c r="E21" s="22"/>
      <c r="F21" s="22"/>
    </row>
    <row r="22" spans="1:6" ht="14.5">
      <c r="A22" s="25">
        <v>43857</v>
      </c>
      <c r="B22" s="26">
        <v>3</v>
      </c>
      <c r="C22" s="22"/>
      <c r="D22" s="22"/>
      <c r="E22" s="22"/>
      <c r="F22" s="22"/>
    </row>
    <row r="23" spans="1:6" ht="15.5">
      <c r="A23" s="25">
        <v>43858</v>
      </c>
      <c r="B23" s="26">
        <v>3</v>
      </c>
      <c r="C23" s="22"/>
      <c r="D23" s="22"/>
      <c r="E23" s="22"/>
      <c r="F23" s="29"/>
    </row>
    <row r="24" spans="1:6" ht="15.5">
      <c r="A24" s="25">
        <v>43859</v>
      </c>
      <c r="B24" s="26">
        <v>3</v>
      </c>
      <c r="C24" s="22"/>
      <c r="D24" s="22"/>
      <c r="E24" s="22"/>
      <c r="F24" s="30"/>
    </row>
    <row r="25" spans="1:6" ht="14.5">
      <c r="A25" s="25">
        <v>43860</v>
      </c>
      <c r="B25" s="26">
        <v>3</v>
      </c>
      <c r="C25" s="22"/>
      <c r="D25" s="22"/>
      <c r="E25" s="22"/>
      <c r="F25" s="22"/>
    </row>
    <row r="26" spans="1:6" ht="14.5">
      <c r="A26" s="25">
        <v>43861</v>
      </c>
      <c r="B26" s="26">
        <v>3</v>
      </c>
      <c r="C26" s="22"/>
      <c r="D26" s="22"/>
      <c r="E26" s="22"/>
      <c r="F26" s="22"/>
    </row>
    <row r="27" spans="1:6" ht="14.5">
      <c r="A27" s="25">
        <v>43862</v>
      </c>
      <c r="B27" s="26">
        <v>3</v>
      </c>
      <c r="C27" s="22"/>
      <c r="D27" s="22"/>
      <c r="E27" s="22"/>
      <c r="F27" s="22"/>
    </row>
    <row r="28" spans="1:6" ht="14.5">
      <c r="A28" s="25">
        <v>43863</v>
      </c>
      <c r="B28" s="26">
        <v>3</v>
      </c>
      <c r="C28" s="22"/>
      <c r="D28" s="22"/>
      <c r="E28" s="22"/>
      <c r="F28" s="22"/>
    </row>
    <row r="29" spans="1:6" ht="15.5">
      <c r="A29" s="25">
        <v>43864</v>
      </c>
      <c r="B29" s="26">
        <v>4</v>
      </c>
      <c r="C29" s="22"/>
      <c r="D29" s="22"/>
      <c r="E29" s="22"/>
      <c r="F29" s="30"/>
    </row>
    <row r="30" spans="1:6" ht="15.5">
      <c r="A30" s="25">
        <v>43865</v>
      </c>
      <c r="B30" s="26">
        <v>4</v>
      </c>
      <c r="C30" s="22"/>
      <c r="D30" s="22"/>
      <c r="E30" s="22"/>
      <c r="F30" s="29"/>
    </row>
    <row r="31" spans="1:6" ht="15.5">
      <c r="A31" s="25">
        <v>43866</v>
      </c>
      <c r="B31" s="26">
        <v>4</v>
      </c>
      <c r="C31" s="22"/>
      <c r="D31" s="22"/>
      <c r="E31" s="22"/>
      <c r="F31" s="29"/>
    </row>
    <row r="32" spans="1:6" ht="14.5">
      <c r="A32" s="25">
        <v>43867</v>
      </c>
      <c r="B32" s="26">
        <v>4</v>
      </c>
      <c r="C32" s="22"/>
      <c r="D32" s="22"/>
      <c r="E32" s="22"/>
      <c r="F32" s="22"/>
    </row>
    <row r="33" spans="1:6" ht="14.5">
      <c r="A33" s="25">
        <v>43868</v>
      </c>
      <c r="B33" s="26">
        <v>4</v>
      </c>
      <c r="C33" s="22"/>
      <c r="D33" s="22"/>
      <c r="E33" s="22"/>
      <c r="F33" s="22"/>
    </row>
    <row r="34" spans="1:6" ht="14.5">
      <c r="A34" s="25">
        <v>43869</v>
      </c>
      <c r="B34" s="26">
        <v>4</v>
      </c>
      <c r="C34" s="22"/>
      <c r="D34" s="22"/>
      <c r="E34" s="22"/>
      <c r="F34" s="22"/>
    </row>
    <row r="35" spans="1:6" ht="14.5">
      <c r="A35" s="25">
        <v>43870</v>
      </c>
      <c r="B35" s="26">
        <v>4</v>
      </c>
      <c r="C35" s="22"/>
      <c r="D35" s="22"/>
      <c r="E35" s="22"/>
      <c r="F35" s="22"/>
    </row>
    <row r="36" spans="1:6" ht="14.5">
      <c r="A36" s="25">
        <v>43871</v>
      </c>
      <c r="B36" s="26">
        <v>5</v>
      </c>
      <c r="C36" s="22"/>
      <c r="D36" s="22"/>
      <c r="E36" s="22"/>
      <c r="F36" s="22"/>
    </row>
    <row r="37" spans="1:6" ht="14.5">
      <c r="A37" s="25">
        <v>43872</v>
      </c>
      <c r="B37" s="26">
        <v>5</v>
      </c>
      <c r="C37" s="22"/>
      <c r="D37" s="22"/>
      <c r="E37" s="22"/>
      <c r="F37" s="22"/>
    </row>
    <row r="38" spans="1:6" ht="14.5">
      <c r="A38" s="25">
        <v>43873</v>
      </c>
      <c r="B38" s="26">
        <v>5</v>
      </c>
      <c r="C38" s="22"/>
      <c r="D38" s="22"/>
      <c r="E38" s="22"/>
      <c r="F38" s="22"/>
    </row>
    <row r="39" spans="1:6" ht="14.5">
      <c r="A39" s="25">
        <v>43874</v>
      </c>
      <c r="B39" s="26">
        <v>5</v>
      </c>
      <c r="C39" s="22"/>
      <c r="D39" s="22"/>
      <c r="E39" s="22"/>
      <c r="F39" s="22"/>
    </row>
    <row r="40" spans="1:6" ht="14.5">
      <c r="A40" s="25">
        <v>43875</v>
      </c>
      <c r="B40" s="26">
        <v>5</v>
      </c>
      <c r="C40" s="22"/>
      <c r="D40" s="22"/>
      <c r="E40" s="22"/>
      <c r="F40" s="22"/>
    </row>
    <row r="41" spans="1:6" ht="14.5">
      <c r="A41" s="25">
        <v>43876</v>
      </c>
      <c r="B41" s="26">
        <v>5</v>
      </c>
      <c r="C41" s="22"/>
      <c r="D41" s="22"/>
      <c r="E41" s="22"/>
      <c r="F41" s="31"/>
    </row>
    <row r="42" spans="1:6" ht="15.5">
      <c r="A42" s="25">
        <v>43877</v>
      </c>
      <c r="B42" s="26">
        <v>5</v>
      </c>
      <c r="C42" s="22"/>
      <c r="D42" s="22"/>
      <c r="E42" s="22"/>
      <c r="F42" s="29"/>
    </row>
    <row r="43" spans="1:6" ht="15.5">
      <c r="A43" s="25">
        <v>43878</v>
      </c>
      <c r="B43" s="26">
        <v>6</v>
      </c>
      <c r="C43" s="22"/>
      <c r="D43" s="22"/>
      <c r="E43" s="22"/>
      <c r="F43" s="29"/>
    </row>
    <row r="44" spans="1:6" ht="14.5">
      <c r="A44" s="25">
        <v>43879</v>
      </c>
      <c r="B44" s="26">
        <v>6</v>
      </c>
      <c r="C44" s="22"/>
      <c r="D44" s="22"/>
      <c r="E44" s="22"/>
      <c r="F44" s="22"/>
    </row>
    <row r="45" spans="1:6" ht="15.5">
      <c r="A45" s="25">
        <v>43880</v>
      </c>
      <c r="B45" s="26">
        <v>6</v>
      </c>
      <c r="C45" s="22"/>
      <c r="D45" s="22"/>
      <c r="E45" s="22"/>
      <c r="F45" s="29"/>
    </row>
    <row r="46" spans="1:6" ht="14.5">
      <c r="A46" s="25">
        <v>43881</v>
      </c>
      <c r="B46" s="26">
        <v>6</v>
      </c>
      <c r="C46" s="22"/>
      <c r="D46" s="22"/>
      <c r="E46" s="22"/>
      <c r="F46" s="22"/>
    </row>
    <row r="47" spans="1:6" ht="14.5">
      <c r="A47" s="25">
        <v>43882</v>
      </c>
      <c r="B47" s="26">
        <v>6</v>
      </c>
      <c r="C47" s="22"/>
      <c r="D47" s="22"/>
      <c r="E47" s="22"/>
      <c r="F47" s="22"/>
    </row>
    <row r="48" spans="1:6" ht="14.5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>
        <v>1</v>
      </c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>
        <v>1</v>
      </c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/>
      <c r="D233" s="22"/>
      <c r="E233" s="22"/>
      <c r="F233" s="22"/>
    </row>
    <row r="234" spans="1:6" ht="14.5">
      <c r="A234" s="25">
        <v>44069</v>
      </c>
      <c r="B234" s="26">
        <v>33</v>
      </c>
      <c r="C234" s="22"/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/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>
        <v>1</v>
      </c>
      <c r="D271" s="22"/>
      <c r="E271" s="22"/>
      <c r="F271" s="22"/>
    </row>
    <row r="272" spans="1:6" ht="14.5">
      <c r="A272" s="25">
        <v>44107</v>
      </c>
      <c r="B272" s="26">
        <v>38</v>
      </c>
      <c r="C272" s="22">
        <v>1</v>
      </c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>
        <v>1</v>
      </c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>
        <v>1</v>
      </c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>
        <v>1</v>
      </c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>
        <v>1</v>
      </c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6" ht="14.5">
      <c r="A353" s="25">
        <v>44188</v>
      </c>
      <c r="B353" s="26">
        <v>50</v>
      </c>
      <c r="C353" s="22">
        <v>1</v>
      </c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>
        <v>2</v>
      </c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>
        <v>3</v>
      </c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>
        <v>3</v>
      </c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>
        <v>1</v>
      </c>
      <c r="D365" s="22"/>
      <c r="E365" s="22"/>
      <c r="F365" s="22"/>
    </row>
    <row r="366" spans="1:6" ht="14.5">
      <c r="A366" s="25">
        <v>44201</v>
      </c>
      <c r="B366" s="26">
        <v>1</v>
      </c>
      <c r="C366" s="22"/>
      <c r="D366" s="22"/>
      <c r="E366" s="22"/>
      <c r="F366" s="22"/>
    </row>
    <row r="367" spans="1:6" ht="14.5">
      <c r="A367" s="25">
        <v>44202</v>
      </c>
      <c r="B367" s="26">
        <v>1</v>
      </c>
      <c r="C367" s="22">
        <v>2</v>
      </c>
      <c r="D367" s="22"/>
      <c r="E367" s="22"/>
      <c r="F367" s="22"/>
    </row>
    <row r="368" spans="1:6" ht="14.5">
      <c r="A368" s="25">
        <v>44203</v>
      </c>
      <c r="B368" s="26">
        <v>1</v>
      </c>
      <c r="C368" s="22">
        <v>1</v>
      </c>
      <c r="D368" s="22"/>
      <c r="E368" s="22"/>
      <c r="F368" s="22"/>
    </row>
    <row r="369" spans="1:6" ht="14.5">
      <c r="A369" s="25">
        <v>44204</v>
      </c>
      <c r="B369" s="26">
        <v>1</v>
      </c>
      <c r="C369" s="22">
        <v>1</v>
      </c>
      <c r="D369" s="22"/>
      <c r="E369" s="22"/>
      <c r="F369" s="22"/>
    </row>
    <row r="370" spans="1:6" ht="14.5">
      <c r="A370" s="25">
        <v>44205</v>
      </c>
      <c r="B370" s="26">
        <v>1</v>
      </c>
      <c r="C370" s="22"/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>
        <v>1</v>
      </c>
      <c r="D373" s="22"/>
      <c r="E373" s="22"/>
      <c r="F373" s="22"/>
    </row>
    <row r="374" spans="1:6" ht="14.5">
      <c r="A374" s="25">
        <v>44209</v>
      </c>
      <c r="B374" s="26">
        <v>2</v>
      </c>
      <c r="C374" s="22">
        <v>1</v>
      </c>
      <c r="D374" s="22"/>
      <c r="E374" s="22"/>
      <c r="F374" s="22"/>
    </row>
    <row r="375" spans="1:6" ht="14.5">
      <c r="A375" s="25">
        <v>44210</v>
      </c>
      <c r="B375" s="26">
        <v>2</v>
      </c>
      <c r="C375" s="22">
        <v>3</v>
      </c>
      <c r="D375" s="22"/>
      <c r="E375" s="22"/>
      <c r="F375" s="22"/>
    </row>
    <row r="376" spans="1:6" ht="14.5">
      <c r="A376" s="25">
        <v>44211</v>
      </c>
      <c r="B376" s="26">
        <v>2</v>
      </c>
      <c r="C376" s="22"/>
      <c r="D376" s="22"/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>
        <v>5</v>
      </c>
      <c r="D379" s="22"/>
      <c r="E379" s="22"/>
      <c r="F379" s="22"/>
    </row>
    <row r="380" spans="1:6" ht="14.5">
      <c r="A380" s="25">
        <v>44215</v>
      </c>
      <c r="B380" s="26">
        <v>3</v>
      </c>
      <c r="C380" s="22">
        <v>1</v>
      </c>
      <c r="D380" s="22"/>
      <c r="E380" s="22"/>
      <c r="F380" s="22"/>
    </row>
    <row r="381" spans="1:6" ht="14.5">
      <c r="A381" s="25">
        <v>44216</v>
      </c>
      <c r="B381" s="26">
        <v>3</v>
      </c>
      <c r="C381" s="22"/>
      <c r="D381" s="22"/>
      <c r="E381" s="22"/>
      <c r="F381" s="22"/>
    </row>
    <row r="382" spans="1:6" ht="14.5">
      <c r="A382" s="25">
        <v>44217</v>
      </c>
      <c r="B382" s="26">
        <v>3</v>
      </c>
      <c r="C382" s="22"/>
      <c r="D382" s="22"/>
      <c r="E382" s="22"/>
      <c r="F382" s="22"/>
    </row>
    <row r="383" spans="1:6" ht="14.5">
      <c r="A383" s="25">
        <v>44218</v>
      </c>
      <c r="B383" s="26">
        <v>3</v>
      </c>
      <c r="C383" s="22"/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22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>
        <v>1</v>
      </c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>
        <v>2</v>
      </c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>
        <v>1</v>
      </c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>
        <v>1</v>
      </c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6" ht="14.5">
      <c r="A465" s="25">
        <v>44300</v>
      </c>
      <c r="B465" s="26">
        <v>15</v>
      </c>
      <c r="C465" s="22"/>
      <c r="D465" s="22"/>
      <c r="E465" s="22"/>
      <c r="F465" s="22"/>
    </row>
    <row r="466" spans="1:6" ht="14.5">
      <c r="A466" s="25">
        <v>44301</v>
      </c>
      <c r="B466" s="26">
        <v>15</v>
      </c>
      <c r="C466" s="22"/>
      <c r="D466" s="22"/>
      <c r="E466" s="22"/>
      <c r="F466" s="22"/>
    </row>
    <row r="467" spans="1:6" ht="14.5">
      <c r="A467" s="25">
        <v>44302</v>
      </c>
      <c r="B467" s="26">
        <v>15</v>
      </c>
      <c r="C467" s="22"/>
      <c r="D467" s="22"/>
      <c r="E467" s="22"/>
      <c r="F467" s="22"/>
    </row>
    <row r="468" spans="1:6" ht="14.5">
      <c r="A468" s="25">
        <v>44303</v>
      </c>
      <c r="B468" s="26">
        <v>15</v>
      </c>
      <c r="C468" s="22"/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>
        <v>1</v>
      </c>
      <c r="D470" s="22"/>
      <c r="E470" s="22"/>
      <c r="F470" s="22"/>
    </row>
    <row r="471" spans="1:6" ht="14.5">
      <c r="A471" s="25">
        <v>44306</v>
      </c>
      <c r="B471" s="26">
        <v>16</v>
      </c>
      <c r="C471" s="22">
        <v>1</v>
      </c>
      <c r="D471" s="22"/>
      <c r="E471" s="22"/>
      <c r="F471" s="22"/>
    </row>
    <row r="472" spans="1:6" ht="14.5">
      <c r="A472" s="25">
        <v>44307</v>
      </c>
      <c r="B472" s="26">
        <v>16</v>
      </c>
      <c r="C472" s="22">
        <v>1</v>
      </c>
      <c r="D472" s="22"/>
      <c r="E472" s="22"/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/>
      <c r="D475" s="22"/>
      <c r="E475" s="22"/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/>
      <c r="D477" s="22"/>
      <c r="E477" s="22"/>
      <c r="F477" s="22"/>
    </row>
    <row r="478" spans="1:6" ht="14.5">
      <c r="A478" s="25">
        <v>44313</v>
      </c>
      <c r="B478" s="26">
        <v>17</v>
      </c>
      <c r="C478" s="22">
        <v>1</v>
      </c>
      <c r="D478" s="22"/>
      <c r="E478" s="22"/>
      <c r="F478" s="22"/>
    </row>
    <row r="479" spans="1:6" ht="14.5">
      <c r="A479" s="25">
        <v>44314</v>
      </c>
      <c r="B479" s="26">
        <v>17</v>
      </c>
      <c r="C479" s="22"/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>
        <v>1</v>
      </c>
      <c r="D481" s="22"/>
      <c r="E481" s="22"/>
      <c r="F481" s="22"/>
    </row>
    <row r="482" spans="1:6" ht="14.5">
      <c r="A482" s="25">
        <v>44317</v>
      </c>
      <c r="B482" s="26">
        <v>17</v>
      </c>
      <c r="C482" s="22"/>
      <c r="D482" s="22"/>
      <c r="E482" s="22"/>
      <c r="F482" s="22"/>
    </row>
    <row r="483" spans="1:6" ht="14.5">
      <c r="A483" s="25">
        <v>44318</v>
      </c>
      <c r="B483" s="26">
        <v>17</v>
      </c>
      <c r="C483" s="22"/>
      <c r="D483" s="22"/>
      <c r="E483" s="22"/>
      <c r="F483" s="22"/>
    </row>
    <row r="484" spans="1:6" ht="14.5">
      <c r="A484" s="25">
        <v>44319</v>
      </c>
      <c r="B484" s="26">
        <v>18</v>
      </c>
      <c r="C484" s="22"/>
      <c r="D484" s="22"/>
      <c r="E484" s="22"/>
      <c r="F484" s="22"/>
    </row>
    <row r="485" spans="1:6" ht="14.5">
      <c r="A485" s="25">
        <v>44320</v>
      </c>
      <c r="B485" s="26">
        <v>18</v>
      </c>
      <c r="C485" s="22"/>
      <c r="D485" s="22"/>
      <c r="E485" s="22"/>
      <c r="F485" s="22"/>
    </row>
    <row r="486" spans="1:6" ht="14.5">
      <c r="A486" s="25">
        <v>44321</v>
      </c>
      <c r="B486" s="26">
        <v>18</v>
      </c>
      <c r="C486" s="22"/>
      <c r="D486" s="22"/>
      <c r="E486" s="22"/>
      <c r="F486" s="22"/>
    </row>
    <row r="487" spans="1:6" ht="14.5">
      <c r="A487" s="25">
        <v>44322</v>
      </c>
      <c r="B487" s="26">
        <v>18</v>
      </c>
      <c r="C487" s="22"/>
      <c r="D487" s="22"/>
      <c r="E487" s="22"/>
      <c r="F487" s="22"/>
    </row>
    <row r="488" spans="1:6" ht="14.5">
      <c r="A488" s="25">
        <v>44323</v>
      </c>
      <c r="B488" s="26">
        <v>18</v>
      </c>
      <c r="C488" s="22">
        <v>1</v>
      </c>
      <c r="D488" s="22"/>
      <c r="E488" s="22"/>
      <c r="F488" s="22"/>
    </row>
    <row r="489" spans="1:6" ht="14.5">
      <c r="A489" s="25">
        <v>44324</v>
      </c>
      <c r="B489" s="26">
        <v>18</v>
      </c>
      <c r="C489" s="22">
        <v>1</v>
      </c>
      <c r="D489" s="22"/>
      <c r="E489" s="22"/>
      <c r="F489" s="22"/>
    </row>
    <row r="490" spans="1:6" ht="14.5">
      <c r="A490" s="25">
        <v>44325</v>
      </c>
      <c r="B490" s="26">
        <v>18</v>
      </c>
      <c r="C490" s="22">
        <v>1</v>
      </c>
      <c r="D490" s="22"/>
      <c r="E490" s="22"/>
      <c r="F490" s="22"/>
    </row>
    <row r="491" spans="1:6" ht="14.5">
      <c r="A491" s="25">
        <v>44326</v>
      </c>
      <c r="B491" s="26">
        <v>19</v>
      </c>
      <c r="C491" s="22">
        <v>2</v>
      </c>
      <c r="D491" s="22"/>
      <c r="E491" s="22"/>
      <c r="F491" s="22"/>
    </row>
    <row r="492" spans="1:6" ht="14.5">
      <c r="A492" s="25">
        <v>44327</v>
      </c>
      <c r="B492" s="26">
        <v>19</v>
      </c>
      <c r="C492" s="22">
        <v>1</v>
      </c>
      <c r="D492" s="22"/>
      <c r="E492" s="22"/>
      <c r="F492" s="22"/>
    </row>
    <row r="493" spans="1:6" ht="14.5">
      <c r="A493" s="25">
        <v>44328</v>
      </c>
      <c r="B493" s="26">
        <v>19</v>
      </c>
      <c r="C493" s="22"/>
      <c r="D493" s="22"/>
      <c r="E493" s="22"/>
      <c r="F493" s="22"/>
    </row>
    <row r="494" spans="1:6" ht="14.5">
      <c r="A494" s="25">
        <v>44329</v>
      </c>
      <c r="B494" s="26">
        <v>19</v>
      </c>
      <c r="C494" s="22">
        <v>1</v>
      </c>
      <c r="D494" s="22"/>
      <c r="E494" s="22"/>
      <c r="F494" s="22"/>
    </row>
    <row r="495" spans="1:6" ht="14.5">
      <c r="A495" s="25">
        <v>44330</v>
      </c>
      <c r="B495" s="26">
        <v>19</v>
      </c>
      <c r="C495" s="22"/>
      <c r="D495" s="22"/>
      <c r="E495" s="22"/>
      <c r="F495" s="22"/>
    </row>
    <row r="496" spans="1:6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/>
      <c r="D499" s="22"/>
      <c r="E499" s="22"/>
      <c r="F499" s="22"/>
    </row>
    <row r="500" spans="1:6" ht="14.5">
      <c r="A500" s="25">
        <v>44335</v>
      </c>
      <c r="B500" s="26">
        <v>20</v>
      </c>
      <c r="C500" s="22">
        <v>2</v>
      </c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>
        <v>1.5</v>
      </c>
      <c r="D502" s="22"/>
      <c r="E502" s="22"/>
      <c r="F502" s="22"/>
    </row>
    <row r="503" spans="1:6" ht="14.5">
      <c r="A503" s="25">
        <v>44338</v>
      </c>
      <c r="B503" s="26">
        <v>20</v>
      </c>
      <c r="C503" s="22">
        <v>2.5</v>
      </c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>
        <v>1.5</v>
      </c>
      <c r="D505" s="22"/>
      <c r="E505" s="22"/>
      <c r="F505" s="22"/>
    </row>
    <row r="506" spans="1:6" ht="14.5">
      <c r="A506" s="25">
        <v>44341</v>
      </c>
      <c r="B506" s="26">
        <v>21</v>
      </c>
      <c r="C506" s="22">
        <v>2.5</v>
      </c>
      <c r="D506" s="22"/>
      <c r="E506" s="22"/>
      <c r="F506" s="22"/>
    </row>
    <row r="507" spans="1:6" ht="14.5">
      <c r="A507" s="25">
        <v>44342</v>
      </c>
      <c r="B507" s="26">
        <v>21</v>
      </c>
      <c r="C507" s="22">
        <v>2</v>
      </c>
      <c r="D507" s="22"/>
      <c r="E507" s="22"/>
      <c r="F507" s="22"/>
    </row>
    <row r="508" spans="1:6" ht="14.5">
      <c r="A508" s="25">
        <v>44343</v>
      </c>
      <c r="B508" s="26">
        <v>21</v>
      </c>
      <c r="C508" s="22">
        <v>3</v>
      </c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>
        <v>2</v>
      </c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>
        <v>1</v>
      </c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>
        <v>1</v>
      </c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>
        <v>1</v>
      </c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>
        <v>1</v>
      </c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>
        <v>2</v>
      </c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>
        <v>1</v>
      </c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>
        <v>1</v>
      </c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22"/>
      <c r="F568" s="22"/>
    </row>
    <row r="569" spans="1:6" ht="14.5">
      <c r="A569" s="28">
        <v>44404</v>
      </c>
      <c r="B569" s="22">
        <v>30</v>
      </c>
      <c r="C569" s="22"/>
      <c r="D569" s="22"/>
      <c r="E569" s="22"/>
      <c r="F569" s="22"/>
    </row>
    <row r="570" spans="1:6" ht="14.5">
      <c r="A570" s="28">
        <v>44405</v>
      </c>
      <c r="B570" s="22">
        <v>30</v>
      </c>
      <c r="C570" s="22"/>
      <c r="D570" s="22"/>
      <c r="E570" s="22"/>
      <c r="F570" s="22"/>
    </row>
    <row r="571" spans="1:6" ht="14.5">
      <c r="A571" s="28">
        <v>44406</v>
      </c>
      <c r="B571" s="22">
        <v>30</v>
      </c>
      <c r="C571" s="22">
        <v>1</v>
      </c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>
        <v>1</v>
      </c>
      <c r="E575" s="22"/>
      <c r="F575" s="22"/>
    </row>
    <row r="576" spans="1:6" ht="14.5">
      <c r="A576" s="28">
        <v>44411</v>
      </c>
      <c r="B576" s="22">
        <v>31</v>
      </c>
      <c r="C576" s="22">
        <v>2</v>
      </c>
      <c r="D576" s="22">
        <v>1</v>
      </c>
      <c r="E576" s="22"/>
      <c r="F576" s="22"/>
    </row>
    <row r="577" spans="1:6" ht="14.5">
      <c r="A577" s="28">
        <v>44412</v>
      </c>
      <c r="B577" s="22">
        <v>31</v>
      </c>
      <c r="C577" s="22"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>
        <v>1</v>
      </c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1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v>1</v>
      </c>
      <c r="D585" s="22">
        <f>1</f>
        <v>1</v>
      </c>
      <c r="E585" s="22"/>
      <c r="F585" s="22"/>
    </row>
    <row r="586" spans="1:6" ht="14.5">
      <c r="A586" s="28">
        <v>44421</v>
      </c>
      <c r="B586" s="22">
        <v>32</v>
      </c>
      <c r="C586" s="22">
        <f>1+1+1</f>
        <v>3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f>1</f>
        <v>1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1</f>
        <v>1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1+1+1</f>
        <v>3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1+1+1+1+1</f>
        <v>5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1+1+1</f>
        <v>3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>1+1+1</f>
        <v>3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1+1</f>
        <v>2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1+1</f>
        <v>2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</f>
        <v>1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>1</f>
        <v>1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>1</f>
        <v>1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>1+1+1</f>
        <v>3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>1+1</f>
        <v>2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>1</f>
        <v>1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>1</f>
        <v>1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>1</f>
        <v>1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>1</f>
        <v>1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1</f>
        <v>1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1+1</f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1</f>
        <v>1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1+1</f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1+1+1+1+1+1</f>
        <v>6</v>
      </c>
      <c r="D740" s="22">
        <f>1+1</f>
        <v>2</v>
      </c>
      <c r="E740" s="22"/>
      <c r="F740" s="22"/>
    </row>
    <row r="741" spans="1:6" ht="14.5">
      <c r="A741" s="28">
        <v>44576</v>
      </c>
      <c r="B741" s="22">
        <v>2</v>
      </c>
      <c r="C741" s="22">
        <f>1+1+1+1+1+1+1+1</f>
        <v>8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1+1</f>
        <v>2</v>
      </c>
      <c r="D742" s="22">
        <f>1+1</f>
        <v>2</v>
      </c>
      <c r="E742" s="22"/>
      <c r="F742" s="22"/>
    </row>
    <row r="743" spans="1:6" ht="14.5">
      <c r="A743" s="28">
        <v>44578</v>
      </c>
      <c r="B743" s="22">
        <v>3</v>
      </c>
      <c r="C743" s="22">
        <f>1+1+1+1+1+1</f>
        <v>6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1+1+1+1+1+1+1</f>
        <v>7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1+1+1+1</f>
        <v>4</v>
      </c>
      <c r="D745" s="22">
        <f>1</f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f>1+1+1+1</f>
        <v>4</v>
      </c>
      <c r="D746" s="22">
        <f>1</f>
        <v>1</v>
      </c>
      <c r="E746" s="22"/>
      <c r="F746" s="22"/>
    </row>
    <row r="747" spans="1:6" ht="14.5">
      <c r="A747" s="28">
        <v>44582</v>
      </c>
      <c r="B747" s="22">
        <v>3</v>
      </c>
      <c r="C747" s="22">
        <f>1+1+1+1+1+1</f>
        <v>6</v>
      </c>
      <c r="D747" s="22">
        <f>1+1+1</f>
        <v>3</v>
      </c>
      <c r="E747" s="22"/>
      <c r="F747" s="22"/>
    </row>
    <row r="748" spans="1:6" ht="14.5">
      <c r="A748" s="28">
        <v>44583</v>
      </c>
      <c r="B748" s="22">
        <v>3</v>
      </c>
      <c r="C748" s="22">
        <f>1+1+1+1+1+1+1</f>
        <v>7</v>
      </c>
      <c r="D748" s="22">
        <f>1</f>
        <v>1</v>
      </c>
      <c r="E748" s="22"/>
      <c r="F748" s="22"/>
    </row>
    <row r="749" spans="1:6" ht="14.5">
      <c r="A749" s="28">
        <v>44584</v>
      </c>
      <c r="B749" s="22">
        <v>3</v>
      </c>
      <c r="C749" s="22">
        <f>1</f>
        <v>1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1+1+1+1</f>
        <v>4</v>
      </c>
      <c r="D750" s="22">
        <f>1+1+1+1+1</f>
        <v>5</v>
      </c>
      <c r="E750" s="22"/>
      <c r="F750" s="22"/>
    </row>
    <row r="751" spans="1:6" ht="14.5">
      <c r="A751" s="28">
        <v>44586</v>
      </c>
      <c r="B751" s="22">
        <v>4</v>
      </c>
      <c r="C751" s="22">
        <f>1+2+1+1+2+1+1+1</f>
        <v>10</v>
      </c>
      <c r="D751" s="22">
        <f>1</f>
        <v>1</v>
      </c>
      <c r="E751" s="22"/>
      <c r="F751" s="22"/>
    </row>
    <row r="752" spans="1:6" ht="14.5">
      <c r="A752" s="28">
        <v>44587</v>
      </c>
      <c r="B752" s="22">
        <v>4</v>
      </c>
      <c r="C752" s="22">
        <f>4+3+1+1</f>
        <v>9</v>
      </c>
      <c r="D752" s="22">
        <f>2+1+1+1</f>
        <v>5</v>
      </c>
      <c r="E752" s="22"/>
      <c r="F752" s="22"/>
    </row>
    <row r="753" spans="1:6" ht="14.5">
      <c r="A753" s="28">
        <v>44588</v>
      </c>
      <c r="B753" s="22">
        <v>4</v>
      </c>
      <c r="C753" s="22">
        <f>1+1</f>
        <v>2</v>
      </c>
      <c r="D753" s="22">
        <f>1+1</f>
        <v>2</v>
      </c>
      <c r="E753" s="22"/>
      <c r="F753" s="22"/>
    </row>
    <row r="754" spans="1:6" ht="14.5">
      <c r="A754" s="28">
        <v>44589</v>
      </c>
      <c r="B754" s="22">
        <v>4</v>
      </c>
      <c r="C754" s="22">
        <f>4+2+1+1</f>
        <v>8</v>
      </c>
      <c r="D754" s="22">
        <f>1+1</f>
        <v>2</v>
      </c>
      <c r="E754" s="22"/>
      <c r="F754" s="22"/>
    </row>
    <row r="755" spans="1:6" ht="14.5">
      <c r="A755" s="28">
        <v>44590</v>
      </c>
      <c r="B755" s="22">
        <v>4</v>
      </c>
      <c r="C755" s="22">
        <f>1+1+1+1+2</f>
        <v>6</v>
      </c>
      <c r="D755" s="22">
        <f>1+1+1+1+1</f>
        <v>5</v>
      </c>
      <c r="E755" s="22"/>
      <c r="F755" s="22"/>
    </row>
    <row r="756" spans="1:6" ht="14.5">
      <c r="A756" s="28">
        <v>44591</v>
      </c>
      <c r="B756" s="22">
        <v>4</v>
      </c>
      <c r="C756" s="22">
        <f>1</f>
        <v>1</v>
      </c>
      <c r="D756" s="22">
        <f>1</f>
        <v>1</v>
      </c>
      <c r="E756" s="22"/>
      <c r="F756" s="22"/>
    </row>
    <row r="757" spans="1:6" ht="14.5">
      <c r="A757" s="28">
        <v>44592</v>
      </c>
      <c r="B757" s="22">
        <v>5</v>
      </c>
      <c r="C757" s="22">
        <f>2+2+1</f>
        <v>5</v>
      </c>
      <c r="D757" s="22">
        <f>1+1</f>
        <v>2</v>
      </c>
      <c r="E757" s="22"/>
      <c r="F757" s="22"/>
    </row>
    <row r="758" spans="1:6" ht="14.5">
      <c r="A758" s="49">
        <v>44593</v>
      </c>
      <c r="B758" s="52">
        <v>5</v>
      </c>
      <c r="C758" s="52">
        <f>1+1+1+1</f>
        <v>4</v>
      </c>
      <c r="D758" s="52">
        <f>1+1+1</f>
        <v>3</v>
      </c>
      <c r="E758" s="52"/>
      <c r="F758" s="52"/>
    </row>
    <row r="759" spans="1:6" ht="14.5">
      <c r="A759" s="49">
        <v>44594</v>
      </c>
      <c r="B759" s="52">
        <v>5</v>
      </c>
      <c r="C759" s="52">
        <f>5+1+1</f>
        <v>7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1+1+1</f>
        <v>3</v>
      </c>
      <c r="D760" s="52">
        <f>1+1</f>
        <v>2</v>
      </c>
      <c r="E760" s="52"/>
      <c r="F760" s="52"/>
    </row>
    <row r="761" spans="1:6" ht="14.5">
      <c r="A761" s="49">
        <v>44596</v>
      </c>
      <c r="B761" s="52">
        <v>5</v>
      </c>
      <c r="C761" s="52">
        <f>1+1+1+1+2+1</f>
        <v>7</v>
      </c>
      <c r="D761" s="52">
        <f>1+1+1+1</f>
        <v>4</v>
      </c>
      <c r="E761" s="52"/>
      <c r="F761" s="52"/>
    </row>
    <row r="762" spans="1:6" ht="14.5">
      <c r="A762" s="49">
        <v>44597</v>
      </c>
      <c r="B762" s="52">
        <v>5</v>
      </c>
      <c r="C762" s="52">
        <f>1+1+4+3+1+1+1</f>
        <v>12</v>
      </c>
      <c r="D762" s="52">
        <f>1+1</f>
        <v>2</v>
      </c>
      <c r="E762" s="52"/>
      <c r="F762" s="52"/>
    </row>
    <row r="763" spans="1:6" ht="14.5">
      <c r="A763" s="49">
        <v>44598</v>
      </c>
      <c r="B763" s="52">
        <v>5</v>
      </c>
      <c r="C763" s="52">
        <f>1+1</f>
        <v>2</v>
      </c>
      <c r="D763" s="52">
        <f>1+1</f>
        <v>2</v>
      </c>
      <c r="E763" s="52"/>
      <c r="F763" s="52"/>
    </row>
    <row r="764" spans="1:6" ht="14.5">
      <c r="A764" s="49">
        <v>44599</v>
      </c>
      <c r="B764" s="52">
        <v>6</v>
      </c>
      <c r="C764" s="52">
        <f>1+1</f>
        <v>2</v>
      </c>
      <c r="D764" s="52">
        <f>1+1</f>
        <v>2</v>
      </c>
      <c r="E764" s="52"/>
      <c r="F764" s="52"/>
    </row>
    <row r="765" spans="1:6" ht="14.5">
      <c r="A765" s="49">
        <v>44600</v>
      </c>
      <c r="B765" s="52">
        <v>6</v>
      </c>
      <c r="C765" s="52">
        <f>1+1</f>
        <v>2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1+1+1+1</f>
        <v>4</v>
      </c>
      <c r="D766" s="52">
        <f>1+1+1+3</f>
        <v>6</v>
      </c>
      <c r="E766" s="52"/>
      <c r="F766" s="52"/>
    </row>
    <row r="767" spans="1:6" ht="14.5">
      <c r="A767" s="49">
        <v>44602</v>
      </c>
      <c r="B767" s="52">
        <v>6</v>
      </c>
      <c r="C767" s="52">
        <f>1+1+1+1</f>
        <v>4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1</f>
        <v>1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2+1+1+1</f>
        <v>5</v>
      </c>
      <c r="D771" s="52">
        <f>1+1</f>
        <v>2</v>
      </c>
      <c r="E771" s="52"/>
      <c r="F771" s="52"/>
    </row>
    <row r="772" spans="1:6" ht="14.5">
      <c r="A772" s="49">
        <v>44607</v>
      </c>
      <c r="B772" s="52">
        <v>7</v>
      </c>
      <c r="C772" s="52">
        <f>1</f>
        <v>1</v>
      </c>
      <c r="D772" s="52">
        <f>1</f>
        <v>1</v>
      </c>
      <c r="E772" s="52"/>
      <c r="F772" s="52"/>
    </row>
    <row r="773" spans="1:6" ht="14.5">
      <c r="A773" s="49">
        <v>44608</v>
      </c>
      <c r="B773" s="52">
        <v>7</v>
      </c>
      <c r="C773" s="52">
        <f>1+1</f>
        <v>2</v>
      </c>
      <c r="D773" s="52">
        <f>1+1</f>
        <v>2</v>
      </c>
      <c r="E773" s="52"/>
      <c r="F773" s="52"/>
    </row>
    <row r="774" spans="1:6" ht="14.5">
      <c r="A774" s="49">
        <v>44609</v>
      </c>
      <c r="B774" s="52">
        <v>7</v>
      </c>
      <c r="C774" s="52">
        <f>1+1+1+1</f>
        <v>4</v>
      </c>
      <c r="D774" s="52">
        <f>1+1</f>
        <v>2</v>
      </c>
      <c r="E774" s="52"/>
      <c r="F774" s="52"/>
    </row>
    <row r="775" spans="1:6" ht="14.5">
      <c r="A775" s="49">
        <v>44610</v>
      </c>
      <c r="B775" s="52">
        <v>7</v>
      </c>
      <c r="C775" s="52"/>
      <c r="D775" s="52">
        <f>4</f>
        <v>4</v>
      </c>
      <c r="E775" s="52"/>
      <c r="F775" s="52"/>
    </row>
    <row r="776" spans="1:6" ht="14.5">
      <c r="A776" s="49">
        <v>44611</v>
      </c>
      <c r="B776" s="52">
        <v>7</v>
      </c>
      <c r="C776" s="52">
        <f>1+1+1</f>
        <v>3</v>
      </c>
      <c r="D776" s="52">
        <f>2</f>
        <v>2</v>
      </c>
      <c r="E776" s="52"/>
      <c r="F776" s="52"/>
    </row>
    <row r="777" spans="1:6" ht="14.5">
      <c r="A777" s="49">
        <v>44612</v>
      </c>
      <c r="B777" s="52">
        <v>7</v>
      </c>
      <c r="C777" s="52">
        <f>1+1+1</f>
        <v>3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1+1+1+1+1</f>
        <v>5</v>
      </c>
      <c r="D778" s="52">
        <f>1+1+1</f>
        <v>3</v>
      </c>
      <c r="E778" s="52"/>
      <c r="F778" s="52"/>
    </row>
    <row r="779" spans="1:6" ht="14.5">
      <c r="A779" s="49">
        <v>44614</v>
      </c>
      <c r="B779" s="52">
        <v>8</v>
      </c>
      <c r="C779" s="52">
        <f>1+1+1+1+1+1</f>
        <v>6</v>
      </c>
      <c r="D779" s="52">
        <f>1+1+1+1</f>
        <v>4</v>
      </c>
      <c r="E779" s="52"/>
      <c r="F779" s="52"/>
    </row>
    <row r="780" spans="1:6" ht="14.5">
      <c r="A780" s="49">
        <v>44615</v>
      </c>
      <c r="B780" s="52">
        <v>8</v>
      </c>
      <c r="C780" s="52">
        <f>1+1+1</f>
        <v>3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>1+1+1+1+1+1+1+1+1</f>
        <v>9</v>
      </c>
      <c r="D781" s="52">
        <f>1+1+1+2</f>
        <v>5</v>
      </c>
      <c r="E781" s="52"/>
      <c r="F781" s="52"/>
    </row>
    <row r="782" spans="1:6" ht="14.5">
      <c r="A782" s="49">
        <v>44617</v>
      </c>
      <c r="B782" s="52">
        <v>8</v>
      </c>
      <c r="C782" s="52">
        <f>1+1</f>
        <v>2</v>
      </c>
      <c r="D782" s="52">
        <f>1+1+1+2</f>
        <v>5</v>
      </c>
      <c r="E782" s="52"/>
      <c r="F782" s="52"/>
    </row>
    <row r="783" spans="1:6" ht="14.5">
      <c r="A783" s="49">
        <v>44618</v>
      </c>
      <c r="B783" s="52">
        <v>8</v>
      </c>
      <c r="C783" s="52">
        <f>1+1+2+1</f>
        <v>5</v>
      </c>
      <c r="D783" s="52">
        <f>2</f>
        <v>2</v>
      </c>
      <c r="E783" s="52"/>
      <c r="F783" s="52"/>
    </row>
    <row r="784" spans="1:6" ht="14.5">
      <c r="A784" s="49">
        <v>44619</v>
      </c>
      <c r="B784" s="52">
        <v>8</v>
      </c>
      <c r="C784" s="52">
        <f>1</f>
        <v>1</v>
      </c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1+1+2+2</f>
        <v>6</v>
      </c>
      <c r="D785" s="52">
        <f>1</f>
        <v>1</v>
      </c>
      <c r="E785" s="52"/>
      <c r="F785" s="52"/>
    </row>
    <row r="786" spans="1:6" ht="14.5">
      <c r="A786" s="64">
        <v>44621</v>
      </c>
      <c r="B786" s="52">
        <v>9</v>
      </c>
      <c r="C786" s="52">
        <f>1+2</f>
        <v>3</v>
      </c>
      <c r="D786" s="52">
        <f>1</f>
        <v>1</v>
      </c>
      <c r="E786" s="52"/>
      <c r="F786" s="52"/>
    </row>
    <row r="787" spans="1:6" ht="14.5">
      <c r="A787" s="64">
        <v>44622</v>
      </c>
      <c r="B787" s="52">
        <v>9</v>
      </c>
      <c r="C787" s="52">
        <f>1+1</f>
        <v>2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>1+1</f>
        <v>2</v>
      </c>
      <c r="D788" s="52"/>
      <c r="E788" s="52"/>
      <c r="F788" s="52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08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activeCell="G2" sqref="G2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48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32</v>
      </c>
      <c r="B2" s="115"/>
      <c r="C2" s="115"/>
      <c r="D2" s="115"/>
      <c r="E2" s="115"/>
      <c r="F2" s="116"/>
      <c r="G2" s="72" t="s">
        <v>310</v>
      </c>
    </row>
    <row r="3" spans="1:7" ht="15" customHeight="1">
      <c r="A3" s="118" t="s">
        <v>311</v>
      </c>
      <c r="B3" s="115"/>
      <c r="C3" s="115"/>
      <c r="D3" s="115"/>
      <c r="E3" s="115"/>
      <c r="F3" s="116"/>
      <c r="G3" s="68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6" ht="14.5">
      <c r="A113" s="25">
        <v>43948</v>
      </c>
      <c r="B113" s="26">
        <v>16</v>
      </c>
      <c r="C113" s="22"/>
      <c r="D113" s="22"/>
      <c r="E113" s="22"/>
      <c r="F113" s="22"/>
    </row>
    <row r="114" spans="1:6" ht="14.5">
      <c r="A114" s="25">
        <v>43949</v>
      </c>
      <c r="B114" s="26">
        <v>16</v>
      </c>
      <c r="C114" s="22"/>
      <c r="D114" s="22"/>
      <c r="E114" s="22"/>
      <c r="F114" s="22"/>
    </row>
    <row r="115" spans="1:6" ht="14.5">
      <c r="A115" s="25">
        <v>43950</v>
      </c>
      <c r="B115" s="26">
        <v>16</v>
      </c>
      <c r="C115" s="22"/>
      <c r="D115" s="22"/>
      <c r="E115" s="22"/>
      <c r="F115" s="22"/>
    </row>
    <row r="116" spans="1:6" ht="14.5">
      <c r="A116" s="25">
        <v>43951</v>
      </c>
      <c r="B116" s="26">
        <v>16</v>
      </c>
      <c r="C116" s="22"/>
      <c r="D116" s="22"/>
      <c r="E116" s="22"/>
      <c r="F116" s="22"/>
    </row>
    <row r="117" spans="1:6" ht="14.5">
      <c r="A117" s="25">
        <v>43952</v>
      </c>
      <c r="B117" s="26">
        <v>16</v>
      </c>
      <c r="C117" s="22"/>
      <c r="D117" s="22"/>
      <c r="E117" s="22"/>
      <c r="F117" s="22"/>
    </row>
    <row r="118" spans="1:6" ht="14.5">
      <c r="A118" s="25">
        <v>43953</v>
      </c>
      <c r="B118" s="26">
        <v>16</v>
      </c>
      <c r="C118" s="22"/>
      <c r="D118" s="22"/>
      <c r="E118" s="22"/>
      <c r="F118" s="22"/>
    </row>
    <row r="119" spans="1:6" ht="14.5">
      <c r="A119" s="25">
        <v>43954</v>
      </c>
      <c r="B119" s="26">
        <v>16</v>
      </c>
      <c r="C119" s="22"/>
      <c r="D119" s="22"/>
      <c r="E119" s="22"/>
      <c r="F119" s="22"/>
    </row>
    <row r="120" spans="1:6" ht="14.5">
      <c r="A120" s="25">
        <v>43955</v>
      </c>
      <c r="B120" s="26">
        <v>17</v>
      </c>
      <c r="C120" s="22"/>
      <c r="D120" s="22"/>
      <c r="E120" s="22"/>
      <c r="F120" s="22"/>
    </row>
    <row r="121" spans="1:6" ht="14.5">
      <c r="A121" s="25">
        <v>43956</v>
      </c>
      <c r="B121" s="26">
        <v>17</v>
      </c>
      <c r="C121" s="22"/>
      <c r="D121" s="22"/>
      <c r="E121" s="22"/>
      <c r="F121" s="22"/>
    </row>
    <row r="122" spans="1:6" ht="14.5">
      <c r="A122" s="25">
        <v>43957</v>
      </c>
      <c r="B122" s="26">
        <v>17</v>
      </c>
      <c r="C122" s="22"/>
      <c r="D122" s="22"/>
      <c r="E122" s="22"/>
      <c r="F122" s="22"/>
    </row>
    <row r="123" spans="1:6" ht="14.5">
      <c r="A123" s="25">
        <v>43958</v>
      </c>
      <c r="B123" s="26">
        <v>17</v>
      </c>
      <c r="C123" s="22"/>
      <c r="D123" s="22"/>
      <c r="E123" s="22"/>
      <c r="F123" s="22"/>
    </row>
    <row r="124" spans="1:6" ht="14.5">
      <c r="A124" s="25">
        <v>43959</v>
      </c>
      <c r="B124" s="26">
        <v>17</v>
      </c>
      <c r="C124" s="22"/>
      <c r="D124" s="22"/>
      <c r="E124" s="22"/>
      <c r="F124" s="22"/>
    </row>
    <row r="125" spans="1:6" ht="14.5">
      <c r="A125" s="25">
        <v>43960</v>
      </c>
      <c r="B125" s="26">
        <v>17</v>
      </c>
      <c r="C125" s="22"/>
      <c r="D125" s="22"/>
      <c r="E125" s="22"/>
      <c r="F125" s="22"/>
    </row>
    <row r="126" spans="1:6" ht="14.5">
      <c r="A126" s="25">
        <v>43961</v>
      </c>
      <c r="B126" s="26">
        <v>17</v>
      </c>
      <c r="C126" s="22"/>
      <c r="D126" s="22"/>
      <c r="E126" s="22"/>
      <c r="F126" s="22"/>
    </row>
    <row r="127" spans="1:6" ht="14.5">
      <c r="A127" s="25">
        <v>43962</v>
      </c>
      <c r="B127" s="26">
        <v>18</v>
      </c>
      <c r="C127" s="22"/>
      <c r="D127" s="22"/>
      <c r="E127" s="22"/>
      <c r="F127" s="22"/>
    </row>
    <row r="128" spans="1:6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>
        <v>1</v>
      </c>
      <c r="D208" s="22"/>
      <c r="E208" s="22"/>
      <c r="F208" s="22"/>
    </row>
    <row r="209" spans="1:6" ht="14.5">
      <c r="A209" s="25">
        <v>44044</v>
      </c>
      <c r="B209" s="26">
        <v>29</v>
      </c>
      <c r="C209" s="22">
        <v>1</v>
      </c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>
        <v>1</v>
      </c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22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6" ht="14.5">
      <c r="A225" s="25">
        <v>44060</v>
      </c>
      <c r="B225" s="26">
        <v>32</v>
      </c>
      <c r="C225" s="22"/>
      <c r="D225" s="22"/>
      <c r="E225" s="22"/>
      <c r="F225" s="22"/>
    </row>
    <row r="226" spans="1:6" ht="14.5">
      <c r="A226" s="25">
        <v>44061</v>
      </c>
      <c r="B226" s="26">
        <v>32</v>
      </c>
      <c r="C226" s="22"/>
      <c r="D226" s="22"/>
      <c r="E226" s="22"/>
      <c r="F226" s="22"/>
    </row>
    <row r="227" spans="1:6" ht="14.5">
      <c r="A227" s="25">
        <v>44062</v>
      </c>
      <c r="B227" s="26">
        <v>32</v>
      </c>
      <c r="C227" s="22"/>
      <c r="D227" s="22"/>
      <c r="E227" s="22"/>
      <c r="F227" s="22"/>
    </row>
    <row r="228" spans="1:6" ht="14.5">
      <c r="A228" s="25">
        <v>44063</v>
      </c>
      <c r="B228" s="26">
        <v>32</v>
      </c>
      <c r="C228" s="22"/>
      <c r="D228" s="22"/>
      <c r="E228" s="22"/>
      <c r="F228" s="22"/>
    </row>
    <row r="229" spans="1:6" ht="14.5">
      <c r="A229" s="25">
        <v>44064</v>
      </c>
      <c r="B229" s="26">
        <v>32</v>
      </c>
      <c r="C229" s="22"/>
      <c r="D229" s="22"/>
      <c r="E229" s="22"/>
      <c r="F229" s="22"/>
    </row>
    <row r="230" spans="1:6" ht="14.5">
      <c r="A230" s="25">
        <v>44065</v>
      </c>
      <c r="B230" s="26">
        <v>32</v>
      </c>
      <c r="C230" s="22"/>
      <c r="D230" s="22"/>
      <c r="E230" s="22"/>
      <c r="F230" s="22"/>
    </row>
    <row r="231" spans="1:6" ht="14.5">
      <c r="A231" s="25">
        <v>44066</v>
      </c>
      <c r="B231" s="26">
        <v>32</v>
      </c>
      <c r="C231" s="22"/>
      <c r="D231" s="22"/>
      <c r="E231" s="22"/>
      <c r="F231" s="22"/>
    </row>
    <row r="232" spans="1:6" ht="14.5">
      <c r="A232" s="25">
        <v>44067</v>
      </c>
      <c r="B232" s="26">
        <v>33</v>
      </c>
      <c r="C232" s="22"/>
      <c r="D232" s="22"/>
      <c r="E232" s="22"/>
      <c r="F232" s="22"/>
    </row>
    <row r="233" spans="1:6" ht="14.5">
      <c r="A233" s="25">
        <v>44068</v>
      </c>
      <c r="B233" s="26">
        <v>33</v>
      </c>
      <c r="C233" s="22">
        <v>1</v>
      </c>
      <c r="D233" s="22"/>
      <c r="E233" s="22"/>
      <c r="F233" s="22"/>
    </row>
    <row r="234" spans="1:6" ht="14.5">
      <c r="A234" s="25">
        <v>44069</v>
      </c>
      <c r="B234" s="26">
        <v>33</v>
      </c>
      <c r="C234" s="22"/>
      <c r="D234" s="22"/>
      <c r="E234" s="22"/>
      <c r="F234" s="22"/>
    </row>
    <row r="235" spans="1:6" ht="14.5">
      <c r="A235" s="25">
        <v>44070</v>
      </c>
      <c r="B235" s="26">
        <v>33</v>
      </c>
      <c r="C235" s="22"/>
      <c r="D235" s="22"/>
      <c r="E235" s="22"/>
      <c r="F235" s="22"/>
    </row>
    <row r="236" spans="1:6" ht="14.5">
      <c r="A236" s="25">
        <v>44071</v>
      </c>
      <c r="B236" s="26">
        <v>33</v>
      </c>
      <c r="C236" s="22"/>
      <c r="D236" s="22"/>
      <c r="E236" s="22"/>
      <c r="F236" s="22"/>
    </row>
    <row r="237" spans="1:6" ht="14.5">
      <c r="A237" s="25">
        <v>44072</v>
      </c>
      <c r="B237" s="26">
        <v>33</v>
      </c>
      <c r="C237" s="22"/>
      <c r="D237" s="22"/>
      <c r="E237" s="22"/>
      <c r="F237" s="22"/>
    </row>
    <row r="238" spans="1:6" ht="14.5">
      <c r="A238" s="25">
        <v>44073</v>
      </c>
      <c r="B238" s="26">
        <v>33</v>
      </c>
      <c r="C238" s="22"/>
      <c r="D238" s="22"/>
      <c r="E238" s="22"/>
      <c r="F238" s="22"/>
    </row>
    <row r="239" spans="1:6" ht="14.5">
      <c r="A239" s="25">
        <v>44074</v>
      </c>
      <c r="B239" s="26">
        <v>34</v>
      </c>
      <c r="C239" s="22"/>
      <c r="D239" s="22"/>
      <c r="E239" s="22"/>
      <c r="F239" s="22"/>
    </row>
    <row r="240" spans="1:6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>
        <v>1</v>
      </c>
      <c r="D267" s="22"/>
      <c r="E267" s="22"/>
      <c r="F267" s="22"/>
    </row>
    <row r="268" spans="1:6" ht="14.5">
      <c r="A268" s="25">
        <v>44103</v>
      </c>
      <c r="B268" s="26">
        <v>38</v>
      </c>
      <c r="C268" s="22">
        <v>3</v>
      </c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>
        <v>1</v>
      </c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>
        <v>1</v>
      </c>
      <c r="D290" s="22">
        <v>1</v>
      </c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>
        <v>1</v>
      </c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>
        <v>1</v>
      </c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>
        <v>1</v>
      </c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22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>
        <v>2</v>
      </c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6" ht="14.5">
      <c r="A353" s="25">
        <v>44188</v>
      </c>
      <c r="B353" s="26">
        <v>50</v>
      </c>
      <c r="C353" s="22"/>
      <c r="D353" s="22"/>
      <c r="E353" s="22"/>
      <c r="F353" s="22"/>
    </row>
    <row r="354" spans="1:6" ht="14.5">
      <c r="A354" s="25">
        <v>44189</v>
      </c>
      <c r="B354" s="26">
        <v>50</v>
      </c>
      <c r="C354" s="22"/>
      <c r="D354" s="22"/>
      <c r="E354" s="22"/>
      <c r="F354" s="22"/>
    </row>
    <row r="355" spans="1:6" ht="14.5">
      <c r="A355" s="25">
        <v>44190</v>
      </c>
      <c r="B355" s="26">
        <v>50</v>
      </c>
      <c r="C355" s="22"/>
      <c r="D355" s="22"/>
      <c r="E355" s="22"/>
      <c r="F355" s="22"/>
    </row>
    <row r="356" spans="1:6" ht="14.5">
      <c r="A356" s="25">
        <v>44191</v>
      </c>
      <c r="B356" s="26">
        <v>50</v>
      </c>
      <c r="C356" s="22"/>
      <c r="D356" s="22"/>
      <c r="E356" s="22"/>
      <c r="F356" s="22"/>
    </row>
    <row r="357" spans="1:6" ht="14.5">
      <c r="A357" s="25">
        <v>44192</v>
      </c>
      <c r="B357" s="26">
        <v>50</v>
      </c>
      <c r="C357" s="22"/>
      <c r="D357" s="22"/>
      <c r="E357" s="22"/>
      <c r="F357" s="22"/>
    </row>
    <row r="358" spans="1:6" ht="14.5">
      <c r="A358" s="25">
        <v>44193</v>
      </c>
      <c r="B358" s="26">
        <v>51</v>
      </c>
      <c r="C358" s="22"/>
      <c r="D358" s="22"/>
      <c r="E358" s="22"/>
      <c r="F358" s="22"/>
    </row>
    <row r="359" spans="1:6" ht="14.5">
      <c r="A359" s="25">
        <v>44194</v>
      </c>
      <c r="B359" s="26">
        <v>51</v>
      </c>
      <c r="C359" s="22"/>
      <c r="D359" s="22"/>
      <c r="E359" s="22"/>
      <c r="F359" s="22"/>
    </row>
    <row r="360" spans="1:6" ht="14.5">
      <c r="A360" s="25">
        <v>44195</v>
      </c>
      <c r="B360" s="26">
        <v>51</v>
      </c>
      <c r="C360" s="22"/>
      <c r="D360" s="22"/>
      <c r="E360" s="22"/>
      <c r="F360" s="22"/>
    </row>
    <row r="361" spans="1:6" ht="14.5">
      <c r="A361" s="25">
        <v>44196</v>
      </c>
      <c r="B361" s="26">
        <v>51</v>
      </c>
      <c r="C361" s="22"/>
      <c r="D361" s="22"/>
      <c r="E361" s="22"/>
      <c r="F361" s="22"/>
    </row>
    <row r="362" spans="1:6" ht="14.5">
      <c r="A362" s="25">
        <v>44197</v>
      </c>
      <c r="B362" s="26">
        <v>51</v>
      </c>
      <c r="C362" s="22"/>
      <c r="D362" s="22"/>
      <c r="E362" s="22"/>
      <c r="F362" s="22"/>
    </row>
    <row r="363" spans="1:6" ht="14.5">
      <c r="A363" s="25">
        <v>44198</v>
      </c>
      <c r="B363" s="26">
        <v>51</v>
      </c>
      <c r="C363" s="22"/>
      <c r="D363" s="22"/>
      <c r="E363" s="22"/>
      <c r="F363" s="22"/>
    </row>
    <row r="364" spans="1:6" ht="14.5">
      <c r="A364" s="25">
        <v>44199</v>
      </c>
      <c r="B364" s="26">
        <v>51</v>
      </c>
      <c r="C364" s="22"/>
      <c r="D364" s="22"/>
      <c r="E364" s="22"/>
      <c r="F364" s="22"/>
    </row>
    <row r="365" spans="1:6" ht="14.5">
      <c r="A365" s="25">
        <v>44200</v>
      </c>
      <c r="B365" s="26">
        <v>1</v>
      </c>
      <c r="C365" s="22"/>
      <c r="D365" s="22"/>
      <c r="E365" s="22"/>
      <c r="F365" s="22"/>
    </row>
    <row r="366" spans="1:6" ht="14.5">
      <c r="A366" s="25">
        <v>44201</v>
      </c>
      <c r="B366" s="26">
        <v>1</v>
      </c>
      <c r="C366" s="22">
        <v>1</v>
      </c>
      <c r="D366" s="22"/>
      <c r="E366" s="22"/>
      <c r="F366" s="22"/>
    </row>
    <row r="367" spans="1:6" ht="14.5">
      <c r="A367" s="25">
        <v>44202</v>
      </c>
      <c r="B367" s="26">
        <v>1</v>
      </c>
      <c r="C367" s="22"/>
      <c r="D367" s="22"/>
      <c r="E367" s="22"/>
      <c r="F367" s="22"/>
    </row>
    <row r="368" spans="1:6" ht="14.5">
      <c r="A368" s="25">
        <v>44203</v>
      </c>
      <c r="B368" s="26">
        <v>1</v>
      </c>
      <c r="C368" s="22"/>
      <c r="D368" s="22"/>
      <c r="E368" s="22"/>
      <c r="F368" s="22"/>
    </row>
    <row r="369" spans="1:6" ht="14.5">
      <c r="A369" s="25">
        <v>44204</v>
      </c>
      <c r="B369" s="26">
        <v>1</v>
      </c>
      <c r="C369" s="22"/>
      <c r="D369" s="22"/>
      <c r="E369" s="22"/>
      <c r="F369" s="22"/>
    </row>
    <row r="370" spans="1:6" ht="14.5">
      <c r="A370" s="25">
        <v>44205</v>
      </c>
      <c r="B370" s="26">
        <v>1</v>
      </c>
      <c r="C370" s="22"/>
      <c r="D370" s="22"/>
      <c r="E370" s="22"/>
      <c r="F370" s="22"/>
    </row>
    <row r="371" spans="1:6" ht="14.5">
      <c r="A371" s="25">
        <v>44206</v>
      </c>
      <c r="B371" s="26">
        <v>1</v>
      </c>
      <c r="C371" s="22"/>
      <c r="D371" s="22"/>
      <c r="E371" s="22"/>
      <c r="F371" s="22"/>
    </row>
    <row r="372" spans="1:6" ht="14.5">
      <c r="A372" s="25">
        <v>44207</v>
      </c>
      <c r="B372" s="26">
        <v>2</v>
      </c>
      <c r="C372" s="22"/>
      <c r="D372" s="22"/>
      <c r="E372" s="22"/>
      <c r="F372" s="22"/>
    </row>
    <row r="373" spans="1:6" ht="14.5">
      <c r="A373" s="25">
        <v>44208</v>
      </c>
      <c r="B373" s="26">
        <v>2</v>
      </c>
      <c r="C373" s="22">
        <v>1</v>
      </c>
      <c r="D373" s="22"/>
      <c r="E373" s="22"/>
      <c r="F373" s="22"/>
    </row>
    <row r="374" spans="1:6" ht="14.5">
      <c r="A374" s="25">
        <v>44209</v>
      </c>
      <c r="B374" s="26">
        <v>2</v>
      </c>
      <c r="C374" s="22"/>
      <c r="D374" s="22"/>
      <c r="E374" s="22"/>
      <c r="F374" s="22"/>
    </row>
    <row r="375" spans="1:6" ht="14.5">
      <c r="A375" s="25">
        <v>44210</v>
      </c>
      <c r="B375" s="26">
        <v>2</v>
      </c>
      <c r="C375" s="22"/>
      <c r="D375" s="22"/>
      <c r="E375" s="22"/>
      <c r="F375" s="22"/>
    </row>
    <row r="376" spans="1:6" ht="14.5">
      <c r="A376" s="25">
        <v>44211</v>
      </c>
      <c r="B376" s="26">
        <v>2</v>
      </c>
      <c r="C376" s="22"/>
      <c r="D376" s="22"/>
      <c r="E376" s="22"/>
      <c r="F376" s="22"/>
    </row>
    <row r="377" spans="1:6" ht="14.5">
      <c r="A377" s="25">
        <v>44212</v>
      </c>
      <c r="B377" s="26">
        <v>2</v>
      </c>
      <c r="C377" s="22"/>
      <c r="D377" s="22"/>
      <c r="E377" s="22"/>
      <c r="F377" s="22"/>
    </row>
    <row r="378" spans="1:6" ht="14.5">
      <c r="A378" s="25">
        <v>44213</v>
      </c>
      <c r="B378" s="26">
        <v>2</v>
      </c>
      <c r="C378" s="22"/>
      <c r="D378" s="22"/>
      <c r="E378" s="22"/>
      <c r="F378" s="22"/>
    </row>
    <row r="379" spans="1:6" ht="14.5">
      <c r="A379" s="25">
        <v>44214</v>
      </c>
      <c r="B379" s="26">
        <v>3</v>
      </c>
      <c r="C379" s="22"/>
      <c r="D379" s="22"/>
      <c r="E379" s="22"/>
      <c r="F379" s="22"/>
    </row>
    <row r="380" spans="1:6" ht="14.5">
      <c r="A380" s="25">
        <v>44215</v>
      </c>
      <c r="B380" s="26">
        <v>3</v>
      </c>
      <c r="C380" s="22">
        <v>3</v>
      </c>
      <c r="D380" s="22"/>
      <c r="E380" s="22"/>
      <c r="F380" s="22"/>
    </row>
    <row r="381" spans="1:6" ht="14.5">
      <c r="A381" s="25">
        <v>44216</v>
      </c>
      <c r="B381" s="26">
        <v>3</v>
      </c>
      <c r="C381" s="22"/>
      <c r="D381" s="22"/>
      <c r="E381" s="22"/>
      <c r="F381" s="22"/>
    </row>
    <row r="382" spans="1:6" ht="14.5">
      <c r="A382" s="25">
        <v>44217</v>
      </c>
      <c r="B382" s="26">
        <v>3</v>
      </c>
      <c r="C382" s="22"/>
      <c r="D382" s="22"/>
      <c r="E382" s="22"/>
      <c r="F382" s="22"/>
    </row>
    <row r="383" spans="1:6" ht="14.5">
      <c r="A383" s="25">
        <v>44218</v>
      </c>
      <c r="B383" s="26">
        <v>3</v>
      </c>
      <c r="C383" s="22">
        <v>2</v>
      </c>
      <c r="D383" s="22"/>
      <c r="E383" s="22"/>
      <c r="F383" s="22"/>
    </row>
    <row r="384" spans="1:6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>
        <v>1</v>
      </c>
      <c r="E386" s="22"/>
      <c r="F386" s="22"/>
    </row>
    <row r="387" spans="1:6" ht="14.5">
      <c r="A387" s="25">
        <v>44222</v>
      </c>
      <c r="B387" s="26">
        <v>4</v>
      </c>
      <c r="C387" s="22">
        <v>1</v>
      </c>
      <c r="D387" s="22"/>
      <c r="E387" s="22"/>
      <c r="F387" s="22"/>
    </row>
    <row r="388" spans="1:6" ht="14.5">
      <c r="A388" s="25">
        <v>44223</v>
      </c>
      <c r="B388" s="26">
        <v>4</v>
      </c>
      <c r="C388" s="22">
        <v>1</v>
      </c>
      <c r="D388" s="22"/>
      <c r="E388" s="22"/>
      <c r="F388" s="22"/>
    </row>
    <row r="389" spans="1:6" ht="14.5">
      <c r="A389" s="25">
        <v>44224</v>
      </c>
      <c r="B389" s="26">
        <v>4</v>
      </c>
      <c r="C389" s="22">
        <v>1</v>
      </c>
      <c r="D389" s="22"/>
      <c r="E389" s="22"/>
      <c r="F389" s="22"/>
    </row>
    <row r="390" spans="1:6" ht="14.5">
      <c r="A390" s="25">
        <v>44225</v>
      </c>
      <c r="B390" s="26">
        <v>4</v>
      </c>
      <c r="C390" s="22">
        <v>1</v>
      </c>
      <c r="D390" s="22"/>
      <c r="E390" s="22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>
        <v>1</v>
      </c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>
        <v>2</v>
      </c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>
        <v>1</v>
      </c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>
        <v>1</v>
      </c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>
        <v>2</v>
      </c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4</v>
      </c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>
        <v>9</v>
      </c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>
        <v>4</v>
      </c>
      <c r="D463" s="22"/>
      <c r="E463" s="22"/>
      <c r="F463" s="22"/>
    </row>
    <row r="464" spans="1:6" ht="14.5">
      <c r="A464" s="25">
        <v>44299</v>
      </c>
      <c r="B464" s="26">
        <v>15</v>
      </c>
      <c r="C464" s="22">
        <v>5</v>
      </c>
      <c r="D464" s="22"/>
      <c r="E464" s="22"/>
      <c r="F464" s="22"/>
    </row>
    <row r="465" spans="1:6" ht="14.5">
      <c r="A465" s="25">
        <v>44300</v>
      </c>
      <c r="B465" s="26">
        <v>15</v>
      </c>
      <c r="C465" s="22"/>
      <c r="D465" s="22"/>
      <c r="E465" s="22"/>
      <c r="F465" s="22"/>
    </row>
    <row r="466" spans="1:6" ht="14.5">
      <c r="A466" s="25">
        <v>44301</v>
      </c>
      <c r="B466" s="26">
        <v>15</v>
      </c>
      <c r="C466" s="22"/>
      <c r="D466" s="22"/>
      <c r="E466" s="22"/>
      <c r="F466" s="22"/>
    </row>
    <row r="467" spans="1:6" ht="14.5">
      <c r="A467" s="25">
        <v>44302</v>
      </c>
      <c r="B467" s="26">
        <v>15</v>
      </c>
      <c r="C467" s="22">
        <v>6</v>
      </c>
      <c r="D467" s="22"/>
      <c r="E467" s="22"/>
      <c r="F467" s="22"/>
    </row>
    <row r="468" spans="1:6" ht="14.5">
      <c r="A468" s="25">
        <v>44303</v>
      </c>
      <c r="B468" s="26">
        <v>15</v>
      </c>
      <c r="C468" s="22"/>
      <c r="D468" s="22"/>
      <c r="E468" s="22"/>
      <c r="F468" s="22"/>
    </row>
    <row r="469" spans="1:6" ht="14.5">
      <c r="A469" s="25">
        <v>44304</v>
      </c>
      <c r="B469" s="26">
        <v>15</v>
      </c>
      <c r="C469" s="22"/>
      <c r="D469" s="22"/>
      <c r="E469" s="22"/>
      <c r="F469" s="22"/>
    </row>
    <row r="470" spans="1:6" ht="14.5">
      <c r="A470" s="25">
        <v>44305</v>
      </c>
      <c r="B470" s="26">
        <v>16</v>
      </c>
      <c r="C470" s="22"/>
      <c r="D470" s="22"/>
      <c r="E470" s="22"/>
      <c r="F470" s="22"/>
    </row>
    <row r="471" spans="1:6" ht="14.5">
      <c r="A471" s="25">
        <v>44306</v>
      </c>
      <c r="B471" s="26">
        <v>16</v>
      </c>
      <c r="C471" s="22"/>
      <c r="D471" s="22"/>
      <c r="E471" s="22"/>
      <c r="F471" s="22"/>
    </row>
    <row r="472" spans="1:6" ht="14.5">
      <c r="A472" s="25">
        <v>44307</v>
      </c>
      <c r="B472" s="26">
        <v>16</v>
      </c>
      <c r="C472" s="22">
        <v>6</v>
      </c>
      <c r="D472" s="22"/>
      <c r="E472" s="22"/>
      <c r="F472" s="22"/>
    </row>
    <row r="473" spans="1:6" ht="14.5">
      <c r="A473" s="25">
        <v>44308</v>
      </c>
      <c r="B473" s="26">
        <v>16</v>
      </c>
      <c r="C473" s="22"/>
      <c r="D473" s="22"/>
      <c r="E473" s="22"/>
      <c r="F473" s="22"/>
    </row>
    <row r="474" spans="1:6" ht="14.5">
      <c r="A474" s="25">
        <v>44309</v>
      </c>
      <c r="B474" s="26">
        <v>16</v>
      </c>
      <c r="C474" s="22"/>
      <c r="D474" s="22"/>
      <c r="E474" s="22"/>
      <c r="F474" s="22"/>
    </row>
    <row r="475" spans="1:6" ht="14.5">
      <c r="A475" s="25">
        <v>44310</v>
      </c>
      <c r="B475" s="26">
        <v>16</v>
      </c>
      <c r="C475" s="22"/>
      <c r="D475" s="22"/>
      <c r="E475" s="22"/>
      <c r="F475" s="22"/>
    </row>
    <row r="476" spans="1:6" ht="14.5">
      <c r="A476" s="25">
        <v>44311</v>
      </c>
      <c r="B476" s="26">
        <v>16</v>
      </c>
      <c r="C476" s="22"/>
      <c r="D476" s="22"/>
      <c r="E476" s="22"/>
      <c r="F476" s="22"/>
    </row>
    <row r="477" spans="1:6" ht="14.5">
      <c r="A477" s="25">
        <v>44312</v>
      </c>
      <c r="B477" s="26">
        <v>17</v>
      </c>
      <c r="C477" s="22"/>
      <c r="D477" s="22"/>
      <c r="E477" s="22"/>
      <c r="F477" s="22"/>
    </row>
    <row r="478" spans="1:6" ht="14.5">
      <c r="A478" s="25">
        <v>44313</v>
      </c>
      <c r="B478" s="26">
        <v>17</v>
      </c>
      <c r="C478" s="22"/>
      <c r="D478" s="22"/>
      <c r="E478" s="22"/>
      <c r="F478" s="22"/>
    </row>
    <row r="479" spans="1:6" ht="14.5">
      <c r="A479" s="25">
        <v>44314</v>
      </c>
      <c r="B479" s="26">
        <v>17</v>
      </c>
      <c r="C479" s="22">
        <v>1</v>
      </c>
      <c r="D479" s="22"/>
      <c r="E479" s="22"/>
      <c r="F479" s="22"/>
    </row>
    <row r="480" spans="1:6" ht="14.5">
      <c r="A480" s="25">
        <v>44315</v>
      </c>
      <c r="B480" s="26">
        <v>17</v>
      </c>
      <c r="C480" s="22"/>
      <c r="D480" s="22"/>
      <c r="E480" s="22"/>
      <c r="F480" s="22"/>
    </row>
    <row r="481" spans="1:6" ht="14.5">
      <c r="A481" s="25">
        <v>44316</v>
      </c>
      <c r="B481" s="26">
        <v>17</v>
      </c>
      <c r="C481" s="22"/>
      <c r="D481" s="22"/>
      <c r="E481" s="22"/>
      <c r="F481" s="22"/>
    </row>
    <row r="482" spans="1:6" ht="14.5">
      <c r="A482" s="25">
        <v>44317</v>
      </c>
      <c r="B482" s="26">
        <v>17</v>
      </c>
      <c r="C482" s="22"/>
      <c r="D482" s="22"/>
      <c r="E482" s="22"/>
      <c r="F482" s="22"/>
    </row>
    <row r="483" spans="1:6" ht="14.5">
      <c r="A483" s="25">
        <v>44318</v>
      </c>
      <c r="B483" s="26">
        <v>17</v>
      </c>
      <c r="C483" s="22"/>
      <c r="D483" s="22"/>
      <c r="E483" s="22"/>
      <c r="F483" s="22"/>
    </row>
    <row r="484" spans="1:6" ht="14.5">
      <c r="A484" s="25">
        <v>44319</v>
      </c>
      <c r="B484" s="26">
        <v>18</v>
      </c>
      <c r="C484" s="22"/>
      <c r="D484" s="22"/>
      <c r="E484" s="22"/>
      <c r="F484" s="22"/>
    </row>
    <row r="485" spans="1:6" ht="14.5">
      <c r="A485" s="25">
        <v>44320</v>
      </c>
      <c r="B485" s="26">
        <v>18</v>
      </c>
      <c r="C485" s="22"/>
      <c r="D485" s="22"/>
      <c r="E485" s="22"/>
      <c r="F485" s="22"/>
    </row>
    <row r="486" spans="1:6" ht="14.5">
      <c r="A486" s="25">
        <v>44321</v>
      </c>
      <c r="B486" s="26">
        <v>18</v>
      </c>
      <c r="C486" s="22"/>
      <c r="D486" s="22"/>
      <c r="E486" s="22"/>
      <c r="F486" s="22"/>
    </row>
    <row r="487" spans="1:6" ht="14.5">
      <c r="A487" s="25">
        <v>44322</v>
      </c>
      <c r="B487" s="26">
        <v>18</v>
      </c>
      <c r="C487" s="22"/>
      <c r="D487" s="22"/>
      <c r="E487" s="22"/>
      <c r="F487" s="22"/>
    </row>
    <row r="488" spans="1:6" ht="14.5">
      <c r="A488" s="25">
        <v>44323</v>
      </c>
      <c r="B488" s="26">
        <v>18</v>
      </c>
      <c r="C488" s="22"/>
      <c r="D488" s="22"/>
      <c r="E488" s="22"/>
      <c r="F488" s="22"/>
    </row>
    <row r="489" spans="1:6" ht="14.5">
      <c r="A489" s="25">
        <v>44324</v>
      </c>
      <c r="B489" s="26">
        <v>18</v>
      </c>
      <c r="C489" s="22"/>
      <c r="D489" s="22"/>
      <c r="E489" s="22"/>
      <c r="F489" s="22"/>
    </row>
    <row r="490" spans="1:6" ht="14.5">
      <c r="A490" s="25">
        <v>44325</v>
      </c>
      <c r="B490" s="26">
        <v>18</v>
      </c>
      <c r="C490" s="22"/>
      <c r="D490" s="22"/>
      <c r="E490" s="22"/>
      <c r="F490" s="22"/>
    </row>
    <row r="491" spans="1:6" ht="14.5">
      <c r="A491" s="25">
        <v>44326</v>
      </c>
      <c r="B491" s="26">
        <v>19</v>
      </c>
      <c r="C491" s="22"/>
      <c r="D491" s="22"/>
      <c r="E491" s="22"/>
      <c r="F491" s="22"/>
    </row>
    <row r="492" spans="1:6" ht="14.5">
      <c r="A492" s="25">
        <v>44327</v>
      </c>
      <c r="B492" s="26">
        <v>19</v>
      </c>
      <c r="C492" s="22"/>
      <c r="D492" s="22"/>
      <c r="E492" s="22"/>
      <c r="F492" s="22"/>
    </row>
    <row r="493" spans="1:6" ht="14.5">
      <c r="A493" s="25">
        <v>44328</v>
      </c>
      <c r="B493" s="26">
        <v>19</v>
      </c>
      <c r="C493" s="22"/>
      <c r="D493" s="22"/>
      <c r="E493" s="22"/>
      <c r="F493" s="22"/>
    </row>
    <row r="494" spans="1:6" ht="14.5">
      <c r="A494" s="25">
        <v>44329</v>
      </c>
      <c r="B494" s="26">
        <v>19</v>
      </c>
      <c r="C494" s="22"/>
      <c r="D494" s="22"/>
      <c r="E494" s="22"/>
      <c r="F494" s="22"/>
    </row>
    <row r="495" spans="1:6" ht="14.5">
      <c r="A495" s="25">
        <v>44330</v>
      </c>
      <c r="B495" s="26">
        <v>19</v>
      </c>
      <c r="C495" s="22">
        <v>4</v>
      </c>
      <c r="D495" s="22">
        <v>1</v>
      </c>
      <c r="E495" s="22"/>
      <c r="F495" s="22"/>
    </row>
    <row r="496" spans="1:6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/>
      <c r="D499" s="22"/>
      <c r="E499" s="22"/>
      <c r="F499" s="22"/>
    </row>
    <row r="500" spans="1:6" ht="14.5">
      <c r="A500" s="25">
        <v>44335</v>
      </c>
      <c r="B500" s="26">
        <v>20</v>
      </c>
      <c r="C500" s="22"/>
      <c r="D500" s="22"/>
      <c r="E500" s="22"/>
      <c r="F500" s="22"/>
    </row>
    <row r="501" spans="1:6" ht="14.5">
      <c r="A501" s="25">
        <v>44336</v>
      </c>
      <c r="B501" s="26">
        <v>20</v>
      </c>
      <c r="C501" s="22"/>
      <c r="D501" s="22"/>
      <c r="E501" s="22"/>
      <c r="F501" s="22"/>
    </row>
    <row r="502" spans="1:6" ht="14.5">
      <c r="A502" s="25">
        <v>44337</v>
      </c>
      <c r="B502" s="26">
        <v>20</v>
      </c>
      <c r="C502" s="22">
        <v>1</v>
      </c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/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/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>
        <v>7</v>
      </c>
      <c r="D512" s="22">
        <v>1</v>
      </c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>
        <v>5</v>
      </c>
      <c r="D521" s="22">
        <v>2</v>
      </c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>
        <v>7</v>
      </c>
      <c r="D523" s="22">
        <v>1</v>
      </c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>
        <v>3</v>
      </c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>
        <v>1</v>
      </c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>
        <v>2</v>
      </c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39"/>
      <c r="F568" s="22"/>
    </row>
    <row r="569" spans="1:6" ht="14.5">
      <c r="A569" s="25">
        <v>44404</v>
      </c>
      <c r="B569" s="26">
        <v>30</v>
      </c>
      <c r="C569" s="22"/>
      <c r="D569" s="22"/>
      <c r="E569" s="39"/>
      <c r="F569" s="22"/>
    </row>
    <row r="570" spans="1:6" ht="14.5">
      <c r="A570" s="25">
        <v>44405</v>
      </c>
      <c r="B570" s="26">
        <v>30</v>
      </c>
      <c r="C570" s="22"/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v>9</v>
      </c>
      <c r="D578" s="22">
        <v>3</v>
      </c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v>16</v>
      </c>
      <c r="D593" s="22">
        <v>5</v>
      </c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>5+(7/24)</f>
        <v>5.291666666666667</v>
      </c>
      <c r="D605" s="22">
        <f>3+(19/24)</f>
        <v>3.7916666666666665</v>
      </c>
      <c r="E605" s="22"/>
      <c r="F605" s="22"/>
    </row>
    <row r="606" spans="1:6" ht="14.5">
      <c r="A606" s="28">
        <v>44441</v>
      </c>
      <c r="B606" s="22">
        <v>35</v>
      </c>
      <c r="C606" s="22">
        <f t="shared" ref="C606:C627" si="0">(7/24)</f>
        <v>0.29166666666666669</v>
      </c>
      <c r="D606" s="22">
        <f>(19/24)</f>
        <v>0.79166666666666663</v>
      </c>
      <c r="E606" s="22"/>
      <c r="F606" s="22"/>
    </row>
    <row r="607" spans="1:6" ht="14.5">
      <c r="A607" s="28">
        <v>44442</v>
      </c>
      <c r="B607" s="22">
        <v>35</v>
      </c>
      <c r="C607" s="22">
        <f t="shared" si="0"/>
        <v>0.29166666666666669</v>
      </c>
      <c r="D607" s="22">
        <f t="shared" ref="D607:D627" si="1">19/24</f>
        <v>0.79166666666666663</v>
      </c>
      <c r="E607" s="22"/>
      <c r="F607" s="22"/>
    </row>
    <row r="608" spans="1:6" ht="14.5">
      <c r="A608" s="28">
        <v>44443</v>
      </c>
      <c r="B608" s="22">
        <v>35</v>
      </c>
      <c r="C608" s="22">
        <f t="shared" si="0"/>
        <v>0.29166666666666669</v>
      </c>
      <c r="D608" s="22">
        <f t="shared" si="1"/>
        <v>0.79166666666666663</v>
      </c>
      <c r="E608" s="22"/>
      <c r="F608" s="22"/>
    </row>
    <row r="609" spans="1:6" ht="14.5">
      <c r="A609" s="28">
        <v>44444</v>
      </c>
      <c r="B609" s="22">
        <v>35</v>
      </c>
      <c r="C609" s="22">
        <f t="shared" si="0"/>
        <v>0.29166666666666669</v>
      </c>
      <c r="D609" s="22">
        <f t="shared" si="1"/>
        <v>0.79166666666666663</v>
      </c>
      <c r="E609" s="22"/>
      <c r="F609" s="22"/>
    </row>
    <row r="610" spans="1:6" ht="14.5">
      <c r="A610" s="28">
        <v>44445</v>
      </c>
      <c r="B610" s="22">
        <v>36</v>
      </c>
      <c r="C610" s="22">
        <f t="shared" si="0"/>
        <v>0.29166666666666669</v>
      </c>
      <c r="D610" s="22">
        <f t="shared" si="1"/>
        <v>0.79166666666666663</v>
      </c>
      <c r="E610" s="22"/>
      <c r="F610" s="22"/>
    </row>
    <row r="611" spans="1:6" ht="14.5">
      <c r="A611" s="28">
        <v>44446</v>
      </c>
      <c r="B611" s="22">
        <v>36</v>
      </c>
      <c r="C611" s="22">
        <f t="shared" si="0"/>
        <v>0.29166666666666669</v>
      </c>
      <c r="D611" s="22">
        <f t="shared" si="1"/>
        <v>0.79166666666666663</v>
      </c>
      <c r="E611" s="22"/>
      <c r="F611" s="22"/>
    </row>
    <row r="612" spans="1:6" ht="14.5">
      <c r="A612" s="28">
        <v>44447</v>
      </c>
      <c r="B612" s="22">
        <v>36</v>
      </c>
      <c r="C612" s="22">
        <f t="shared" si="0"/>
        <v>0.29166666666666669</v>
      </c>
      <c r="D612" s="22">
        <f t="shared" si="1"/>
        <v>0.79166666666666663</v>
      </c>
      <c r="E612" s="22"/>
      <c r="F612" s="22"/>
    </row>
    <row r="613" spans="1:6" ht="14.5">
      <c r="A613" s="28">
        <v>44448</v>
      </c>
      <c r="B613" s="22">
        <v>36</v>
      </c>
      <c r="C613" s="22">
        <f t="shared" si="0"/>
        <v>0.29166666666666669</v>
      </c>
      <c r="D613" s="22">
        <f t="shared" si="1"/>
        <v>0.79166666666666663</v>
      </c>
      <c r="E613" s="22"/>
      <c r="F613" s="22"/>
    </row>
    <row r="614" spans="1:6" ht="14.5">
      <c r="A614" s="28">
        <v>44449</v>
      </c>
      <c r="B614" s="22">
        <v>36</v>
      </c>
      <c r="C614" s="22">
        <f t="shared" si="0"/>
        <v>0.29166666666666669</v>
      </c>
      <c r="D614" s="22">
        <f t="shared" si="1"/>
        <v>0.79166666666666663</v>
      </c>
      <c r="E614" s="22"/>
      <c r="F614" s="22"/>
    </row>
    <row r="615" spans="1:6" ht="14.5">
      <c r="A615" s="28">
        <v>44450</v>
      </c>
      <c r="B615" s="22">
        <v>36</v>
      </c>
      <c r="C615" s="22">
        <f t="shared" si="0"/>
        <v>0.29166666666666669</v>
      </c>
      <c r="D615" s="22">
        <f t="shared" si="1"/>
        <v>0.79166666666666663</v>
      </c>
      <c r="E615" s="22"/>
      <c r="F615" s="22"/>
    </row>
    <row r="616" spans="1:6" ht="14.5">
      <c r="A616" s="28">
        <v>44451</v>
      </c>
      <c r="B616" s="22">
        <v>36</v>
      </c>
      <c r="C616" s="22">
        <f t="shared" si="0"/>
        <v>0.29166666666666669</v>
      </c>
      <c r="D616" s="22">
        <f t="shared" si="1"/>
        <v>0.79166666666666663</v>
      </c>
      <c r="E616" s="22"/>
      <c r="F616" s="22"/>
    </row>
    <row r="617" spans="1:6" ht="14.5">
      <c r="A617" s="28">
        <v>44452</v>
      </c>
      <c r="B617" s="22">
        <v>37</v>
      </c>
      <c r="C617" s="22">
        <f t="shared" si="0"/>
        <v>0.29166666666666669</v>
      </c>
      <c r="D617" s="22">
        <f t="shared" si="1"/>
        <v>0.79166666666666663</v>
      </c>
      <c r="E617" s="22"/>
      <c r="F617" s="22"/>
    </row>
    <row r="618" spans="1:6" ht="14.5">
      <c r="A618" s="28">
        <v>44453</v>
      </c>
      <c r="B618" s="22">
        <v>37</v>
      </c>
      <c r="C618" s="22">
        <f t="shared" si="0"/>
        <v>0.29166666666666669</v>
      </c>
      <c r="D618" s="22">
        <f t="shared" si="1"/>
        <v>0.79166666666666663</v>
      </c>
      <c r="E618" s="22"/>
      <c r="F618" s="22"/>
    </row>
    <row r="619" spans="1:6" ht="14.5">
      <c r="A619" s="28">
        <v>44454</v>
      </c>
      <c r="B619" s="22">
        <v>37</v>
      </c>
      <c r="C619" s="22">
        <f t="shared" si="0"/>
        <v>0.29166666666666669</v>
      </c>
      <c r="D619" s="22">
        <f t="shared" si="1"/>
        <v>0.79166666666666663</v>
      </c>
      <c r="E619" s="22"/>
      <c r="F619" s="22"/>
    </row>
    <row r="620" spans="1:6" ht="14.5">
      <c r="A620" s="28">
        <v>44455</v>
      </c>
      <c r="B620" s="22">
        <v>37</v>
      </c>
      <c r="C620" s="22">
        <f t="shared" si="0"/>
        <v>0.29166666666666669</v>
      </c>
      <c r="D620" s="22">
        <f t="shared" si="1"/>
        <v>0.79166666666666663</v>
      </c>
      <c r="E620" s="22"/>
      <c r="F620" s="22"/>
    </row>
    <row r="621" spans="1:6" ht="14.5">
      <c r="A621" s="28">
        <v>44456</v>
      </c>
      <c r="B621" s="22">
        <v>37</v>
      </c>
      <c r="C621" s="22">
        <f t="shared" si="0"/>
        <v>0.29166666666666669</v>
      </c>
      <c r="D621" s="22">
        <f t="shared" si="1"/>
        <v>0.79166666666666663</v>
      </c>
      <c r="E621" s="22"/>
      <c r="F621" s="22"/>
    </row>
    <row r="622" spans="1:6" ht="14.5">
      <c r="A622" s="28">
        <v>44457</v>
      </c>
      <c r="B622" s="22">
        <v>37</v>
      </c>
      <c r="C622" s="22">
        <f t="shared" si="0"/>
        <v>0.29166666666666669</v>
      </c>
      <c r="D622" s="22">
        <f t="shared" si="1"/>
        <v>0.79166666666666663</v>
      </c>
      <c r="E622" s="22"/>
      <c r="F622" s="22"/>
    </row>
    <row r="623" spans="1:6" ht="14.5">
      <c r="A623" s="28">
        <v>44458</v>
      </c>
      <c r="B623" s="22">
        <v>37</v>
      </c>
      <c r="C623" s="22">
        <f t="shared" si="0"/>
        <v>0.29166666666666669</v>
      </c>
      <c r="D623" s="22">
        <f t="shared" si="1"/>
        <v>0.79166666666666663</v>
      </c>
      <c r="E623" s="22"/>
      <c r="F623" s="22"/>
    </row>
    <row r="624" spans="1:6" ht="14.5">
      <c r="A624" s="28">
        <v>44459</v>
      </c>
      <c r="B624" s="22">
        <v>38</v>
      </c>
      <c r="C624" s="22">
        <f t="shared" si="0"/>
        <v>0.29166666666666669</v>
      </c>
      <c r="D624" s="22">
        <f t="shared" si="1"/>
        <v>0.79166666666666663</v>
      </c>
      <c r="E624" s="22"/>
      <c r="F624" s="22"/>
    </row>
    <row r="625" spans="1:6" ht="14.5">
      <c r="A625" s="28">
        <v>44460</v>
      </c>
      <c r="B625" s="22">
        <v>38</v>
      </c>
      <c r="C625" s="22">
        <f t="shared" si="0"/>
        <v>0.29166666666666669</v>
      </c>
      <c r="D625" s="22">
        <f t="shared" si="1"/>
        <v>0.79166666666666663</v>
      </c>
      <c r="E625" s="22"/>
      <c r="F625" s="22"/>
    </row>
    <row r="626" spans="1:6" ht="14.5">
      <c r="A626" s="28">
        <v>44461</v>
      </c>
      <c r="B626" s="22">
        <v>38</v>
      </c>
      <c r="C626" s="22">
        <f t="shared" si="0"/>
        <v>0.29166666666666669</v>
      </c>
      <c r="D626" s="22">
        <f t="shared" si="1"/>
        <v>0.79166666666666663</v>
      </c>
      <c r="E626" s="22"/>
      <c r="F626" s="22"/>
    </row>
    <row r="627" spans="1:6" ht="14.5">
      <c r="A627" s="28">
        <v>44462</v>
      </c>
      <c r="B627" s="22">
        <v>38</v>
      </c>
      <c r="C627" s="22">
        <f t="shared" si="0"/>
        <v>0.29166666666666669</v>
      </c>
      <c r="D627" s="22">
        <f t="shared" si="1"/>
        <v>0.79166666666666663</v>
      </c>
      <c r="E627" s="22"/>
      <c r="F627" s="22"/>
    </row>
    <row r="628" spans="1:6" ht="14.5">
      <c r="A628" s="28">
        <v>44463</v>
      </c>
      <c r="B628" s="22">
        <v>38</v>
      </c>
      <c r="C628" s="22">
        <f>(7/24)</f>
        <v>0.29166666666666669</v>
      </c>
      <c r="D628" s="22">
        <f>19/24</f>
        <v>0.79166666666666663</v>
      </c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>
        <v>1</v>
      </c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>
        <v>1</v>
      </c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>
        <v>1</v>
      </c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>
        <v>1</v>
      </c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11</v>
      </c>
      <c r="D733" s="22">
        <v>3</v>
      </c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/>
      <c r="D739" s="22"/>
      <c r="E739" s="22"/>
      <c r="F739" s="22"/>
    </row>
    <row r="740" spans="1:6" ht="14.5">
      <c r="A740" s="28">
        <v>44575</v>
      </c>
      <c r="B740" s="22">
        <v>2</v>
      </c>
      <c r="C740" s="22"/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77</v>
      </c>
      <c r="D743" s="22">
        <v>7</v>
      </c>
      <c r="E743" s="22"/>
      <c r="F743" s="22"/>
    </row>
    <row r="744" spans="1:6" ht="14.5">
      <c r="A744" s="28">
        <v>44579</v>
      </c>
      <c r="B744" s="22">
        <v>3</v>
      </c>
      <c r="C744" s="22"/>
      <c r="D744" s="22"/>
      <c r="E744" s="22"/>
      <c r="F744" s="22"/>
    </row>
    <row r="745" spans="1:6" ht="14.5">
      <c r="A745" s="28">
        <v>44580</v>
      </c>
      <c r="B745" s="22">
        <v>3</v>
      </c>
      <c r="C745" s="22"/>
      <c r="D745" s="22"/>
      <c r="E745" s="22"/>
      <c r="F745" s="22"/>
    </row>
    <row r="746" spans="1:6" ht="14.5">
      <c r="A746" s="28">
        <v>44581</v>
      </c>
      <c r="B746" s="22">
        <v>3</v>
      </c>
      <c r="C746" s="22"/>
      <c r="D746" s="22"/>
      <c r="E746" s="22"/>
      <c r="F746" s="22"/>
    </row>
    <row r="747" spans="1:6" ht="14.5">
      <c r="A747" s="28">
        <v>44582</v>
      </c>
      <c r="B747" s="22">
        <v>3</v>
      </c>
      <c r="C747" s="22"/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/>
      <c r="D750" s="22"/>
      <c r="E750" s="22"/>
      <c r="F750" s="22"/>
    </row>
    <row r="751" spans="1:6" ht="14.5">
      <c r="A751" s="28">
        <v>44586</v>
      </c>
      <c r="B751" s="22">
        <v>4</v>
      </c>
      <c r="C751" s="22"/>
      <c r="D751" s="22"/>
      <c r="E751" s="22"/>
      <c r="F751" s="22"/>
    </row>
    <row r="752" spans="1:6" ht="14.5">
      <c r="A752" s="28">
        <v>44587</v>
      </c>
      <c r="B752" s="22">
        <v>4</v>
      </c>
      <c r="C752" s="22"/>
      <c r="D752" s="22"/>
      <c r="E752" s="22"/>
      <c r="F752" s="22"/>
    </row>
    <row r="753" spans="1:6" ht="14.5">
      <c r="A753" s="28">
        <v>44588</v>
      </c>
      <c r="B753" s="22">
        <v>4</v>
      </c>
      <c r="C753" s="22"/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v>33</v>
      </c>
      <c r="D754" s="22">
        <v>7</v>
      </c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/>
      <c r="D757" s="22"/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/>
      <c r="D759" s="52"/>
      <c r="E759" s="52"/>
      <c r="F759" s="52"/>
    </row>
    <row r="760" spans="1:6" ht="14.5">
      <c r="A760" s="49">
        <v>44595</v>
      </c>
      <c r="B760" s="52">
        <v>5</v>
      </c>
      <c r="C760" s="52"/>
      <c r="D760" s="52"/>
      <c r="E760" s="52"/>
      <c r="F760" s="52"/>
    </row>
    <row r="761" spans="1:6" ht="14.5">
      <c r="A761" s="49">
        <v>44596</v>
      </c>
      <c r="B761" s="52">
        <v>5</v>
      </c>
      <c r="C761" s="52"/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/>
      <c r="D764" s="52"/>
      <c r="E764" s="52"/>
      <c r="F764" s="52"/>
    </row>
    <row r="765" spans="1:6" ht="14.5">
      <c r="A765" s="49">
        <v>44600</v>
      </c>
      <c r="B765" s="52">
        <v>6</v>
      </c>
      <c r="C765" s="52"/>
      <c r="D765" s="52"/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v>15</v>
      </c>
      <c r="D767" s="52">
        <v>14</v>
      </c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/>
      <c r="E771" s="52"/>
      <c r="F771" s="52"/>
    </row>
    <row r="772" spans="1:6" ht="14.5">
      <c r="A772" s="49">
        <v>44607</v>
      </c>
      <c r="B772" s="52">
        <v>7</v>
      </c>
      <c r="C772" s="52"/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/>
      <c r="D778" s="52"/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v>12</v>
      </c>
      <c r="D782" s="52">
        <v>20</v>
      </c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/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6">
    <mergeCell ref="A6:F6"/>
    <mergeCell ref="A1:F1"/>
    <mergeCell ref="A2:F2"/>
    <mergeCell ref="A3:F3"/>
    <mergeCell ref="A4:F4"/>
    <mergeCell ref="A5:F5"/>
  </mergeCells>
  <phoneticPr fontId="13"/>
  <hyperlinks>
    <hyperlink ref="A2" r:id="rId1" xr:uid="{00000000-0004-0000-13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53</v>
      </c>
      <c r="B1" s="112"/>
      <c r="C1" s="112"/>
      <c r="D1" s="112"/>
      <c r="E1" s="112"/>
      <c r="F1" s="113"/>
      <c r="G1" s="69" t="s">
        <v>86</v>
      </c>
    </row>
    <row r="2" spans="1:7" ht="30" customHeight="1">
      <c r="A2" s="123" t="s">
        <v>33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312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33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>
        <v>1</v>
      </c>
      <c r="D209" s="22"/>
      <c r="E209" s="22"/>
      <c r="F209" s="22"/>
    </row>
    <row r="210" spans="1:6" ht="14.5">
      <c r="A210" s="25">
        <v>44045</v>
      </c>
      <c r="B210" s="26">
        <v>29</v>
      </c>
      <c r="C210" s="22">
        <v>9</v>
      </c>
      <c r="D210" s="22"/>
      <c r="E210" s="22"/>
      <c r="F210" s="22"/>
    </row>
    <row r="211" spans="1:6" ht="14.5">
      <c r="A211" s="25">
        <v>44046</v>
      </c>
      <c r="B211" s="26">
        <v>30</v>
      </c>
      <c r="C211" s="22">
        <v>5</v>
      </c>
      <c r="D211" s="22"/>
      <c r="E211" s="22"/>
      <c r="F211" s="22"/>
    </row>
    <row r="212" spans="1:6" ht="14.5">
      <c r="A212" s="25">
        <v>44047</v>
      </c>
      <c r="B212" s="26">
        <v>30</v>
      </c>
      <c r="C212" s="22">
        <v>7</v>
      </c>
      <c r="D212" s="22"/>
      <c r="E212" s="33"/>
      <c r="F212" s="22"/>
    </row>
    <row r="213" spans="1:6" ht="14.5">
      <c r="A213" s="25">
        <v>44048</v>
      </c>
      <c r="B213" s="26">
        <v>30</v>
      </c>
      <c r="C213" s="22">
        <v>1</v>
      </c>
      <c r="D213" s="22"/>
      <c r="E213" s="22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>
        <v>1</v>
      </c>
      <c r="E216" s="33"/>
      <c r="F216" s="22"/>
    </row>
    <row r="217" spans="1:6" ht="14.5">
      <c r="A217" s="25">
        <v>44052</v>
      </c>
      <c r="B217" s="26">
        <v>30</v>
      </c>
      <c r="C217" s="22"/>
      <c r="D217" s="22"/>
      <c r="E217" s="33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>
        <v>1</v>
      </c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>
        <v>1</v>
      </c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33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33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33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33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>
        <v>6</v>
      </c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>
        <v>3</v>
      </c>
      <c r="D327" s="22"/>
      <c r="E327" s="33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33"/>
      <c r="F331" s="22"/>
    </row>
    <row r="332" spans="1:6" ht="14.5">
      <c r="A332" s="25">
        <v>44167</v>
      </c>
      <c r="B332" s="26">
        <v>47</v>
      </c>
      <c r="C332" s="22"/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33"/>
      <c r="F333" s="22"/>
    </row>
    <row r="334" spans="1:6" ht="14.5">
      <c r="A334" s="25">
        <v>44169</v>
      </c>
      <c r="B334" s="26">
        <v>47</v>
      </c>
      <c r="C334" s="22"/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/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>
        <v>1</v>
      </c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>
        <v>1</v>
      </c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33"/>
      <c r="F352" s="22"/>
    </row>
    <row r="353" spans="1:7" ht="14.5">
      <c r="A353" s="25">
        <v>44188</v>
      </c>
      <c r="B353" s="26">
        <v>50</v>
      </c>
      <c r="C353" s="22">
        <v>5</v>
      </c>
      <c r="D353" s="22"/>
      <c r="E353" s="22"/>
      <c r="F353" s="22"/>
    </row>
    <row r="354" spans="1:7" ht="14.5">
      <c r="A354" s="25">
        <v>44189</v>
      </c>
      <c r="B354" s="26">
        <v>50</v>
      </c>
      <c r="C354" s="22">
        <v>3</v>
      </c>
      <c r="D354" s="22"/>
      <c r="E354" s="22"/>
      <c r="F354" s="22"/>
    </row>
    <row r="355" spans="1:7" ht="14.5">
      <c r="A355" s="25">
        <v>44190</v>
      </c>
      <c r="B355" s="26">
        <v>50</v>
      </c>
      <c r="C355" s="22">
        <v>1</v>
      </c>
      <c r="D355" s="22"/>
      <c r="E355" s="22"/>
      <c r="F355" s="22"/>
    </row>
    <row r="356" spans="1:7" ht="14.5">
      <c r="A356" s="25">
        <v>44191</v>
      </c>
      <c r="B356" s="26">
        <v>50</v>
      </c>
      <c r="C356" s="22">
        <v>1</v>
      </c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>
        <v>8</v>
      </c>
      <c r="D358" s="22"/>
      <c r="E358" s="22"/>
      <c r="F358" s="22"/>
    </row>
    <row r="359" spans="1:7" ht="14.5">
      <c r="A359" s="25">
        <v>44194</v>
      </c>
      <c r="B359" s="26">
        <v>51</v>
      </c>
      <c r="C359" s="22">
        <v>3</v>
      </c>
      <c r="D359" s="22"/>
      <c r="E359" s="22"/>
      <c r="F359" s="22"/>
    </row>
    <row r="360" spans="1:7" ht="14.5">
      <c r="A360" s="25">
        <v>44195</v>
      </c>
      <c r="B360" s="26">
        <v>51</v>
      </c>
      <c r="C360" s="22">
        <v>1</v>
      </c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>
        <v>2</v>
      </c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26"/>
    </row>
    <row r="366" spans="1:7" ht="14.5">
      <c r="A366" s="25">
        <v>44201</v>
      </c>
      <c r="B366" s="26">
        <v>1</v>
      </c>
      <c r="C366" s="22">
        <v>1</v>
      </c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/>
      <c r="D368" s="22"/>
      <c r="E368" s="22"/>
      <c r="F368" s="22"/>
    </row>
    <row r="369" spans="1:7" ht="14.5">
      <c r="A369" s="25">
        <v>44204</v>
      </c>
      <c r="B369" s="26">
        <v>1</v>
      </c>
      <c r="C369" s="22"/>
      <c r="D369" s="22"/>
      <c r="E369" s="22"/>
      <c r="F369" s="22"/>
      <c r="G369" s="126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2</v>
      </c>
      <c r="D373" s="22"/>
      <c r="E373" s="22"/>
      <c r="F373" s="33"/>
    </row>
    <row r="374" spans="1:7" ht="14.5">
      <c r="A374" s="25">
        <v>44209</v>
      </c>
      <c r="B374" s="26">
        <v>2</v>
      </c>
      <c r="C374" s="22">
        <v>2</v>
      </c>
      <c r="D374" s="22"/>
      <c r="E374" s="22"/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33"/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33"/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6" ht="14.5">
      <c r="A385" s="25">
        <v>44220</v>
      </c>
      <c r="B385" s="26">
        <v>3</v>
      </c>
      <c r="C385" s="22"/>
      <c r="D385" s="22"/>
      <c r="E385" s="22"/>
      <c r="F385" s="22"/>
    </row>
    <row r="386" spans="1:6" ht="14.5">
      <c r="A386" s="25">
        <v>44221</v>
      </c>
      <c r="B386" s="26">
        <v>4</v>
      </c>
      <c r="C386" s="22"/>
      <c r="D386" s="22"/>
      <c r="E386" s="22"/>
      <c r="F386" s="22"/>
    </row>
    <row r="387" spans="1:6" ht="14.5">
      <c r="A387" s="25">
        <v>44222</v>
      </c>
      <c r="B387" s="26">
        <v>4</v>
      </c>
      <c r="C387" s="22"/>
      <c r="D387" s="22"/>
      <c r="E387" s="22"/>
      <c r="F387" s="22"/>
    </row>
    <row r="388" spans="1:6" ht="14.5">
      <c r="A388" s="25">
        <v>44223</v>
      </c>
      <c r="B388" s="26">
        <v>4</v>
      </c>
      <c r="C388" s="22"/>
      <c r="D388" s="22"/>
      <c r="E388" s="22"/>
      <c r="F388" s="22"/>
    </row>
    <row r="389" spans="1:6" ht="14.5">
      <c r="A389" s="25">
        <v>44224</v>
      </c>
      <c r="B389" s="26">
        <v>4</v>
      </c>
      <c r="C389" s="22"/>
      <c r="D389" s="22"/>
      <c r="E389" s="22"/>
      <c r="F389" s="22"/>
    </row>
    <row r="390" spans="1:6" ht="14.5">
      <c r="A390" s="25">
        <v>44225</v>
      </c>
      <c r="B390" s="26">
        <v>4</v>
      </c>
      <c r="C390" s="22"/>
      <c r="D390" s="22"/>
      <c r="E390" s="34"/>
      <c r="F390" s="22"/>
    </row>
    <row r="391" spans="1:6" ht="14.5">
      <c r="A391" s="25">
        <v>44226</v>
      </c>
      <c r="B391" s="26">
        <v>4</v>
      </c>
      <c r="C391" s="22"/>
      <c r="D391" s="22"/>
      <c r="E391" s="22"/>
      <c r="F391" s="22"/>
    </row>
    <row r="392" spans="1:6" ht="14.5">
      <c r="A392" s="25">
        <v>44227</v>
      </c>
      <c r="B392" s="26">
        <v>4</v>
      </c>
      <c r="C392" s="22"/>
      <c r="D392" s="22"/>
      <c r="E392" s="22"/>
      <c r="F392" s="22"/>
    </row>
    <row r="393" spans="1:6" ht="14.5">
      <c r="A393" s="25">
        <v>44228</v>
      </c>
      <c r="B393" s="26">
        <v>5</v>
      </c>
      <c r="C393" s="22"/>
      <c r="D393" s="22"/>
      <c r="E393" s="22"/>
      <c r="F393" s="22"/>
    </row>
    <row r="394" spans="1:6" ht="14.5">
      <c r="A394" s="25">
        <v>44229</v>
      </c>
      <c r="B394" s="26">
        <v>5</v>
      </c>
      <c r="C394" s="22"/>
      <c r="D394" s="22"/>
      <c r="E394" s="22"/>
      <c r="F394" s="22"/>
    </row>
    <row r="395" spans="1:6" ht="14.5">
      <c r="A395" s="25">
        <v>44230</v>
      </c>
      <c r="B395" s="26">
        <v>5</v>
      </c>
      <c r="C395" s="22"/>
      <c r="D395" s="22"/>
      <c r="E395" s="22"/>
      <c r="F395" s="22"/>
    </row>
    <row r="396" spans="1:6" ht="14.5">
      <c r="A396" s="25">
        <v>44231</v>
      </c>
      <c r="B396" s="26">
        <v>5</v>
      </c>
      <c r="C396" s="22"/>
      <c r="D396" s="22"/>
      <c r="E396" s="22"/>
      <c r="F396" s="22"/>
    </row>
    <row r="397" spans="1:6" ht="14.5">
      <c r="A397" s="25">
        <v>44232</v>
      </c>
      <c r="B397" s="26">
        <v>5</v>
      </c>
      <c r="C397" s="22"/>
      <c r="D397" s="22"/>
      <c r="E397" s="22"/>
      <c r="F397" s="22"/>
    </row>
    <row r="398" spans="1:6" ht="14.5">
      <c r="A398" s="25">
        <v>44233</v>
      </c>
      <c r="B398" s="26">
        <v>5</v>
      </c>
      <c r="C398" s="22"/>
      <c r="D398" s="22"/>
      <c r="E398" s="22"/>
      <c r="F398" s="22"/>
    </row>
    <row r="399" spans="1:6" ht="14.5">
      <c r="A399" s="25">
        <v>44234</v>
      </c>
      <c r="B399" s="26">
        <v>5</v>
      </c>
      <c r="C399" s="22"/>
      <c r="D399" s="22"/>
      <c r="E399" s="22"/>
      <c r="F399" s="22"/>
    </row>
    <row r="400" spans="1:6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33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6" ht="14.5">
      <c r="A433" s="25">
        <v>44268</v>
      </c>
      <c r="B433" s="26">
        <v>10</v>
      </c>
      <c r="C433" s="22"/>
      <c r="D433" s="22"/>
      <c r="E433" s="22"/>
      <c r="F433" s="22"/>
    </row>
    <row r="434" spans="1:6" ht="14.5">
      <c r="A434" s="25">
        <v>44269</v>
      </c>
      <c r="B434" s="26">
        <v>10</v>
      </c>
      <c r="C434" s="22"/>
      <c r="D434" s="22"/>
      <c r="E434" s="22"/>
      <c r="F434" s="22"/>
    </row>
    <row r="435" spans="1:6" ht="14.5">
      <c r="A435" s="25">
        <v>44270</v>
      </c>
      <c r="B435" s="26">
        <v>11</v>
      </c>
      <c r="C435" s="22"/>
      <c r="D435" s="22"/>
      <c r="E435" s="22"/>
      <c r="F435" s="22"/>
    </row>
    <row r="436" spans="1:6" ht="14.5">
      <c r="A436" s="25">
        <v>44271</v>
      </c>
      <c r="B436" s="26">
        <v>11</v>
      </c>
      <c r="C436" s="22"/>
      <c r="D436" s="22"/>
      <c r="E436" s="22"/>
      <c r="F436" s="22"/>
    </row>
    <row r="437" spans="1:6" ht="14.5">
      <c r="A437" s="25">
        <v>44272</v>
      </c>
      <c r="B437" s="26">
        <v>11</v>
      </c>
      <c r="C437" s="22"/>
      <c r="D437" s="22"/>
      <c r="E437" s="22"/>
      <c r="F437" s="22"/>
    </row>
    <row r="438" spans="1:6" ht="14.5">
      <c r="A438" s="25">
        <v>44273</v>
      </c>
      <c r="B438" s="26">
        <v>11</v>
      </c>
      <c r="C438" s="22"/>
      <c r="D438" s="22"/>
      <c r="E438" s="22"/>
      <c r="F438" s="22"/>
    </row>
    <row r="439" spans="1:6" ht="14.5">
      <c r="A439" s="25">
        <v>44274</v>
      </c>
      <c r="B439" s="26">
        <v>11</v>
      </c>
      <c r="C439" s="22"/>
      <c r="D439" s="22"/>
      <c r="E439" s="22"/>
      <c r="F439" s="22"/>
    </row>
    <row r="440" spans="1:6" ht="14.5">
      <c r="A440" s="25">
        <v>44275</v>
      </c>
      <c r="B440" s="26">
        <v>11</v>
      </c>
      <c r="C440" s="22"/>
      <c r="D440" s="22"/>
      <c r="E440" s="22"/>
      <c r="F440" s="22"/>
    </row>
    <row r="441" spans="1:6" ht="14.5">
      <c r="A441" s="25">
        <v>44276</v>
      </c>
      <c r="B441" s="26">
        <v>11</v>
      </c>
      <c r="C441" s="22"/>
      <c r="D441" s="22"/>
      <c r="E441" s="22"/>
      <c r="F441" s="22"/>
    </row>
    <row r="442" spans="1:6" ht="14.5">
      <c r="A442" s="25">
        <v>44277</v>
      </c>
      <c r="B442" s="26">
        <v>12</v>
      </c>
      <c r="C442" s="22"/>
      <c r="D442" s="22"/>
      <c r="E442" s="22"/>
      <c r="F442" s="22"/>
    </row>
    <row r="443" spans="1:6" ht="14.5">
      <c r="A443" s="25">
        <v>44278</v>
      </c>
      <c r="B443" s="26">
        <v>12</v>
      </c>
      <c r="C443" s="22"/>
      <c r="D443" s="22"/>
      <c r="E443" s="22"/>
      <c r="F443" s="22"/>
    </row>
    <row r="444" spans="1:6" ht="14.5">
      <c r="A444" s="25">
        <v>44279</v>
      </c>
      <c r="B444" s="26">
        <v>12</v>
      </c>
      <c r="C444" s="22"/>
      <c r="D444" s="22"/>
      <c r="E444" s="22"/>
      <c r="F444" s="22"/>
    </row>
    <row r="445" spans="1:6" ht="14.5">
      <c r="A445" s="25">
        <v>44280</v>
      </c>
      <c r="B445" s="26">
        <v>12</v>
      </c>
      <c r="C445" s="22"/>
      <c r="D445" s="22"/>
      <c r="E445" s="22"/>
      <c r="F445" s="22"/>
    </row>
    <row r="446" spans="1:6" ht="14.5">
      <c r="A446" s="25">
        <v>44281</v>
      </c>
      <c r="B446" s="26">
        <v>12</v>
      </c>
      <c r="C446" s="22"/>
      <c r="D446" s="22"/>
      <c r="E446" s="22"/>
      <c r="F446" s="22"/>
    </row>
    <row r="447" spans="1:6" ht="14.5">
      <c r="A447" s="25">
        <v>44282</v>
      </c>
      <c r="B447" s="26">
        <v>12</v>
      </c>
      <c r="C447" s="22"/>
      <c r="D447" s="22"/>
      <c r="E447" s="22"/>
      <c r="F447" s="22"/>
    </row>
    <row r="448" spans="1:6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2</v>
      </c>
      <c r="D450" s="22"/>
      <c r="E450" s="22"/>
      <c r="F450" s="22"/>
    </row>
    <row r="451" spans="1:6" ht="14.5">
      <c r="A451" s="25">
        <v>44286</v>
      </c>
      <c r="B451" s="26">
        <v>13</v>
      </c>
      <c r="C451" s="22">
        <v>3</v>
      </c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4</v>
      </c>
      <c r="D452" s="22"/>
      <c r="E452" s="22"/>
      <c r="F452" s="22"/>
    </row>
    <row r="453" spans="1:6" ht="14.5">
      <c r="A453" s="25">
        <v>44288</v>
      </c>
      <c r="B453" s="26">
        <v>13</v>
      </c>
      <c r="C453" s="22">
        <v>1</v>
      </c>
      <c r="D453" s="22"/>
      <c r="E453" s="33"/>
      <c r="F453" s="22"/>
    </row>
    <row r="454" spans="1:6" ht="14.5">
      <c r="A454" s="25">
        <v>44289</v>
      </c>
      <c r="B454" s="26">
        <v>13</v>
      </c>
      <c r="C454" s="22">
        <v>1</v>
      </c>
      <c r="D454" s="22"/>
      <c r="E454" s="22"/>
      <c r="F454" s="22"/>
    </row>
    <row r="455" spans="1:6" ht="14.5">
      <c r="A455" s="25">
        <v>44290</v>
      </c>
      <c r="B455" s="26">
        <v>13</v>
      </c>
      <c r="C455" s="22">
        <v>2</v>
      </c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>
        <v>3</v>
      </c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33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>
        <v>1</v>
      </c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/>
      <c r="D471" s="22">
        <v>1</v>
      </c>
      <c r="E471" s="22"/>
      <c r="F471" s="22"/>
      <c r="G471" s="126"/>
    </row>
    <row r="472" spans="1:7" ht="14.5">
      <c r="A472" s="25">
        <v>44307</v>
      </c>
      <c r="B472" s="26">
        <v>16</v>
      </c>
      <c r="C472" s="22"/>
      <c r="D472" s="22"/>
      <c r="E472" s="22"/>
      <c r="F472" s="22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4.5">
      <c r="A482" s="25">
        <v>44317</v>
      </c>
      <c r="B482" s="26">
        <v>17</v>
      </c>
      <c r="C482" s="22"/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33"/>
      <c r="F487" s="22"/>
    </row>
    <row r="488" spans="1:7" ht="14.5">
      <c r="A488" s="25">
        <v>44323</v>
      </c>
      <c r="B488" s="26">
        <v>18</v>
      </c>
      <c r="C488" s="22"/>
      <c r="D488" s="22"/>
      <c r="E488" s="33"/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/>
      <c r="E493" s="33"/>
      <c r="F493" s="22"/>
    </row>
    <row r="494" spans="1:7" ht="14.5">
      <c r="A494" s="25">
        <v>44329</v>
      </c>
      <c r="B494" s="26">
        <v>19</v>
      </c>
      <c r="C494" s="22"/>
      <c r="D494" s="22"/>
      <c r="E494" s="33"/>
      <c r="F494" s="22"/>
    </row>
    <row r="495" spans="1:7" ht="14.5">
      <c r="A495" s="25">
        <v>44330</v>
      </c>
      <c r="B495" s="26">
        <v>19</v>
      </c>
      <c r="C495" s="22">
        <v>1</v>
      </c>
      <c r="D495" s="22"/>
      <c r="E495" s="33"/>
      <c r="F495" s="22"/>
    </row>
    <row r="496" spans="1:7" ht="14.5">
      <c r="A496" s="25">
        <v>44331</v>
      </c>
      <c r="B496" s="26">
        <v>19</v>
      </c>
      <c r="C496" s="22"/>
      <c r="D496" s="22"/>
      <c r="E496" s="22"/>
      <c r="F496" s="22"/>
    </row>
    <row r="497" spans="1:6" ht="14.5">
      <c r="A497" s="25">
        <v>44332</v>
      </c>
      <c r="B497" s="26">
        <v>19</v>
      </c>
      <c r="C497" s="22"/>
      <c r="D497" s="22"/>
      <c r="E497" s="22"/>
      <c r="F497" s="22"/>
    </row>
    <row r="498" spans="1:6" ht="14.5">
      <c r="A498" s="25">
        <v>44333</v>
      </c>
      <c r="B498" s="26">
        <v>20</v>
      </c>
      <c r="C498" s="22"/>
      <c r="D498" s="22"/>
      <c r="E498" s="22"/>
      <c r="F498" s="22"/>
    </row>
    <row r="499" spans="1:6" ht="14.5">
      <c r="A499" s="25">
        <v>44334</v>
      </c>
      <c r="B499" s="26">
        <v>20</v>
      </c>
      <c r="C499" s="22"/>
      <c r="D499" s="22"/>
      <c r="E499" s="33"/>
      <c r="F499" s="22"/>
    </row>
    <row r="500" spans="1:6" ht="14.5">
      <c r="A500" s="25">
        <v>44335</v>
      </c>
      <c r="B500" s="26">
        <v>20</v>
      </c>
      <c r="C500" s="22">
        <v>1</v>
      </c>
      <c r="D500" s="22"/>
      <c r="E500" s="22"/>
      <c r="F500" s="22"/>
    </row>
    <row r="501" spans="1:6" ht="14.5">
      <c r="A501" s="25">
        <v>44336</v>
      </c>
      <c r="B501" s="26">
        <v>20</v>
      </c>
      <c r="C501" s="22">
        <v>1</v>
      </c>
      <c r="D501" s="22"/>
      <c r="E501" s="22"/>
      <c r="F501" s="22"/>
    </row>
    <row r="502" spans="1:6" ht="14.5">
      <c r="A502" s="25">
        <v>44337</v>
      </c>
      <c r="B502" s="26">
        <v>20</v>
      </c>
      <c r="C502" s="22"/>
      <c r="D502" s="22"/>
      <c r="E502" s="22"/>
      <c r="F502" s="22"/>
    </row>
    <row r="503" spans="1:6" ht="14.5">
      <c r="A503" s="25">
        <v>44338</v>
      </c>
      <c r="B503" s="26">
        <v>20</v>
      </c>
      <c r="C503" s="22"/>
      <c r="D503" s="22"/>
      <c r="E503" s="22"/>
      <c r="F503" s="22"/>
    </row>
    <row r="504" spans="1:6" ht="14.5">
      <c r="A504" s="25">
        <v>44339</v>
      </c>
      <c r="B504" s="26">
        <v>20</v>
      </c>
      <c r="C504" s="22">
        <v>1</v>
      </c>
      <c r="D504" s="22"/>
      <c r="E504" s="22"/>
      <c r="F504" s="22"/>
    </row>
    <row r="505" spans="1:6" ht="14.5">
      <c r="A505" s="25">
        <v>44340</v>
      </c>
      <c r="B505" s="26">
        <v>21</v>
      </c>
      <c r="C505" s="22"/>
      <c r="D505" s="22"/>
      <c r="E505" s="22"/>
      <c r="F505" s="22"/>
    </row>
    <row r="506" spans="1:6" ht="14.5">
      <c r="A506" s="25">
        <v>44341</v>
      </c>
      <c r="B506" s="26">
        <v>21</v>
      </c>
      <c r="C506" s="22"/>
      <c r="D506" s="22"/>
      <c r="E506" s="22"/>
      <c r="F506" s="22"/>
    </row>
    <row r="507" spans="1:6" ht="14.5">
      <c r="A507" s="25">
        <v>44342</v>
      </c>
      <c r="B507" s="26">
        <v>21</v>
      </c>
      <c r="C507" s="22"/>
      <c r="D507" s="22"/>
      <c r="E507" s="22"/>
      <c r="F507" s="22"/>
    </row>
    <row r="508" spans="1:6" ht="14.5">
      <c r="A508" s="25">
        <v>44343</v>
      </c>
      <c r="B508" s="26">
        <v>21</v>
      </c>
      <c r="C508" s="22"/>
      <c r="D508" s="22"/>
      <c r="E508" s="22"/>
      <c r="F508" s="22"/>
    </row>
    <row r="509" spans="1:6" ht="14.5">
      <c r="A509" s="25">
        <v>44344</v>
      </c>
      <c r="B509" s="26">
        <v>21</v>
      </c>
      <c r="C509" s="22"/>
      <c r="D509" s="22"/>
      <c r="E509" s="22"/>
      <c r="F509" s="22"/>
    </row>
    <row r="510" spans="1:6" ht="14.5">
      <c r="A510" s="25">
        <v>44345</v>
      </c>
      <c r="B510" s="26">
        <v>21</v>
      </c>
      <c r="C510" s="22"/>
      <c r="D510" s="22"/>
      <c r="E510" s="22"/>
      <c r="F510" s="22"/>
    </row>
    <row r="511" spans="1:6" ht="14.5">
      <c r="A511" s="25">
        <v>44346</v>
      </c>
      <c r="B511" s="26">
        <v>21</v>
      </c>
      <c r="C511" s="22"/>
      <c r="D511" s="22"/>
      <c r="E511" s="22"/>
      <c r="F511" s="22"/>
    </row>
    <row r="512" spans="1:6" ht="14.5">
      <c r="A512" s="25">
        <v>44347</v>
      </c>
      <c r="B512" s="26">
        <v>22</v>
      </c>
      <c r="C512" s="22">
        <v>1</v>
      </c>
      <c r="D512" s="22"/>
      <c r="E512" s="33"/>
      <c r="F512" s="22"/>
    </row>
    <row r="513" spans="1:6" ht="14.5">
      <c r="A513" s="25">
        <v>44348</v>
      </c>
      <c r="B513" s="26">
        <v>22</v>
      </c>
      <c r="C513" s="22"/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33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33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6">
        <v>27</v>
      </c>
      <c r="C547" s="22"/>
      <c r="D547" s="22"/>
      <c r="E547" s="22"/>
      <c r="F547" s="22"/>
    </row>
    <row r="548" spans="1:6" ht="14.5">
      <c r="A548" s="25">
        <v>44383</v>
      </c>
      <c r="B548" s="26">
        <v>27</v>
      </c>
      <c r="C548" s="22"/>
      <c r="D548" s="22"/>
      <c r="E548" s="22"/>
      <c r="F548" s="22"/>
    </row>
    <row r="549" spans="1:6" ht="14.5">
      <c r="A549" s="25">
        <v>44384</v>
      </c>
      <c r="B549" s="26">
        <v>27</v>
      </c>
      <c r="C549" s="22"/>
      <c r="D549" s="22"/>
      <c r="E549" s="22"/>
      <c r="F549" s="22"/>
    </row>
    <row r="550" spans="1:6" ht="14.5">
      <c r="A550" s="25">
        <v>44385</v>
      </c>
      <c r="B550" s="26">
        <v>27</v>
      </c>
      <c r="C550" s="22"/>
      <c r="D550" s="22"/>
      <c r="E550" s="22"/>
      <c r="F550" s="22"/>
    </row>
    <row r="551" spans="1:6" ht="14.5">
      <c r="A551" s="25">
        <v>44386</v>
      </c>
      <c r="B551" s="26">
        <v>27</v>
      </c>
      <c r="C551" s="22"/>
      <c r="D551" s="22"/>
      <c r="E551" s="22"/>
      <c r="F551" s="22"/>
    </row>
    <row r="552" spans="1:6" ht="14.5">
      <c r="A552" s="25">
        <v>44387</v>
      </c>
      <c r="B552" s="26">
        <v>27</v>
      </c>
      <c r="C552" s="22"/>
      <c r="D552" s="22"/>
      <c r="E552" s="22"/>
      <c r="F552" s="22"/>
    </row>
    <row r="553" spans="1:6" ht="14.5">
      <c r="A553" s="25">
        <v>44388</v>
      </c>
      <c r="B553" s="26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/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/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/>
      <c r="D559" s="22"/>
      <c r="E559" s="22"/>
      <c r="F559" s="22"/>
    </row>
    <row r="560" spans="1:6" ht="14.5">
      <c r="A560" s="25">
        <v>44395</v>
      </c>
      <c r="B560" s="26">
        <v>28</v>
      </c>
      <c r="C560" s="22"/>
      <c r="D560" s="22"/>
      <c r="E560" s="22"/>
      <c r="F560" s="22"/>
    </row>
    <row r="561" spans="1:6" ht="14.5">
      <c r="A561" s="25">
        <v>44396</v>
      </c>
      <c r="B561" s="26">
        <v>29</v>
      </c>
      <c r="C561" s="22"/>
      <c r="D561" s="22"/>
      <c r="E561" s="22"/>
      <c r="F561" s="22"/>
    </row>
    <row r="562" spans="1:6" ht="14.5">
      <c r="A562" s="25">
        <v>44397</v>
      </c>
      <c r="B562" s="26">
        <v>29</v>
      </c>
      <c r="C562" s="22"/>
      <c r="D562" s="22"/>
      <c r="E562" s="22"/>
      <c r="F562" s="22"/>
    </row>
    <row r="563" spans="1:6" ht="14.5">
      <c r="A563" s="25">
        <v>44398</v>
      </c>
      <c r="B563" s="26">
        <v>29</v>
      </c>
      <c r="C563" s="22"/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35"/>
      <c r="F568" s="22"/>
    </row>
    <row r="569" spans="1:6" ht="14.5">
      <c r="A569" s="25">
        <v>44404</v>
      </c>
      <c r="B569" s="26">
        <v>30</v>
      </c>
      <c r="C569" s="22">
        <v>1</v>
      </c>
      <c r="D569" s="22"/>
      <c r="E569" s="22"/>
      <c r="F569" s="22"/>
    </row>
    <row r="570" spans="1:6" ht="14.5">
      <c r="A570" s="28">
        <v>44405</v>
      </c>
      <c r="B570" s="22">
        <v>30</v>
      </c>
      <c r="C570" s="22"/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>
        <v>1</v>
      </c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>
        <v>1</v>
      </c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1+1</f>
        <v>2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1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1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>
        <v>1</v>
      </c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3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/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6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v>8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v>6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v>4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13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13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18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v>11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v>6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v>11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1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v>7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v>5</v>
      </c>
      <c r="D759" s="52"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v>1</v>
      </c>
      <c r="D760" s="52">
        <v>2</v>
      </c>
      <c r="E760" s="52"/>
      <c r="F760" s="52"/>
    </row>
    <row r="761" spans="1:6" ht="14.5">
      <c r="A761" s="49">
        <v>44596</v>
      </c>
      <c r="B761" s="52">
        <v>5</v>
      </c>
      <c r="C761" s="52">
        <v>1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v>2</v>
      </c>
      <c r="D764" s="52">
        <v>2</v>
      </c>
      <c r="E764" s="52"/>
      <c r="F764" s="52"/>
    </row>
    <row r="765" spans="1:6" ht="14.5">
      <c r="A765" s="49">
        <v>44600</v>
      </c>
      <c r="B765" s="52">
        <v>6</v>
      </c>
      <c r="C765" s="52">
        <v>4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v>3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v>3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>
        <v>1</v>
      </c>
      <c r="E773" s="52"/>
      <c r="F773" s="52"/>
    </row>
    <row r="774" spans="1:6" ht="14.5">
      <c r="A774" s="49">
        <v>44609</v>
      </c>
      <c r="B774" s="52">
        <v>7</v>
      </c>
      <c r="C774" s="52">
        <v>1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v>2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v>7</v>
      </c>
      <c r="D778" s="52">
        <v>2</v>
      </c>
      <c r="E778" s="52"/>
      <c r="F778" s="52"/>
    </row>
    <row r="779" spans="1:6" ht="14.5">
      <c r="A779" s="49">
        <v>44614</v>
      </c>
      <c r="B779" s="52">
        <v>8</v>
      </c>
      <c r="C779" s="52">
        <v>2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/>
      <c r="E781" s="52"/>
      <c r="F781" s="52"/>
    </row>
    <row r="782" spans="1:6" ht="14.5">
      <c r="A782" s="49">
        <v>44617</v>
      </c>
      <c r="B782" s="52">
        <v>8</v>
      </c>
      <c r="C782" s="52"/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73">
        <v>44619</v>
      </c>
      <c r="B784" s="74">
        <v>8</v>
      </c>
      <c r="C784" s="74"/>
      <c r="D784" s="74"/>
      <c r="E784" s="74"/>
      <c r="F784" s="74"/>
    </row>
    <row r="785" spans="1:6" ht="14.5">
      <c r="A785" s="64">
        <v>44620</v>
      </c>
      <c r="B785" s="52">
        <v>9</v>
      </c>
      <c r="C785" s="52">
        <v>1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v>2</v>
      </c>
      <c r="D786" s="52">
        <v>1</v>
      </c>
      <c r="E786" s="52"/>
      <c r="F786" s="52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display="https://www.mie-u.ac.jp/topics/university/2020/09/202084.html_x000a_https://www.mie-u.ac.jp/topics/university/2021/07/120201124.html" xr:uid="{00000000-0004-0000-0E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54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27" t="s">
        <v>7</v>
      </c>
      <c r="B2" s="115"/>
      <c r="C2" s="115"/>
      <c r="D2" s="115"/>
      <c r="E2" s="115"/>
      <c r="F2" s="116"/>
      <c r="G2" s="68" t="s">
        <v>313</v>
      </c>
    </row>
    <row r="3" spans="1:7" ht="15" customHeight="1">
      <c r="A3" s="142" t="s">
        <v>314</v>
      </c>
      <c r="B3" s="112"/>
      <c r="C3" s="112"/>
      <c r="D3" s="112"/>
      <c r="E3" s="112"/>
      <c r="F3" s="113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33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>
        <v>1</v>
      </c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>
        <v>1</v>
      </c>
      <c r="D212" s="22"/>
      <c r="E212" s="33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>
        <v>4</v>
      </c>
      <c r="D214" s="22"/>
      <c r="E214" s="22"/>
      <c r="F214" s="22"/>
    </row>
    <row r="215" spans="1:6" ht="14.5">
      <c r="A215" s="25">
        <v>44050</v>
      </c>
      <c r="B215" s="26">
        <v>30</v>
      </c>
      <c r="C215" s="22">
        <v>1</v>
      </c>
      <c r="D215" s="22"/>
      <c r="E215" s="22"/>
      <c r="F215" s="22"/>
    </row>
    <row r="216" spans="1:6" ht="14.5">
      <c r="A216" s="25">
        <v>44051</v>
      </c>
      <c r="B216" s="26">
        <v>30</v>
      </c>
      <c r="C216" s="22">
        <v>1</v>
      </c>
      <c r="D216" s="22"/>
      <c r="E216" s="33"/>
      <c r="F216" s="22"/>
    </row>
    <row r="217" spans="1:6" ht="14.5">
      <c r="A217" s="25">
        <v>44052</v>
      </c>
      <c r="B217" s="26">
        <v>30</v>
      </c>
      <c r="C217" s="22">
        <v>1</v>
      </c>
      <c r="D217" s="22"/>
      <c r="E217" s="33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>
        <v>1</v>
      </c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>
        <v>1</v>
      </c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>
        <v>1</v>
      </c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33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33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33"/>
      <c r="F302" s="22"/>
    </row>
    <row r="303" spans="1:6" ht="14.5">
      <c r="A303" s="25">
        <v>44138</v>
      </c>
      <c r="B303" s="26">
        <v>43</v>
      </c>
      <c r="C303" s="22"/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33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>
        <v>1</v>
      </c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>
        <v>1</v>
      </c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>
        <v>2</v>
      </c>
      <c r="E326" s="22"/>
      <c r="F326" s="22"/>
    </row>
    <row r="327" spans="1:6" ht="14.5">
      <c r="A327" s="25">
        <v>44162</v>
      </c>
      <c r="B327" s="26">
        <v>46</v>
      </c>
      <c r="C327" s="22">
        <v>1</v>
      </c>
      <c r="D327" s="22"/>
      <c r="E327" s="33"/>
      <c r="F327" s="22"/>
    </row>
    <row r="328" spans="1:6" ht="14.5">
      <c r="A328" s="25">
        <v>44163</v>
      </c>
      <c r="B328" s="26">
        <v>46</v>
      </c>
      <c r="C328" s="22"/>
      <c r="D328" s="22"/>
      <c r="E328" s="22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33"/>
      <c r="F331" s="22"/>
    </row>
    <row r="332" spans="1:6" ht="14.5">
      <c r="A332" s="25">
        <v>44167</v>
      </c>
      <c r="B332" s="26">
        <v>47</v>
      </c>
      <c r="C332" s="22">
        <v>1</v>
      </c>
      <c r="D332" s="22"/>
      <c r="E332" s="22"/>
      <c r="F332" s="22"/>
    </row>
    <row r="333" spans="1:6" ht="14.5">
      <c r="A333" s="25">
        <v>44168</v>
      </c>
      <c r="B333" s="26">
        <v>47</v>
      </c>
      <c r="C333" s="22"/>
      <c r="D333" s="22"/>
      <c r="E333" s="33"/>
      <c r="F333" s="22"/>
    </row>
    <row r="334" spans="1:6" ht="14.5">
      <c r="A334" s="25">
        <v>44169</v>
      </c>
      <c r="B334" s="26">
        <v>47</v>
      </c>
      <c r="C334" s="22">
        <v>1</v>
      </c>
      <c r="D334" s="22"/>
      <c r="E334" s="22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>
        <v>1</v>
      </c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>
        <v>1</v>
      </c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>
        <v>1</v>
      </c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1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33"/>
      <c r="F352" s="22"/>
    </row>
    <row r="353" spans="1:7" ht="14.5">
      <c r="A353" s="25">
        <v>44188</v>
      </c>
      <c r="B353" s="26">
        <v>50</v>
      </c>
      <c r="C353" s="22"/>
      <c r="D353" s="22"/>
      <c r="E353" s="22"/>
      <c r="F353" s="22"/>
    </row>
    <row r="354" spans="1:7" ht="14.5">
      <c r="A354" s="25">
        <v>44189</v>
      </c>
      <c r="B354" s="26">
        <v>50</v>
      </c>
      <c r="C354" s="22">
        <v>1</v>
      </c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>
        <v>4</v>
      </c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>
        <v>1</v>
      </c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26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/>
      <c r="D368" s="22"/>
      <c r="E368" s="22"/>
      <c r="F368" s="22"/>
    </row>
    <row r="369" spans="1:7" ht="14.5">
      <c r="A369" s="25">
        <v>44204</v>
      </c>
      <c r="B369" s="26">
        <v>1</v>
      </c>
      <c r="C369" s="22"/>
      <c r="D369" s="22"/>
      <c r="E369" s="22"/>
      <c r="F369" s="22"/>
      <c r="G369" s="126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>
        <v>1</v>
      </c>
      <c r="D372" s="22"/>
      <c r="E372" s="22"/>
      <c r="F372" s="22"/>
    </row>
    <row r="373" spans="1:7" ht="14.5">
      <c r="A373" s="25">
        <v>44208</v>
      </c>
      <c r="B373" s="26">
        <v>2</v>
      </c>
      <c r="C373" s="22"/>
      <c r="D373" s="22"/>
      <c r="E373" s="22"/>
      <c r="F373" s="33"/>
    </row>
    <row r="374" spans="1:7" ht="14.5">
      <c r="A374" s="25">
        <v>44209</v>
      </c>
      <c r="B374" s="26">
        <v>2</v>
      </c>
      <c r="C374" s="22"/>
      <c r="D374" s="22"/>
      <c r="E374" s="22"/>
      <c r="F374" s="22"/>
    </row>
    <row r="375" spans="1:7" ht="14.5">
      <c r="A375" s="25">
        <v>44210</v>
      </c>
      <c r="B375" s="26">
        <v>2</v>
      </c>
      <c r="C375" s="22"/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33"/>
      <c r="F379" s="22"/>
    </row>
    <row r="380" spans="1:7" ht="14.5">
      <c r="A380" s="25">
        <v>44215</v>
      </c>
      <c r="B380" s="26">
        <v>3</v>
      </c>
      <c r="C380" s="22"/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33"/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/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/>
      <c r="D388" s="22"/>
      <c r="E388" s="22"/>
      <c r="F388" s="22"/>
    </row>
    <row r="389" spans="1:7" ht="14.5">
      <c r="A389" s="25">
        <v>44224</v>
      </c>
      <c r="B389" s="26">
        <v>4</v>
      </c>
      <c r="C389" s="22"/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34"/>
      <c r="F390" s="22"/>
    </row>
    <row r="391" spans="1:7" ht="14.5">
      <c r="A391" s="25">
        <v>44226</v>
      </c>
      <c r="B391" s="26">
        <v>4</v>
      </c>
      <c r="C391" s="22"/>
      <c r="D391" s="22"/>
      <c r="E391" s="22"/>
      <c r="F391" s="22"/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/>
      <c r="D393" s="22"/>
      <c r="E393" s="22"/>
      <c r="F393" s="22"/>
    </row>
    <row r="394" spans="1:7" ht="14.5">
      <c r="A394" s="25">
        <v>44229</v>
      </c>
      <c r="B394" s="26">
        <v>5</v>
      </c>
      <c r="C394" s="22"/>
      <c r="D394" s="22"/>
      <c r="E394" s="22"/>
      <c r="F394" s="22"/>
    </row>
    <row r="395" spans="1:7" ht="14.5">
      <c r="A395" s="25">
        <v>44230</v>
      </c>
      <c r="B395" s="26">
        <v>5</v>
      </c>
      <c r="C395" s="22"/>
      <c r="D395" s="22"/>
      <c r="E395" s="22"/>
      <c r="F395" s="22"/>
    </row>
    <row r="396" spans="1:7" ht="15.5">
      <c r="A396" s="25">
        <v>44231</v>
      </c>
      <c r="B396" s="26">
        <v>5</v>
      </c>
      <c r="C396" s="32">
        <v>7</v>
      </c>
      <c r="D396" s="22"/>
      <c r="E396" s="22"/>
      <c r="F396" s="22"/>
      <c r="G396" s="75" t="s">
        <v>318</v>
      </c>
    </row>
    <row r="397" spans="1:7" ht="14.5">
      <c r="A397" s="25">
        <v>44232</v>
      </c>
      <c r="B397" s="26">
        <v>5</v>
      </c>
      <c r="C397" s="22"/>
      <c r="D397" s="22"/>
      <c r="E397" s="22"/>
      <c r="F397" s="22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33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7" ht="14.5">
      <c r="A433" s="25">
        <v>44268</v>
      </c>
      <c r="B433" s="26">
        <v>10</v>
      </c>
      <c r="C433" s="22"/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/>
      <c r="D435" s="22"/>
      <c r="E435" s="22"/>
      <c r="F435" s="22"/>
    </row>
    <row r="436" spans="1:7" ht="14.5">
      <c r="A436" s="25">
        <v>44271</v>
      </c>
      <c r="B436" s="26">
        <v>11</v>
      </c>
      <c r="C436" s="22"/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/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/>
      <c r="D442" s="22"/>
      <c r="E442" s="22"/>
      <c r="F442" s="22"/>
    </row>
    <row r="443" spans="1:7" ht="15.5">
      <c r="A443" s="25">
        <v>44278</v>
      </c>
      <c r="B443" s="26">
        <v>12</v>
      </c>
      <c r="C443" s="32">
        <v>35</v>
      </c>
      <c r="D443" s="22"/>
      <c r="E443" s="22"/>
      <c r="F443" s="22"/>
      <c r="G443" s="75" t="s">
        <v>317</v>
      </c>
    </row>
    <row r="444" spans="1:7" ht="14.5">
      <c r="A444" s="25">
        <v>44279</v>
      </c>
      <c r="B444" s="26">
        <v>12</v>
      </c>
      <c r="C444" s="22"/>
      <c r="D444" s="22"/>
      <c r="E444" s="22"/>
      <c r="F444" s="22"/>
    </row>
    <row r="445" spans="1:7" ht="14.5">
      <c r="A445" s="25">
        <v>44280</v>
      </c>
      <c r="B445" s="26">
        <v>12</v>
      </c>
      <c r="C445" s="22"/>
      <c r="D445" s="22"/>
      <c r="E445" s="22"/>
      <c r="F445" s="22"/>
    </row>
    <row r="446" spans="1:7" ht="14.5">
      <c r="A446" s="25">
        <v>44281</v>
      </c>
      <c r="B446" s="26">
        <v>12</v>
      </c>
      <c r="C446" s="22"/>
      <c r="D446" s="22"/>
      <c r="E446" s="22"/>
      <c r="F446" s="22"/>
    </row>
    <row r="447" spans="1:7" ht="14.5">
      <c r="A447" s="25">
        <v>44282</v>
      </c>
      <c r="B447" s="26">
        <v>12</v>
      </c>
      <c r="C447" s="22"/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33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>
        <v>1</v>
      </c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33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>
        <v>4</v>
      </c>
      <c r="D463" s="22"/>
      <c r="E463" s="22"/>
      <c r="F463" s="22"/>
    </row>
    <row r="464" spans="1:6" ht="14.5">
      <c r="A464" s="25">
        <v>44299</v>
      </c>
      <c r="B464" s="26">
        <v>15</v>
      </c>
      <c r="C464" s="22">
        <v>1</v>
      </c>
      <c r="D464" s="22"/>
      <c r="E464" s="22"/>
      <c r="F464" s="22"/>
    </row>
    <row r="465" spans="1:7" ht="14.5">
      <c r="A465" s="25">
        <v>44300</v>
      </c>
      <c r="B465" s="26">
        <v>15</v>
      </c>
      <c r="C465" s="22">
        <v>2</v>
      </c>
      <c r="D465" s="22"/>
      <c r="E465" s="22"/>
      <c r="F465" s="22"/>
    </row>
    <row r="466" spans="1:7" ht="14.5">
      <c r="A466" s="25">
        <v>44301</v>
      </c>
      <c r="B466" s="26">
        <v>15</v>
      </c>
      <c r="C466" s="22">
        <v>1</v>
      </c>
      <c r="D466" s="22">
        <v>1</v>
      </c>
      <c r="E466" s="22"/>
      <c r="F466" s="22"/>
    </row>
    <row r="467" spans="1:7" ht="14.5">
      <c r="A467" s="25">
        <v>44302</v>
      </c>
      <c r="B467" s="26">
        <v>15</v>
      </c>
      <c r="C467" s="22">
        <v>1</v>
      </c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>
        <v>3</v>
      </c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>
        <v>4</v>
      </c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>
        <v>3</v>
      </c>
      <c r="D472" s="22"/>
      <c r="E472" s="22"/>
      <c r="F472" s="22"/>
    </row>
    <row r="473" spans="1:7" ht="14.5">
      <c r="A473" s="25">
        <v>44308</v>
      </c>
      <c r="B473" s="26">
        <v>16</v>
      </c>
      <c r="C473" s="22">
        <v>1</v>
      </c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>
        <v>2</v>
      </c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>
        <v>1</v>
      </c>
      <c r="D480" s="22"/>
      <c r="E480" s="22"/>
      <c r="F480" s="22"/>
    </row>
    <row r="481" spans="1:7" ht="15.5">
      <c r="A481" s="25">
        <v>44316</v>
      </c>
      <c r="B481" s="26">
        <v>17</v>
      </c>
      <c r="C481" s="32">
        <v>15</v>
      </c>
      <c r="D481" s="22">
        <v>1</v>
      </c>
      <c r="E481" s="22"/>
      <c r="F481" s="22"/>
      <c r="G481" s="75" t="s">
        <v>316</v>
      </c>
    </row>
    <row r="482" spans="1:7" ht="14.5">
      <c r="A482" s="25">
        <v>44317</v>
      </c>
      <c r="B482" s="26">
        <v>17</v>
      </c>
      <c r="C482" s="22">
        <v>5</v>
      </c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>
        <v>1</v>
      </c>
      <c r="D483" s="22">
        <v>1</v>
      </c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>
        <v>1</v>
      </c>
      <c r="D485" s="22"/>
      <c r="E485" s="22"/>
      <c r="F485" s="22"/>
    </row>
    <row r="486" spans="1:7" ht="14.5">
      <c r="A486" s="25">
        <v>44321</v>
      </c>
      <c r="B486" s="26">
        <v>18</v>
      </c>
      <c r="C486" s="22">
        <v>1</v>
      </c>
      <c r="D486" s="22"/>
      <c r="E486" s="22"/>
      <c r="F486" s="22"/>
    </row>
    <row r="487" spans="1:7" ht="14.5">
      <c r="A487" s="25">
        <v>44322</v>
      </c>
      <c r="B487" s="26">
        <v>18</v>
      </c>
      <c r="C487" s="22">
        <v>1</v>
      </c>
      <c r="D487" s="22"/>
      <c r="E487" s="33"/>
      <c r="F487" s="22"/>
    </row>
    <row r="488" spans="1:7" ht="14.5">
      <c r="A488" s="25">
        <v>44323</v>
      </c>
      <c r="B488" s="26">
        <v>18</v>
      </c>
      <c r="C488" s="22"/>
      <c r="D488" s="22"/>
      <c r="E488" s="33"/>
      <c r="F488" s="22"/>
    </row>
    <row r="489" spans="1:7" ht="14.5">
      <c r="A489" s="25">
        <v>44324</v>
      </c>
      <c r="B489" s="26">
        <v>18</v>
      </c>
      <c r="C489" s="22">
        <v>2</v>
      </c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/>
      <c r="E493" s="33"/>
      <c r="F493" s="22"/>
    </row>
    <row r="494" spans="1:7" ht="14.5">
      <c r="A494" s="25">
        <v>44329</v>
      </c>
      <c r="B494" s="26">
        <v>19</v>
      </c>
      <c r="C494" s="22">
        <v>1</v>
      </c>
      <c r="D494" s="22"/>
      <c r="E494" s="33"/>
      <c r="F494" s="22"/>
    </row>
    <row r="495" spans="1:7" ht="14.5">
      <c r="A495" s="25">
        <v>44330</v>
      </c>
      <c r="B495" s="26">
        <v>19</v>
      </c>
      <c r="C495" s="22">
        <v>3</v>
      </c>
      <c r="D495" s="22"/>
      <c r="E495" s="33"/>
      <c r="F495" s="22"/>
    </row>
    <row r="496" spans="1:7" ht="14.5">
      <c r="A496" s="25">
        <v>44331</v>
      </c>
      <c r="B496" s="26">
        <v>19</v>
      </c>
      <c r="C496" s="22">
        <v>1</v>
      </c>
      <c r="D496" s="22"/>
      <c r="E496" s="22"/>
      <c r="F496" s="22"/>
    </row>
    <row r="497" spans="1:7" ht="14.5">
      <c r="A497" s="25">
        <v>44332</v>
      </c>
      <c r="B497" s="26">
        <v>19</v>
      </c>
      <c r="C497" s="22">
        <v>1</v>
      </c>
      <c r="D497" s="22"/>
      <c r="E497" s="22"/>
      <c r="F497" s="22"/>
    </row>
    <row r="498" spans="1:7" ht="14.5">
      <c r="A498" s="25">
        <v>44333</v>
      </c>
      <c r="B498" s="26">
        <v>20</v>
      </c>
      <c r="C498" s="22">
        <v>2</v>
      </c>
      <c r="D498" s="22"/>
      <c r="E498" s="22"/>
      <c r="F498" s="22"/>
    </row>
    <row r="499" spans="1:7" ht="14.5">
      <c r="A499" s="25">
        <v>44334</v>
      </c>
      <c r="B499" s="26">
        <v>20</v>
      </c>
      <c r="C499" s="22"/>
      <c r="D499" s="22"/>
      <c r="E499" s="33"/>
      <c r="F499" s="22"/>
    </row>
    <row r="500" spans="1:7" ht="14.5">
      <c r="A500" s="25">
        <v>44335</v>
      </c>
      <c r="B500" s="26">
        <v>20</v>
      </c>
      <c r="C500" s="22"/>
      <c r="D500" s="22"/>
      <c r="E500" s="22"/>
      <c r="F500" s="22"/>
    </row>
    <row r="501" spans="1:7" ht="15.5">
      <c r="A501" s="25">
        <v>44336</v>
      </c>
      <c r="B501" s="26">
        <v>20</v>
      </c>
      <c r="C501" s="32">
        <v>14</v>
      </c>
      <c r="D501" s="22"/>
      <c r="E501" s="22"/>
      <c r="F501" s="22"/>
      <c r="G501" s="75" t="s">
        <v>315</v>
      </c>
    </row>
    <row r="502" spans="1:7" ht="14.5">
      <c r="A502" s="25">
        <v>44337</v>
      </c>
      <c r="B502" s="26">
        <v>20</v>
      </c>
      <c r="C502" s="22">
        <f t="shared" ref="C502:C512" si="0">11/11</f>
        <v>1</v>
      </c>
      <c r="D502" s="22"/>
      <c r="E502" s="22"/>
      <c r="F502" s="22"/>
    </row>
    <row r="503" spans="1:7" ht="14.5">
      <c r="A503" s="25">
        <v>44338</v>
      </c>
      <c r="B503" s="26">
        <v>20</v>
      </c>
      <c r="C503" s="22">
        <f t="shared" si="0"/>
        <v>1</v>
      </c>
      <c r="D503" s="22"/>
      <c r="E503" s="22"/>
      <c r="F503" s="22"/>
    </row>
    <row r="504" spans="1:7" ht="14.5">
      <c r="A504" s="25">
        <v>44339</v>
      </c>
      <c r="B504" s="26">
        <v>20</v>
      </c>
      <c r="C504" s="22">
        <f t="shared" si="0"/>
        <v>1</v>
      </c>
      <c r="D504" s="22"/>
      <c r="E504" s="22"/>
      <c r="F504" s="22"/>
    </row>
    <row r="505" spans="1:7" ht="14.5">
      <c r="A505" s="25">
        <v>44340</v>
      </c>
      <c r="B505" s="26">
        <v>21</v>
      </c>
      <c r="C505" s="22">
        <f t="shared" si="0"/>
        <v>1</v>
      </c>
      <c r="D505" s="22"/>
      <c r="E505" s="22"/>
      <c r="F505" s="22"/>
    </row>
    <row r="506" spans="1:7" ht="14.5">
      <c r="A506" s="25">
        <v>44341</v>
      </c>
      <c r="B506" s="26">
        <v>21</v>
      </c>
      <c r="C506" s="22">
        <f t="shared" si="0"/>
        <v>1</v>
      </c>
      <c r="D506" s="22"/>
      <c r="E506" s="22"/>
      <c r="F506" s="22"/>
    </row>
    <row r="507" spans="1:7" ht="14.5">
      <c r="A507" s="25">
        <v>44342</v>
      </c>
      <c r="B507" s="26">
        <v>21</v>
      </c>
      <c r="C507" s="22">
        <f t="shared" si="0"/>
        <v>1</v>
      </c>
      <c r="D507" s="22"/>
      <c r="E507" s="22"/>
      <c r="F507" s="22"/>
    </row>
    <row r="508" spans="1:7" ht="14.5">
      <c r="A508" s="25">
        <v>44343</v>
      </c>
      <c r="B508" s="26">
        <v>21</v>
      </c>
      <c r="C508" s="22">
        <f t="shared" si="0"/>
        <v>1</v>
      </c>
      <c r="D508" s="22"/>
      <c r="E508" s="22"/>
      <c r="F508" s="22"/>
    </row>
    <row r="509" spans="1:7" ht="14.5">
      <c r="A509" s="25">
        <v>44344</v>
      </c>
      <c r="B509" s="26">
        <v>21</v>
      </c>
      <c r="C509" s="22">
        <f t="shared" si="0"/>
        <v>1</v>
      </c>
      <c r="D509" s="22"/>
      <c r="E509" s="22"/>
      <c r="F509" s="22"/>
    </row>
    <row r="510" spans="1:7" ht="14.5">
      <c r="A510" s="25">
        <v>44345</v>
      </c>
      <c r="B510" s="26">
        <v>21</v>
      </c>
      <c r="C510" s="22">
        <f t="shared" si="0"/>
        <v>1</v>
      </c>
      <c r="D510" s="22"/>
      <c r="E510" s="22"/>
      <c r="F510" s="22"/>
    </row>
    <row r="511" spans="1:7" ht="14.5">
      <c r="A511" s="25">
        <v>44346</v>
      </c>
      <c r="B511" s="26">
        <v>21</v>
      </c>
      <c r="C511" s="22">
        <f t="shared" si="0"/>
        <v>1</v>
      </c>
      <c r="D511" s="22"/>
      <c r="E511" s="22"/>
      <c r="F511" s="22"/>
    </row>
    <row r="512" spans="1:7" ht="14.5">
      <c r="A512" s="25">
        <v>44347</v>
      </c>
      <c r="B512" s="26">
        <v>22</v>
      </c>
      <c r="C512" s="22">
        <f t="shared" si="0"/>
        <v>1</v>
      </c>
      <c r="D512" s="22"/>
      <c r="E512" s="33"/>
      <c r="F512" s="22"/>
    </row>
    <row r="513" spans="1:6" ht="14.5">
      <c r="A513" s="25">
        <v>44348</v>
      </c>
      <c r="B513" s="26">
        <v>22</v>
      </c>
      <c r="C513" s="22">
        <f t="shared" ref="C513:C522" si="1">13/10</f>
        <v>1.3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>
        <f t="shared" si="1"/>
        <v>1.3</v>
      </c>
      <c r="D514" s="22"/>
      <c r="E514" s="22"/>
      <c r="F514" s="22"/>
    </row>
    <row r="515" spans="1:6" ht="14.5">
      <c r="A515" s="25">
        <v>44350</v>
      </c>
      <c r="B515" s="26">
        <v>22</v>
      </c>
      <c r="C515" s="22">
        <f t="shared" si="1"/>
        <v>1.3</v>
      </c>
      <c r="D515" s="22"/>
      <c r="E515" s="22"/>
      <c r="F515" s="22"/>
    </row>
    <row r="516" spans="1:6" ht="14.5">
      <c r="A516" s="25">
        <v>44351</v>
      </c>
      <c r="B516" s="26">
        <v>22</v>
      </c>
      <c r="C516" s="22">
        <f t="shared" si="1"/>
        <v>1.3</v>
      </c>
      <c r="D516" s="22"/>
      <c r="E516" s="22"/>
      <c r="F516" s="22"/>
    </row>
    <row r="517" spans="1:6" ht="14.5">
      <c r="A517" s="25">
        <v>44352</v>
      </c>
      <c r="B517" s="26">
        <v>22</v>
      </c>
      <c r="C517" s="22">
        <f t="shared" si="1"/>
        <v>1.3</v>
      </c>
      <c r="D517" s="22"/>
      <c r="E517" s="22"/>
      <c r="F517" s="22"/>
    </row>
    <row r="518" spans="1:6" ht="14.5">
      <c r="A518" s="25">
        <v>44353</v>
      </c>
      <c r="B518" s="26">
        <v>22</v>
      </c>
      <c r="C518" s="22">
        <f t="shared" si="1"/>
        <v>1.3</v>
      </c>
      <c r="D518" s="22"/>
      <c r="E518" s="22"/>
      <c r="F518" s="22"/>
    </row>
    <row r="519" spans="1:6" ht="14.5">
      <c r="A519" s="25">
        <v>44354</v>
      </c>
      <c r="B519" s="26">
        <v>23</v>
      </c>
      <c r="C519" s="22">
        <f t="shared" si="1"/>
        <v>1.3</v>
      </c>
      <c r="D519" s="22"/>
      <c r="E519" s="22"/>
      <c r="F519" s="22"/>
    </row>
    <row r="520" spans="1:6" ht="14.5">
      <c r="A520" s="25">
        <v>44355</v>
      </c>
      <c r="B520" s="26">
        <v>23</v>
      </c>
      <c r="C520" s="22">
        <f t="shared" si="1"/>
        <v>1.3</v>
      </c>
      <c r="D520" s="22"/>
      <c r="E520" s="22"/>
      <c r="F520" s="22"/>
    </row>
    <row r="521" spans="1:6" ht="14.5">
      <c r="A521" s="25">
        <v>44356</v>
      </c>
      <c r="B521" s="26">
        <v>23</v>
      </c>
      <c r="C521" s="22">
        <f t="shared" si="1"/>
        <v>1.3</v>
      </c>
      <c r="D521" s="22"/>
      <c r="E521" s="22"/>
      <c r="F521" s="22"/>
    </row>
    <row r="522" spans="1:6" ht="14.5">
      <c r="A522" s="25">
        <v>44357</v>
      </c>
      <c r="B522" s="26">
        <v>23</v>
      </c>
      <c r="C522" s="22">
        <f t="shared" si="1"/>
        <v>1.3</v>
      </c>
      <c r="D522" s="22"/>
      <c r="E522" s="22"/>
      <c r="F522" s="22"/>
    </row>
    <row r="523" spans="1:6" ht="14.5">
      <c r="A523" s="25">
        <v>44358</v>
      </c>
      <c r="B523" s="26">
        <v>23</v>
      </c>
      <c r="C523" s="22">
        <f t="shared" ref="C523:C532" si="2">3/10</f>
        <v>0.3</v>
      </c>
      <c r="D523" s="22">
        <f t="shared" ref="D523:D532" si="3">1/10</f>
        <v>0.1</v>
      </c>
      <c r="E523" s="22"/>
      <c r="F523" s="22"/>
    </row>
    <row r="524" spans="1:6" ht="14.5">
      <c r="A524" s="25">
        <v>44359</v>
      </c>
      <c r="B524" s="26">
        <v>23</v>
      </c>
      <c r="C524" s="22">
        <f t="shared" si="2"/>
        <v>0.3</v>
      </c>
      <c r="D524" s="22">
        <f t="shared" si="3"/>
        <v>0.1</v>
      </c>
      <c r="E524" s="22"/>
      <c r="F524" s="22"/>
    </row>
    <row r="525" spans="1:6" ht="14.5">
      <c r="A525" s="25">
        <v>44360</v>
      </c>
      <c r="B525" s="26">
        <v>23</v>
      </c>
      <c r="C525" s="22">
        <f t="shared" si="2"/>
        <v>0.3</v>
      </c>
      <c r="D525" s="22">
        <f t="shared" si="3"/>
        <v>0.1</v>
      </c>
      <c r="E525" s="22"/>
      <c r="F525" s="22"/>
    </row>
    <row r="526" spans="1:6" ht="14.5">
      <c r="A526" s="25">
        <v>44361</v>
      </c>
      <c r="B526" s="26">
        <v>24</v>
      </c>
      <c r="C526" s="22">
        <f t="shared" si="2"/>
        <v>0.3</v>
      </c>
      <c r="D526" s="22">
        <f t="shared" si="3"/>
        <v>0.1</v>
      </c>
      <c r="E526" s="33"/>
      <c r="F526" s="22"/>
    </row>
    <row r="527" spans="1:6" ht="14.5">
      <c r="A527" s="25">
        <v>44362</v>
      </c>
      <c r="B527" s="26">
        <v>24</v>
      </c>
      <c r="C527" s="22">
        <f t="shared" si="2"/>
        <v>0.3</v>
      </c>
      <c r="D527" s="22">
        <f t="shared" si="3"/>
        <v>0.1</v>
      </c>
      <c r="E527" s="22"/>
      <c r="F527" s="22"/>
    </row>
    <row r="528" spans="1:6" ht="14.5">
      <c r="A528" s="25">
        <v>44363</v>
      </c>
      <c r="B528" s="26">
        <v>24</v>
      </c>
      <c r="C528" s="22">
        <f t="shared" si="2"/>
        <v>0.3</v>
      </c>
      <c r="D528" s="22">
        <f t="shared" si="3"/>
        <v>0.1</v>
      </c>
      <c r="E528" s="22"/>
      <c r="F528" s="22"/>
    </row>
    <row r="529" spans="1:6" ht="14.5">
      <c r="A529" s="25">
        <v>44364</v>
      </c>
      <c r="B529" s="26">
        <v>24</v>
      </c>
      <c r="C529" s="22">
        <f t="shared" si="2"/>
        <v>0.3</v>
      </c>
      <c r="D529" s="22">
        <f t="shared" si="3"/>
        <v>0.1</v>
      </c>
      <c r="E529" s="22"/>
      <c r="F529" s="22"/>
    </row>
    <row r="530" spans="1:6" ht="14.5">
      <c r="A530" s="25">
        <v>44365</v>
      </c>
      <c r="B530" s="26">
        <v>24</v>
      </c>
      <c r="C530" s="22">
        <f t="shared" si="2"/>
        <v>0.3</v>
      </c>
      <c r="D530" s="22">
        <f t="shared" si="3"/>
        <v>0.1</v>
      </c>
      <c r="E530" s="22"/>
      <c r="F530" s="22"/>
    </row>
    <row r="531" spans="1:6" ht="14.5">
      <c r="A531" s="25">
        <v>44366</v>
      </c>
      <c r="B531" s="26">
        <v>24</v>
      </c>
      <c r="C531" s="22">
        <f t="shared" si="2"/>
        <v>0.3</v>
      </c>
      <c r="D531" s="22">
        <f t="shared" si="3"/>
        <v>0.1</v>
      </c>
      <c r="E531" s="22"/>
      <c r="F531" s="22"/>
    </row>
    <row r="532" spans="1:6" ht="14.5">
      <c r="A532" s="25">
        <v>44367</v>
      </c>
      <c r="B532" s="26">
        <v>24</v>
      </c>
      <c r="C532" s="22">
        <f t="shared" si="2"/>
        <v>0.3</v>
      </c>
      <c r="D532" s="22">
        <f t="shared" si="3"/>
        <v>0.1</v>
      </c>
      <c r="E532" s="22"/>
      <c r="F532" s="22"/>
    </row>
    <row r="533" spans="1:6" ht="14.5">
      <c r="A533" s="25">
        <v>44368</v>
      </c>
      <c r="B533" s="26">
        <v>25</v>
      </c>
      <c r="C533" s="22">
        <f t="shared" ref="C533:C542" si="4">15/10</f>
        <v>1.5</v>
      </c>
      <c r="D533" s="22"/>
      <c r="E533" s="33"/>
      <c r="F533" s="22"/>
    </row>
    <row r="534" spans="1:6" ht="14.5">
      <c r="A534" s="25">
        <v>44369</v>
      </c>
      <c r="B534" s="26">
        <v>25</v>
      </c>
      <c r="C534" s="22">
        <f t="shared" si="4"/>
        <v>1.5</v>
      </c>
      <c r="D534" s="22"/>
      <c r="E534" s="22"/>
      <c r="F534" s="22"/>
    </row>
    <row r="535" spans="1:6" ht="14.5">
      <c r="A535" s="25">
        <v>44370</v>
      </c>
      <c r="B535" s="26">
        <v>25</v>
      </c>
      <c r="C535" s="22">
        <f t="shared" si="4"/>
        <v>1.5</v>
      </c>
      <c r="D535" s="22"/>
      <c r="E535" s="22"/>
      <c r="F535" s="22"/>
    </row>
    <row r="536" spans="1:6" ht="14.5">
      <c r="A536" s="25">
        <v>44371</v>
      </c>
      <c r="B536" s="26">
        <v>25</v>
      </c>
      <c r="C536" s="22">
        <f t="shared" si="4"/>
        <v>1.5</v>
      </c>
      <c r="D536" s="22"/>
      <c r="E536" s="22"/>
      <c r="F536" s="22"/>
    </row>
    <row r="537" spans="1:6" ht="14.5">
      <c r="A537" s="25">
        <v>44372</v>
      </c>
      <c r="B537" s="26">
        <v>25</v>
      </c>
      <c r="C537" s="22">
        <f t="shared" si="4"/>
        <v>1.5</v>
      </c>
      <c r="D537" s="22"/>
      <c r="E537" s="22"/>
      <c r="F537" s="22"/>
    </row>
    <row r="538" spans="1:6" ht="14.5">
      <c r="A538" s="25">
        <v>44373</v>
      </c>
      <c r="B538" s="26">
        <v>25</v>
      </c>
      <c r="C538" s="22">
        <f t="shared" si="4"/>
        <v>1.5</v>
      </c>
      <c r="D538" s="22"/>
      <c r="E538" s="22"/>
      <c r="F538" s="22"/>
    </row>
    <row r="539" spans="1:6" ht="14.5">
      <c r="A539" s="25">
        <v>44374</v>
      </c>
      <c r="B539" s="26">
        <v>25</v>
      </c>
      <c r="C539" s="22">
        <f t="shared" si="4"/>
        <v>1.5</v>
      </c>
      <c r="D539" s="22"/>
      <c r="E539" s="22"/>
      <c r="F539" s="22"/>
    </row>
    <row r="540" spans="1:6" ht="14.5">
      <c r="A540" s="25">
        <v>44375</v>
      </c>
      <c r="B540" s="26">
        <v>25</v>
      </c>
      <c r="C540" s="22">
        <f t="shared" si="4"/>
        <v>1.5</v>
      </c>
      <c r="D540" s="22"/>
      <c r="E540" s="22"/>
      <c r="F540" s="22"/>
    </row>
    <row r="541" spans="1:6" ht="14.5">
      <c r="A541" s="25">
        <v>44376</v>
      </c>
      <c r="B541" s="26">
        <v>26</v>
      </c>
      <c r="C541" s="22">
        <f t="shared" si="4"/>
        <v>1.5</v>
      </c>
      <c r="D541" s="22"/>
      <c r="E541" s="22"/>
      <c r="F541" s="22"/>
    </row>
    <row r="542" spans="1:6" ht="14.5">
      <c r="A542" s="25">
        <v>44377</v>
      </c>
      <c r="B542" s="26">
        <v>26</v>
      </c>
      <c r="C542" s="22">
        <f t="shared" si="4"/>
        <v>1.5</v>
      </c>
      <c r="D542" s="22"/>
      <c r="E542" s="22"/>
      <c r="F542" s="22"/>
    </row>
    <row r="543" spans="1:6" ht="14.5">
      <c r="A543" s="25">
        <v>44378</v>
      </c>
      <c r="B543" s="26">
        <v>26</v>
      </c>
      <c r="C543" s="22">
        <f t="shared" ref="C543:C553" si="5">20/11</f>
        <v>1.8181818181818181</v>
      </c>
      <c r="D543" s="22">
        <f t="shared" ref="D543:D553" si="6">1/11</f>
        <v>9.0909090909090912E-2</v>
      </c>
      <c r="E543" s="22"/>
      <c r="F543" s="22"/>
    </row>
    <row r="544" spans="1:6" ht="14.5">
      <c r="A544" s="25">
        <v>44379</v>
      </c>
      <c r="B544" s="26">
        <v>26</v>
      </c>
      <c r="C544" s="22">
        <f t="shared" si="5"/>
        <v>1.8181818181818181</v>
      </c>
      <c r="D544" s="22">
        <f t="shared" si="6"/>
        <v>9.0909090909090912E-2</v>
      </c>
      <c r="E544" s="22"/>
      <c r="F544" s="22"/>
    </row>
    <row r="545" spans="1:6" ht="14.5">
      <c r="A545" s="25">
        <v>44380</v>
      </c>
      <c r="B545" s="26">
        <v>26</v>
      </c>
      <c r="C545" s="22">
        <f t="shared" si="5"/>
        <v>1.8181818181818181</v>
      </c>
      <c r="D545" s="22">
        <f t="shared" si="6"/>
        <v>9.0909090909090912E-2</v>
      </c>
      <c r="E545" s="22"/>
      <c r="F545" s="22"/>
    </row>
    <row r="546" spans="1:6" ht="14.5">
      <c r="A546" s="25">
        <v>44381</v>
      </c>
      <c r="B546" s="26">
        <v>26</v>
      </c>
      <c r="C546" s="22">
        <f t="shared" si="5"/>
        <v>1.8181818181818181</v>
      </c>
      <c r="D546" s="22">
        <f t="shared" si="6"/>
        <v>9.0909090909090912E-2</v>
      </c>
      <c r="E546" s="22"/>
      <c r="F546" s="22"/>
    </row>
    <row r="547" spans="1:6" ht="14.5">
      <c r="A547" s="25">
        <v>44382</v>
      </c>
      <c r="B547" s="22">
        <v>27</v>
      </c>
      <c r="C547" s="22">
        <f t="shared" si="5"/>
        <v>1.8181818181818181</v>
      </c>
      <c r="D547" s="22">
        <f t="shared" si="6"/>
        <v>9.0909090909090912E-2</v>
      </c>
      <c r="E547" s="22"/>
      <c r="F547" s="22"/>
    </row>
    <row r="548" spans="1:6" ht="14.5">
      <c r="A548" s="25">
        <v>44383</v>
      </c>
      <c r="B548" s="22">
        <v>27</v>
      </c>
      <c r="C548" s="22">
        <f t="shared" si="5"/>
        <v>1.8181818181818181</v>
      </c>
      <c r="D548" s="22">
        <f t="shared" si="6"/>
        <v>9.0909090909090912E-2</v>
      </c>
      <c r="E548" s="22"/>
      <c r="F548" s="22"/>
    </row>
    <row r="549" spans="1:6" ht="14.5">
      <c r="A549" s="25">
        <v>44384</v>
      </c>
      <c r="B549" s="22">
        <v>27</v>
      </c>
      <c r="C549" s="22">
        <f t="shared" si="5"/>
        <v>1.8181818181818181</v>
      </c>
      <c r="D549" s="22">
        <f t="shared" si="6"/>
        <v>9.0909090909090912E-2</v>
      </c>
      <c r="E549" s="22"/>
      <c r="F549" s="22"/>
    </row>
    <row r="550" spans="1:6" ht="14.5">
      <c r="A550" s="25">
        <v>44385</v>
      </c>
      <c r="B550" s="22">
        <v>27</v>
      </c>
      <c r="C550" s="22">
        <f t="shared" si="5"/>
        <v>1.8181818181818181</v>
      </c>
      <c r="D550" s="22">
        <f t="shared" si="6"/>
        <v>9.0909090909090912E-2</v>
      </c>
      <c r="E550" s="22"/>
      <c r="F550" s="22"/>
    </row>
    <row r="551" spans="1:6" ht="14.5">
      <c r="A551" s="25">
        <v>44386</v>
      </c>
      <c r="B551" s="22">
        <v>27</v>
      </c>
      <c r="C551" s="22">
        <f t="shared" si="5"/>
        <v>1.8181818181818181</v>
      </c>
      <c r="D551" s="22">
        <f t="shared" si="6"/>
        <v>9.0909090909090912E-2</v>
      </c>
      <c r="E551" s="22"/>
      <c r="F551" s="22"/>
    </row>
    <row r="552" spans="1:6" ht="14.5">
      <c r="A552" s="25">
        <v>44387</v>
      </c>
      <c r="B552" s="22">
        <v>27</v>
      </c>
      <c r="C552" s="22">
        <f t="shared" si="5"/>
        <v>1.8181818181818181</v>
      </c>
      <c r="D552" s="22">
        <f t="shared" si="6"/>
        <v>9.0909090909090912E-2</v>
      </c>
      <c r="E552" s="22"/>
      <c r="F552" s="22"/>
    </row>
    <row r="553" spans="1:6" ht="14.5">
      <c r="A553" s="25">
        <v>44388</v>
      </c>
      <c r="B553" s="22">
        <v>27</v>
      </c>
      <c r="C553" s="22">
        <f t="shared" si="5"/>
        <v>1.8181818181818181</v>
      </c>
      <c r="D553" s="22">
        <f t="shared" si="6"/>
        <v>9.0909090909090912E-2</v>
      </c>
      <c r="E553" s="22"/>
      <c r="F553" s="22"/>
    </row>
    <row r="554" spans="1:6" ht="14.5">
      <c r="A554" s="25">
        <v>44389</v>
      </c>
      <c r="B554" s="26">
        <v>28</v>
      </c>
      <c r="C554" s="22">
        <f t="shared" ref="C554:C561" si="7">25/8</f>
        <v>3.125</v>
      </c>
      <c r="D554" s="22">
        <f t="shared" ref="D554:D561" si="8">1/8</f>
        <v>0.125</v>
      </c>
      <c r="E554" s="22"/>
      <c r="F554" s="22"/>
    </row>
    <row r="555" spans="1:6" ht="14.5">
      <c r="A555" s="25">
        <v>44390</v>
      </c>
      <c r="B555" s="26">
        <v>28</v>
      </c>
      <c r="C555" s="22">
        <f t="shared" si="7"/>
        <v>3.125</v>
      </c>
      <c r="D555" s="22">
        <f t="shared" si="8"/>
        <v>0.125</v>
      </c>
      <c r="E555" s="22"/>
      <c r="F555" s="22"/>
    </row>
    <row r="556" spans="1:6" ht="14.5">
      <c r="A556" s="25">
        <v>44391</v>
      </c>
      <c r="B556" s="26">
        <v>28</v>
      </c>
      <c r="C556" s="22">
        <f t="shared" si="7"/>
        <v>3.125</v>
      </c>
      <c r="D556" s="22">
        <f t="shared" si="8"/>
        <v>0.125</v>
      </c>
      <c r="E556" s="22"/>
      <c r="F556" s="22"/>
    </row>
    <row r="557" spans="1:6" ht="14.5">
      <c r="A557" s="25">
        <v>44392</v>
      </c>
      <c r="B557" s="26">
        <v>28</v>
      </c>
      <c r="C557" s="22">
        <f t="shared" si="7"/>
        <v>3.125</v>
      </c>
      <c r="D557" s="22">
        <f t="shared" si="8"/>
        <v>0.125</v>
      </c>
      <c r="E557" s="22"/>
      <c r="F557" s="22"/>
    </row>
    <row r="558" spans="1:6" ht="14.5">
      <c r="A558" s="25">
        <v>44393</v>
      </c>
      <c r="B558" s="26">
        <v>28</v>
      </c>
      <c r="C558" s="22">
        <f t="shared" si="7"/>
        <v>3.125</v>
      </c>
      <c r="D558" s="22">
        <f t="shared" si="8"/>
        <v>0.125</v>
      </c>
      <c r="E558" s="22"/>
      <c r="F558" s="22"/>
    </row>
    <row r="559" spans="1:6" ht="14.5">
      <c r="A559" s="25">
        <v>44394</v>
      </c>
      <c r="B559" s="26">
        <v>28</v>
      </c>
      <c r="C559" s="22">
        <f t="shared" si="7"/>
        <v>3.125</v>
      </c>
      <c r="D559" s="22">
        <f t="shared" si="8"/>
        <v>0.125</v>
      </c>
      <c r="E559" s="22"/>
      <c r="F559" s="22"/>
    </row>
    <row r="560" spans="1:6" ht="14.5">
      <c r="A560" s="25">
        <v>44395</v>
      </c>
      <c r="B560" s="26">
        <v>28</v>
      </c>
      <c r="C560" s="22">
        <f t="shared" si="7"/>
        <v>3.125</v>
      </c>
      <c r="D560" s="22">
        <f t="shared" si="8"/>
        <v>0.125</v>
      </c>
      <c r="E560" s="22"/>
      <c r="F560" s="22"/>
    </row>
    <row r="561" spans="1:6" ht="14.5">
      <c r="A561" s="25">
        <v>44396</v>
      </c>
      <c r="B561" s="26">
        <v>29</v>
      </c>
      <c r="C561" s="22">
        <f t="shared" si="7"/>
        <v>3.125</v>
      </c>
      <c r="D561" s="22">
        <f t="shared" si="8"/>
        <v>0.125</v>
      </c>
      <c r="E561" s="22"/>
      <c r="F561" s="22"/>
    </row>
    <row r="562" spans="1:6" ht="14.5">
      <c r="A562" s="25">
        <v>44397</v>
      </c>
      <c r="B562" s="26">
        <v>29</v>
      </c>
      <c r="C562" s="22">
        <f>(46/10)</f>
        <v>4.5999999999999996</v>
      </c>
      <c r="D562" s="22">
        <f>(3/10)</f>
        <v>0.3</v>
      </c>
      <c r="E562" s="22"/>
      <c r="F562" s="22"/>
    </row>
    <row r="563" spans="1:6" ht="14.5">
      <c r="A563" s="25">
        <v>44398</v>
      </c>
      <c r="B563" s="26">
        <v>29</v>
      </c>
      <c r="C563" s="22">
        <f t="shared" ref="C563:C571" si="9">(46/10)</f>
        <v>4.5999999999999996</v>
      </c>
      <c r="D563" s="22">
        <f t="shared" ref="D563:D571" si="10">(3/10)</f>
        <v>0.3</v>
      </c>
      <c r="E563" s="22"/>
      <c r="F563" s="22"/>
    </row>
    <row r="564" spans="1:6" ht="14.5">
      <c r="A564" s="25">
        <v>44399</v>
      </c>
      <c r="B564" s="26">
        <v>29</v>
      </c>
      <c r="C564" s="22">
        <f t="shared" si="9"/>
        <v>4.5999999999999996</v>
      </c>
      <c r="D564" s="22">
        <f t="shared" si="10"/>
        <v>0.3</v>
      </c>
      <c r="E564" s="22"/>
      <c r="F564" s="22"/>
    </row>
    <row r="565" spans="1:6" ht="14.5">
      <c r="A565" s="25">
        <v>44400</v>
      </c>
      <c r="B565" s="26">
        <v>29</v>
      </c>
      <c r="C565" s="22">
        <f t="shared" si="9"/>
        <v>4.5999999999999996</v>
      </c>
      <c r="D565" s="22">
        <f t="shared" si="10"/>
        <v>0.3</v>
      </c>
      <c r="E565" s="22"/>
      <c r="F565" s="22"/>
    </row>
    <row r="566" spans="1:6" ht="14.5">
      <c r="A566" s="25">
        <v>44401</v>
      </c>
      <c r="B566" s="26">
        <v>29</v>
      </c>
      <c r="C566" s="22">
        <f t="shared" si="9"/>
        <v>4.5999999999999996</v>
      </c>
      <c r="D566" s="22">
        <f t="shared" si="10"/>
        <v>0.3</v>
      </c>
      <c r="E566" s="22"/>
      <c r="F566" s="22"/>
    </row>
    <row r="567" spans="1:6" ht="14.5">
      <c r="A567" s="25">
        <v>44402</v>
      </c>
      <c r="B567" s="26">
        <v>29</v>
      </c>
      <c r="C567" s="22">
        <f t="shared" si="9"/>
        <v>4.5999999999999996</v>
      </c>
      <c r="D567" s="22">
        <f t="shared" si="10"/>
        <v>0.3</v>
      </c>
      <c r="E567" s="22"/>
      <c r="F567" s="22"/>
    </row>
    <row r="568" spans="1:6" ht="14.5">
      <c r="A568" s="25">
        <v>44403</v>
      </c>
      <c r="B568" s="26">
        <v>30</v>
      </c>
      <c r="C568" s="22">
        <f t="shared" si="9"/>
        <v>4.5999999999999996</v>
      </c>
      <c r="D568" s="22">
        <f t="shared" si="10"/>
        <v>0.3</v>
      </c>
      <c r="E568" s="39"/>
      <c r="F568" s="22"/>
    </row>
    <row r="569" spans="1:6" ht="14.5">
      <c r="A569" s="25">
        <v>44404</v>
      </c>
      <c r="B569" s="26">
        <v>30</v>
      </c>
      <c r="C569" s="22">
        <f t="shared" si="9"/>
        <v>4.5999999999999996</v>
      </c>
      <c r="D569" s="22">
        <f t="shared" si="10"/>
        <v>0.3</v>
      </c>
      <c r="E569" s="39"/>
      <c r="F569" s="22"/>
    </row>
    <row r="570" spans="1:6" ht="14.5">
      <c r="A570" s="25">
        <v>44405</v>
      </c>
      <c r="B570" s="26">
        <v>30</v>
      </c>
      <c r="C570" s="22">
        <f t="shared" si="9"/>
        <v>4.5999999999999996</v>
      </c>
      <c r="D570" s="22">
        <f t="shared" si="10"/>
        <v>0.3</v>
      </c>
      <c r="E570" s="22"/>
      <c r="F570" s="22"/>
    </row>
    <row r="571" spans="1:6" ht="14.5">
      <c r="A571" s="28">
        <v>44406</v>
      </c>
      <c r="B571" s="22">
        <v>30</v>
      </c>
      <c r="C571" s="22">
        <f t="shared" si="9"/>
        <v>4.5999999999999996</v>
      </c>
      <c r="D571" s="22">
        <f t="shared" si="10"/>
        <v>0.3</v>
      </c>
      <c r="E571" s="22"/>
      <c r="F571" s="22"/>
    </row>
    <row r="572" spans="1:6" ht="14.5">
      <c r="A572" s="28">
        <v>44407</v>
      </c>
      <c r="B572" s="22">
        <v>30</v>
      </c>
      <c r="C572" s="22">
        <f>(110/24)</f>
        <v>4.583333333333333</v>
      </c>
      <c r="D572" s="22">
        <f>(7/24)</f>
        <v>0.29166666666666669</v>
      </c>
      <c r="E572" s="22"/>
      <c r="F572" s="22"/>
    </row>
    <row r="573" spans="1:6" ht="14.5">
      <c r="A573" s="28">
        <v>44408</v>
      </c>
      <c r="B573" s="22">
        <v>30</v>
      </c>
      <c r="C573" s="22">
        <f t="shared" ref="C573:C595" si="11">(110/24)</f>
        <v>4.583333333333333</v>
      </c>
      <c r="D573" s="22">
        <f t="shared" ref="D573:D595" si="12">(7/24)</f>
        <v>0.29166666666666669</v>
      </c>
      <c r="E573" s="22"/>
      <c r="F573" s="22"/>
    </row>
    <row r="574" spans="1:6" ht="14.5">
      <c r="A574" s="28">
        <v>44409</v>
      </c>
      <c r="B574" s="22">
        <v>30</v>
      </c>
      <c r="C574" s="22">
        <f t="shared" si="11"/>
        <v>4.583333333333333</v>
      </c>
      <c r="D574" s="22">
        <f t="shared" si="12"/>
        <v>0.29166666666666669</v>
      </c>
      <c r="E574" s="22"/>
      <c r="F574" s="22"/>
    </row>
    <row r="575" spans="1:6" ht="14.5">
      <c r="A575" s="28">
        <v>44410</v>
      </c>
      <c r="B575" s="22">
        <v>31</v>
      </c>
      <c r="C575" s="22">
        <f t="shared" si="11"/>
        <v>4.583333333333333</v>
      </c>
      <c r="D575" s="22">
        <f t="shared" si="12"/>
        <v>0.29166666666666669</v>
      </c>
      <c r="E575" s="22"/>
      <c r="F575" s="22"/>
    </row>
    <row r="576" spans="1:6" ht="14.5">
      <c r="A576" s="28">
        <v>44411</v>
      </c>
      <c r="B576" s="22">
        <v>31</v>
      </c>
      <c r="C576" s="22">
        <f t="shared" si="11"/>
        <v>4.583333333333333</v>
      </c>
      <c r="D576" s="22">
        <f t="shared" si="12"/>
        <v>0.29166666666666669</v>
      </c>
      <c r="E576" s="22"/>
      <c r="F576" s="22"/>
    </row>
    <row r="577" spans="1:6" ht="14.5">
      <c r="A577" s="28">
        <v>44412</v>
      </c>
      <c r="B577" s="22">
        <v>31</v>
      </c>
      <c r="C577" s="22">
        <f t="shared" si="11"/>
        <v>4.583333333333333</v>
      </c>
      <c r="D577" s="22">
        <f t="shared" si="12"/>
        <v>0.29166666666666669</v>
      </c>
      <c r="E577" s="22"/>
      <c r="F577" s="22"/>
    </row>
    <row r="578" spans="1:6" ht="14.5">
      <c r="A578" s="28">
        <v>44413</v>
      </c>
      <c r="B578" s="22">
        <v>31</v>
      </c>
      <c r="C578" s="22">
        <f t="shared" si="11"/>
        <v>4.583333333333333</v>
      </c>
      <c r="D578" s="22">
        <f t="shared" si="12"/>
        <v>0.29166666666666669</v>
      </c>
      <c r="E578" s="22"/>
      <c r="F578" s="22"/>
    </row>
    <row r="579" spans="1:6" ht="14.5">
      <c r="A579" s="28">
        <v>44414</v>
      </c>
      <c r="B579" s="22">
        <v>31</v>
      </c>
      <c r="C579" s="22">
        <f t="shared" si="11"/>
        <v>4.583333333333333</v>
      </c>
      <c r="D579" s="22">
        <f t="shared" si="12"/>
        <v>0.29166666666666669</v>
      </c>
      <c r="E579" s="22"/>
      <c r="F579" s="22"/>
    </row>
    <row r="580" spans="1:6" ht="14.5">
      <c r="A580" s="28">
        <v>44415</v>
      </c>
      <c r="B580" s="22">
        <v>31</v>
      </c>
      <c r="C580" s="22">
        <f t="shared" si="11"/>
        <v>4.583333333333333</v>
      </c>
      <c r="D580" s="22">
        <f t="shared" si="12"/>
        <v>0.29166666666666669</v>
      </c>
      <c r="E580" s="22"/>
      <c r="F580" s="22"/>
    </row>
    <row r="581" spans="1:6" ht="14.5">
      <c r="A581" s="28">
        <v>44416</v>
      </c>
      <c r="B581" s="22">
        <v>31</v>
      </c>
      <c r="C581" s="22">
        <f t="shared" si="11"/>
        <v>4.583333333333333</v>
      </c>
      <c r="D581" s="22">
        <f t="shared" si="12"/>
        <v>0.29166666666666669</v>
      </c>
      <c r="E581" s="22"/>
      <c r="F581" s="22"/>
    </row>
    <row r="582" spans="1:6" ht="14.5">
      <c r="A582" s="28">
        <v>44417</v>
      </c>
      <c r="B582" s="22">
        <v>32</v>
      </c>
      <c r="C582" s="22">
        <f t="shared" si="11"/>
        <v>4.583333333333333</v>
      </c>
      <c r="D582" s="22">
        <f t="shared" si="12"/>
        <v>0.29166666666666669</v>
      </c>
      <c r="E582" s="22"/>
      <c r="F582" s="22"/>
    </row>
    <row r="583" spans="1:6" ht="14.5">
      <c r="A583" s="28">
        <v>44418</v>
      </c>
      <c r="B583" s="22">
        <v>32</v>
      </c>
      <c r="C583" s="22">
        <f t="shared" si="11"/>
        <v>4.583333333333333</v>
      </c>
      <c r="D583" s="22">
        <f t="shared" si="12"/>
        <v>0.29166666666666669</v>
      </c>
      <c r="E583" s="22"/>
      <c r="F583" s="22"/>
    </row>
    <row r="584" spans="1:6" ht="14.5">
      <c r="A584" s="28">
        <v>44419</v>
      </c>
      <c r="B584" s="22">
        <v>32</v>
      </c>
      <c r="C584" s="22">
        <f t="shared" si="11"/>
        <v>4.583333333333333</v>
      </c>
      <c r="D584" s="22">
        <f t="shared" si="12"/>
        <v>0.29166666666666669</v>
      </c>
      <c r="E584" s="22"/>
      <c r="F584" s="22"/>
    </row>
    <row r="585" spans="1:6" ht="14.5">
      <c r="A585" s="28">
        <v>44420</v>
      </c>
      <c r="B585" s="22">
        <v>32</v>
      </c>
      <c r="C585" s="22">
        <f t="shared" si="11"/>
        <v>4.583333333333333</v>
      </c>
      <c r="D585" s="22">
        <f t="shared" si="12"/>
        <v>0.29166666666666669</v>
      </c>
      <c r="E585" s="22"/>
      <c r="F585" s="22"/>
    </row>
    <row r="586" spans="1:6" ht="14.5">
      <c r="A586" s="28">
        <v>44421</v>
      </c>
      <c r="B586" s="22">
        <v>32</v>
      </c>
      <c r="C586" s="22">
        <f t="shared" si="11"/>
        <v>4.583333333333333</v>
      </c>
      <c r="D586" s="22">
        <f t="shared" si="12"/>
        <v>0.29166666666666669</v>
      </c>
      <c r="E586" s="22"/>
      <c r="F586" s="22"/>
    </row>
    <row r="587" spans="1:6" ht="14.5">
      <c r="A587" s="28">
        <v>44422</v>
      </c>
      <c r="B587" s="22">
        <v>32</v>
      </c>
      <c r="C587" s="22">
        <f t="shared" si="11"/>
        <v>4.583333333333333</v>
      </c>
      <c r="D587" s="22">
        <f t="shared" si="12"/>
        <v>0.29166666666666669</v>
      </c>
      <c r="E587" s="22"/>
      <c r="F587" s="22"/>
    </row>
    <row r="588" spans="1:6" ht="14.5">
      <c r="A588" s="28">
        <v>44423</v>
      </c>
      <c r="B588" s="22">
        <v>32</v>
      </c>
      <c r="C588" s="22">
        <f t="shared" si="11"/>
        <v>4.583333333333333</v>
      </c>
      <c r="D588" s="22">
        <f t="shared" si="12"/>
        <v>0.29166666666666669</v>
      </c>
      <c r="E588" s="22"/>
      <c r="F588" s="22"/>
    </row>
    <row r="589" spans="1:6" ht="14.5">
      <c r="A589" s="28">
        <v>44424</v>
      </c>
      <c r="B589" s="22">
        <v>33</v>
      </c>
      <c r="C589" s="22">
        <f t="shared" si="11"/>
        <v>4.583333333333333</v>
      </c>
      <c r="D589" s="22">
        <f t="shared" si="12"/>
        <v>0.29166666666666669</v>
      </c>
      <c r="E589" s="22"/>
      <c r="F589" s="22"/>
    </row>
    <row r="590" spans="1:6" ht="14.5">
      <c r="A590" s="28">
        <v>44425</v>
      </c>
      <c r="B590" s="22">
        <v>33</v>
      </c>
      <c r="C590" s="22">
        <f t="shared" si="11"/>
        <v>4.583333333333333</v>
      </c>
      <c r="D590" s="22">
        <f t="shared" si="12"/>
        <v>0.29166666666666669</v>
      </c>
      <c r="E590" s="22"/>
      <c r="F590" s="22"/>
    </row>
    <row r="591" spans="1:6" ht="14.5">
      <c r="A591" s="28">
        <v>44426</v>
      </c>
      <c r="B591" s="22">
        <v>33</v>
      </c>
      <c r="C591" s="22">
        <f t="shared" si="11"/>
        <v>4.583333333333333</v>
      </c>
      <c r="D591" s="22">
        <f t="shared" si="12"/>
        <v>0.29166666666666669</v>
      </c>
      <c r="E591" s="22"/>
      <c r="F591" s="22"/>
    </row>
    <row r="592" spans="1:6" ht="14.5">
      <c r="A592" s="28">
        <v>44427</v>
      </c>
      <c r="B592" s="22">
        <v>33</v>
      </c>
      <c r="C592" s="22">
        <f t="shared" si="11"/>
        <v>4.583333333333333</v>
      </c>
      <c r="D592" s="22">
        <f t="shared" si="12"/>
        <v>0.29166666666666669</v>
      </c>
      <c r="E592" s="22"/>
      <c r="F592" s="22"/>
    </row>
    <row r="593" spans="1:6" ht="14.5">
      <c r="A593" s="28">
        <v>44428</v>
      </c>
      <c r="B593" s="22">
        <v>33</v>
      </c>
      <c r="C593" s="22">
        <f t="shared" si="11"/>
        <v>4.583333333333333</v>
      </c>
      <c r="D593" s="22">
        <f t="shared" si="12"/>
        <v>0.29166666666666669</v>
      </c>
      <c r="E593" s="22"/>
      <c r="F593" s="22"/>
    </row>
    <row r="594" spans="1:6" ht="14.5">
      <c r="A594" s="28">
        <v>44429</v>
      </c>
      <c r="B594" s="22">
        <v>33</v>
      </c>
      <c r="C594" s="22">
        <f t="shared" si="11"/>
        <v>4.583333333333333</v>
      </c>
      <c r="D594" s="22">
        <f t="shared" si="12"/>
        <v>0.29166666666666669</v>
      </c>
      <c r="E594" s="22"/>
      <c r="F594" s="22"/>
    </row>
    <row r="595" spans="1:6" ht="14.5">
      <c r="A595" s="28">
        <v>44430</v>
      </c>
      <c r="B595" s="22">
        <v>33</v>
      </c>
      <c r="C595" s="22">
        <f t="shared" si="11"/>
        <v>4.583333333333333</v>
      </c>
      <c r="D595" s="22">
        <f t="shared" si="12"/>
        <v>0.29166666666666669</v>
      </c>
      <c r="E595" s="22"/>
      <c r="F595" s="22"/>
    </row>
    <row r="596" spans="1:6" ht="14.5">
      <c r="A596" s="28">
        <v>44431</v>
      </c>
      <c r="B596" s="22">
        <v>34</v>
      </c>
      <c r="C596" s="22">
        <f>(94/9)</f>
        <v>10.444444444444445</v>
      </c>
      <c r="D596" s="22">
        <f>(11/9)</f>
        <v>1.2222222222222223</v>
      </c>
      <c r="E596" s="22"/>
      <c r="F596" s="22"/>
    </row>
    <row r="597" spans="1:6" ht="14.5">
      <c r="A597" s="28">
        <v>44432</v>
      </c>
      <c r="B597" s="22">
        <v>34</v>
      </c>
      <c r="C597" s="22">
        <f t="shared" ref="C597:C604" si="13">(94/9)</f>
        <v>10.444444444444445</v>
      </c>
      <c r="D597" s="22">
        <f t="shared" ref="D597:D604" si="14">(11/9)</f>
        <v>1.2222222222222223</v>
      </c>
      <c r="E597" s="22"/>
      <c r="F597" s="22"/>
    </row>
    <row r="598" spans="1:6" ht="14.5">
      <c r="A598" s="28">
        <v>44433</v>
      </c>
      <c r="B598" s="22">
        <v>34</v>
      </c>
      <c r="C598" s="22">
        <f t="shared" si="13"/>
        <v>10.444444444444445</v>
      </c>
      <c r="D598" s="22">
        <f t="shared" si="14"/>
        <v>1.2222222222222223</v>
      </c>
      <c r="E598" s="22"/>
      <c r="F598" s="22"/>
    </row>
    <row r="599" spans="1:6" ht="14.5">
      <c r="A599" s="28">
        <v>44434</v>
      </c>
      <c r="B599" s="22">
        <v>34</v>
      </c>
      <c r="C599" s="22">
        <f t="shared" si="13"/>
        <v>10.444444444444445</v>
      </c>
      <c r="D599" s="22">
        <f t="shared" si="14"/>
        <v>1.2222222222222223</v>
      </c>
      <c r="E599" s="22"/>
      <c r="F599" s="22"/>
    </row>
    <row r="600" spans="1:6" ht="14.5">
      <c r="A600" s="28">
        <v>44435</v>
      </c>
      <c r="B600" s="22">
        <v>34</v>
      </c>
      <c r="C600" s="22">
        <f t="shared" si="13"/>
        <v>10.444444444444445</v>
      </c>
      <c r="D600" s="22">
        <f t="shared" si="14"/>
        <v>1.2222222222222223</v>
      </c>
      <c r="E600" s="22"/>
      <c r="F600" s="22"/>
    </row>
    <row r="601" spans="1:6" ht="14.5">
      <c r="A601" s="28">
        <v>44436</v>
      </c>
      <c r="B601" s="22">
        <v>34</v>
      </c>
      <c r="C601" s="22">
        <f t="shared" si="13"/>
        <v>10.444444444444445</v>
      </c>
      <c r="D601" s="22">
        <f t="shared" si="14"/>
        <v>1.2222222222222223</v>
      </c>
      <c r="E601" s="22"/>
      <c r="F601" s="22"/>
    </row>
    <row r="602" spans="1:6" ht="14.5">
      <c r="A602" s="28">
        <v>44437</v>
      </c>
      <c r="B602" s="22">
        <v>34</v>
      </c>
      <c r="C602" s="22">
        <f t="shared" si="13"/>
        <v>10.444444444444445</v>
      </c>
      <c r="D602" s="22">
        <f t="shared" si="14"/>
        <v>1.2222222222222223</v>
      </c>
      <c r="E602" s="22"/>
      <c r="F602" s="22"/>
    </row>
    <row r="603" spans="1:6" ht="14.5">
      <c r="A603" s="28">
        <v>44438</v>
      </c>
      <c r="B603" s="22">
        <v>35</v>
      </c>
      <c r="C603" s="22">
        <f t="shared" si="13"/>
        <v>10.444444444444445</v>
      </c>
      <c r="D603" s="22">
        <f t="shared" si="14"/>
        <v>1.2222222222222223</v>
      </c>
      <c r="E603" s="22"/>
      <c r="F603" s="22"/>
    </row>
    <row r="604" spans="1:6" ht="14.5">
      <c r="A604" s="28">
        <v>44439</v>
      </c>
      <c r="B604" s="22">
        <v>35</v>
      </c>
      <c r="C604" s="22">
        <f t="shared" si="13"/>
        <v>10.444444444444445</v>
      </c>
      <c r="D604" s="22">
        <f t="shared" si="14"/>
        <v>1.2222222222222223</v>
      </c>
      <c r="E604" s="22"/>
      <c r="F604" s="22"/>
    </row>
    <row r="605" spans="1:6" ht="14.5">
      <c r="A605" s="28">
        <v>44440</v>
      </c>
      <c r="B605" s="22">
        <v>35</v>
      </c>
      <c r="C605" s="22">
        <f>(19/12)</f>
        <v>1.5833333333333333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 t="shared" ref="C606:C616" si="15">(19/12)</f>
        <v>1.5833333333333333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 t="shared" si="15"/>
        <v>1.5833333333333333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 t="shared" si="15"/>
        <v>1.5833333333333333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 t="shared" si="15"/>
        <v>1.5833333333333333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 t="shared" si="15"/>
        <v>1.5833333333333333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 t="shared" si="15"/>
        <v>1.5833333333333333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 t="shared" si="15"/>
        <v>1.5833333333333333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 t="shared" si="15"/>
        <v>1.5833333333333333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 t="shared" si="15"/>
        <v>1.5833333333333333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 t="shared" si="15"/>
        <v>1.5833333333333333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 t="shared" si="15"/>
        <v>1.5833333333333333</v>
      </c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(8/8)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f t="shared" ref="C618:C624" si="16">(8/8)</f>
        <v>1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f t="shared" si="16"/>
        <v>1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f t="shared" si="16"/>
        <v>1</v>
      </c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 t="shared" si="16"/>
        <v>1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>
        <f t="shared" si="16"/>
        <v>1</v>
      </c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 t="shared" si="16"/>
        <v>1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>
        <f t="shared" si="16"/>
        <v>1</v>
      </c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f>(18/10)</f>
        <v>1.8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f t="shared" ref="C626:C634" si="17">(18/10)</f>
        <v>1.8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>
        <f t="shared" si="17"/>
        <v>1.8</v>
      </c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 t="shared" si="17"/>
        <v>1.8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>
        <f t="shared" si="17"/>
        <v>1.8</v>
      </c>
      <c r="D629" s="22"/>
      <c r="E629" s="22"/>
      <c r="F629" s="22"/>
    </row>
    <row r="630" spans="1:6" ht="14.5">
      <c r="A630" s="28">
        <v>44465</v>
      </c>
      <c r="B630" s="22">
        <v>38</v>
      </c>
      <c r="C630" s="22">
        <f t="shared" si="17"/>
        <v>1.8</v>
      </c>
      <c r="D630" s="22"/>
      <c r="E630" s="22"/>
      <c r="F630" s="22"/>
    </row>
    <row r="631" spans="1:6" ht="14.5">
      <c r="A631" s="28">
        <v>44466</v>
      </c>
      <c r="B631" s="22">
        <v>39</v>
      </c>
      <c r="C631" s="22">
        <f t="shared" si="17"/>
        <v>1.8</v>
      </c>
      <c r="D631" s="22"/>
      <c r="E631" s="22"/>
      <c r="F631" s="22"/>
    </row>
    <row r="632" spans="1:6" ht="14.5">
      <c r="A632" s="28">
        <v>44467</v>
      </c>
      <c r="B632" s="22">
        <v>39</v>
      </c>
      <c r="C632" s="22">
        <f t="shared" si="17"/>
        <v>1.8</v>
      </c>
      <c r="D632" s="22"/>
      <c r="E632" s="22"/>
      <c r="F632" s="22"/>
    </row>
    <row r="633" spans="1:6" ht="14.5">
      <c r="A633" s="28">
        <v>44468</v>
      </c>
      <c r="B633" s="22">
        <v>39</v>
      </c>
      <c r="C633" s="22">
        <f t="shared" si="17"/>
        <v>1.8</v>
      </c>
      <c r="D633" s="22"/>
      <c r="E633" s="22"/>
      <c r="F633" s="22"/>
    </row>
    <row r="634" spans="1:6" ht="14.5">
      <c r="A634" s="28">
        <v>44469</v>
      </c>
      <c r="B634" s="22">
        <v>39</v>
      </c>
      <c r="C634" s="22">
        <f t="shared" si="17"/>
        <v>1.8</v>
      </c>
      <c r="D634" s="22"/>
      <c r="E634" s="22"/>
      <c r="F634" s="22"/>
    </row>
    <row r="635" spans="1:6" ht="14.5">
      <c r="A635" s="28">
        <v>44470</v>
      </c>
      <c r="B635" s="22">
        <v>39</v>
      </c>
      <c r="C635" s="22">
        <f>(2/11)</f>
        <v>0.18181818181818182</v>
      </c>
      <c r="D635" s="22">
        <f>(1/11)</f>
        <v>9.0909090909090912E-2</v>
      </c>
      <c r="E635" s="22"/>
      <c r="F635" s="22"/>
    </row>
    <row r="636" spans="1:6" ht="14.5">
      <c r="A636" s="28">
        <v>44471</v>
      </c>
      <c r="B636" s="22">
        <v>39</v>
      </c>
      <c r="C636" s="22">
        <f t="shared" ref="C636:C645" si="18">(2/11)</f>
        <v>0.18181818181818182</v>
      </c>
      <c r="D636" s="22">
        <f t="shared" ref="D636:D645" si="19">(1/11)</f>
        <v>9.0909090909090912E-2</v>
      </c>
      <c r="E636" s="22"/>
      <c r="F636" s="22"/>
    </row>
    <row r="637" spans="1:6" ht="14.5">
      <c r="A637" s="28">
        <v>44472</v>
      </c>
      <c r="B637" s="22">
        <v>39</v>
      </c>
      <c r="C637" s="22">
        <f t="shared" si="18"/>
        <v>0.18181818181818182</v>
      </c>
      <c r="D637" s="22">
        <f t="shared" si="19"/>
        <v>9.0909090909090912E-2</v>
      </c>
      <c r="E637" s="22"/>
      <c r="F637" s="22"/>
    </row>
    <row r="638" spans="1:6" ht="14.5">
      <c r="A638" s="28">
        <v>44473</v>
      </c>
      <c r="B638" s="22">
        <v>40</v>
      </c>
      <c r="C638" s="22">
        <f t="shared" si="18"/>
        <v>0.18181818181818182</v>
      </c>
      <c r="D638" s="22">
        <f t="shared" si="19"/>
        <v>9.0909090909090912E-2</v>
      </c>
      <c r="E638" s="22"/>
      <c r="F638" s="22"/>
    </row>
    <row r="639" spans="1:6" ht="14.5">
      <c r="A639" s="28">
        <v>44474</v>
      </c>
      <c r="B639" s="22">
        <v>40</v>
      </c>
      <c r="C639" s="22">
        <f t="shared" si="18"/>
        <v>0.18181818181818182</v>
      </c>
      <c r="D639" s="22">
        <f t="shared" si="19"/>
        <v>9.0909090909090912E-2</v>
      </c>
      <c r="E639" s="22"/>
      <c r="F639" s="22"/>
    </row>
    <row r="640" spans="1:6" ht="14.5">
      <c r="A640" s="28">
        <v>44475</v>
      </c>
      <c r="B640" s="22">
        <v>40</v>
      </c>
      <c r="C640" s="22">
        <f t="shared" si="18"/>
        <v>0.18181818181818182</v>
      </c>
      <c r="D640" s="22">
        <f t="shared" si="19"/>
        <v>9.0909090909090912E-2</v>
      </c>
      <c r="E640" s="22"/>
      <c r="F640" s="22"/>
    </row>
    <row r="641" spans="1:6" ht="14.5">
      <c r="A641" s="28">
        <v>44476</v>
      </c>
      <c r="B641" s="22">
        <v>40</v>
      </c>
      <c r="C641" s="22">
        <f t="shared" si="18"/>
        <v>0.18181818181818182</v>
      </c>
      <c r="D641" s="22">
        <f t="shared" si="19"/>
        <v>9.0909090909090912E-2</v>
      </c>
      <c r="E641" s="22"/>
      <c r="F641" s="22"/>
    </row>
    <row r="642" spans="1:6" ht="14.5">
      <c r="A642" s="28">
        <v>44477</v>
      </c>
      <c r="B642" s="22">
        <v>40</v>
      </c>
      <c r="C642" s="22">
        <f t="shared" si="18"/>
        <v>0.18181818181818182</v>
      </c>
      <c r="D642" s="22">
        <f t="shared" si="19"/>
        <v>9.0909090909090912E-2</v>
      </c>
      <c r="E642" s="22"/>
      <c r="F642" s="22"/>
    </row>
    <row r="643" spans="1:6" ht="14.5">
      <c r="A643" s="28">
        <v>44478</v>
      </c>
      <c r="B643" s="22">
        <v>40</v>
      </c>
      <c r="C643" s="22">
        <f t="shared" si="18"/>
        <v>0.18181818181818182</v>
      </c>
      <c r="D643" s="22">
        <f t="shared" si="19"/>
        <v>9.0909090909090912E-2</v>
      </c>
      <c r="E643" s="22"/>
      <c r="F643" s="22"/>
    </row>
    <row r="644" spans="1:6" ht="14.5">
      <c r="A644" s="28">
        <v>44479</v>
      </c>
      <c r="B644" s="22">
        <v>40</v>
      </c>
      <c r="C644" s="22">
        <f t="shared" si="18"/>
        <v>0.18181818181818182</v>
      </c>
      <c r="D644" s="22">
        <f t="shared" si="19"/>
        <v>9.0909090909090912E-2</v>
      </c>
      <c r="E644" s="22"/>
      <c r="F644" s="22"/>
    </row>
    <row r="645" spans="1:6" ht="14.5">
      <c r="A645" s="28">
        <v>44480</v>
      </c>
      <c r="B645" s="22">
        <v>41</v>
      </c>
      <c r="C645" s="22">
        <f t="shared" si="18"/>
        <v>0.18181818181818182</v>
      </c>
      <c r="D645" s="22">
        <f t="shared" si="19"/>
        <v>9.0909090909090912E-2</v>
      </c>
      <c r="E645" s="22"/>
      <c r="F645" s="22"/>
    </row>
    <row r="646" spans="1:6" ht="14.5">
      <c r="A646" s="28">
        <v>44481</v>
      </c>
      <c r="B646" s="22">
        <v>41</v>
      </c>
      <c r="C646" s="22">
        <f>(1/9)</f>
        <v>0.1111111111111111</v>
      </c>
      <c r="D646" s="22"/>
      <c r="E646" s="22"/>
      <c r="F646" s="22"/>
    </row>
    <row r="647" spans="1:6" ht="14.5">
      <c r="A647" s="28">
        <v>44482</v>
      </c>
      <c r="B647" s="22">
        <v>41</v>
      </c>
      <c r="C647" s="22">
        <f t="shared" ref="C647:C654" si="20">(1/9)</f>
        <v>0.1111111111111111</v>
      </c>
      <c r="D647" s="22"/>
      <c r="E647" s="22"/>
      <c r="F647" s="22"/>
    </row>
    <row r="648" spans="1:6" ht="14.5">
      <c r="A648" s="28">
        <v>44483</v>
      </c>
      <c r="B648" s="22">
        <v>41</v>
      </c>
      <c r="C648" s="22">
        <f t="shared" si="20"/>
        <v>0.1111111111111111</v>
      </c>
      <c r="D648" s="22"/>
      <c r="E648" s="22"/>
      <c r="F648" s="22"/>
    </row>
    <row r="649" spans="1:6" ht="14.5">
      <c r="A649" s="28">
        <v>44484</v>
      </c>
      <c r="B649" s="22">
        <v>41</v>
      </c>
      <c r="C649" s="22">
        <f t="shared" si="20"/>
        <v>0.1111111111111111</v>
      </c>
      <c r="D649" s="22"/>
      <c r="E649" s="22"/>
      <c r="F649" s="22"/>
    </row>
    <row r="650" spans="1:6" ht="14.5">
      <c r="A650" s="28">
        <v>44485</v>
      </c>
      <c r="B650" s="22">
        <v>41</v>
      </c>
      <c r="C650" s="22">
        <f t="shared" si="20"/>
        <v>0.1111111111111111</v>
      </c>
      <c r="D650" s="22"/>
      <c r="E650" s="22"/>
      <c r="F650" s="22"/>
    </row>
    <row r="651" spans="1:6" ht="14.5">
      <c r="A651" s="28">
        <v>44486</v>
      </c>
      <c r="B651" s="22">
        <v>41</v>
      </c>
      <c r="C651" s="22">
        <f t="shared" si="20"/>
        <v>0.1111111111111111</v>
      </c>
      <c r="D651" s="22"/>
      <c r="E651" s="22"/>
      <c r="F651" s="22"/>
    </row>
    <row r="652" spans="1:6" ht="14.5">
      <c r="A652" s="28">
        <v>44487</v>
      </c>
      <c r="B652" s="22">
        <v>42</v>
      </c>
      <c r="C652" s="22">
        <f t="shared" si="20"/>
        <v>0.1111111111111111</v>
      </c>
      <c r="D652" s="22"/>
      <c r="E652" s="22"/>
      <c r="F652" s="22"/>
    </row>
    <row r="653" spans="1:6" ht="14.5">
      <c r="A653" s="28">
        <v>44488</v>
      </c>
      <c r="B653" s="22">
        <v>42</v>
      </c>
      <c r="C653" s="22">
        <f t="shared" si="20"/>
        <v>0.1111111111111111</v>
      </c>
      <c r="D653" s="22"/>
      <c r="E653" s="22"/>
      <c r="F653" s="22"/>
    </row>
    <row r="654" spans="1:6" ht="14.5">
      <c r="A654" s="28">
        <v>44489</v>
      </c>
      <c r="B654" s="22">
        <v>42</v>
      </c>
      <c r="C654" s="22">
        <f t="shared" si="20"/>
        <v>0.1111111111111111</v>
      </c>
      <c r="D654" s="22"/>
      <c r="E654" s="22"/>
      <c r="F654" s="22"/>
    </row>
    <row r="655" spans="1:6" ht="14.5">
      <c r="A655" s="28">
        <v>44490</v>
      </c>
      <c r="B655" s="22">
        <v>42</v>
      </c>
      <c r="C655" s="22">
        <f>(2/21)</f>
        <v>9.5238095238095233E-2</v>
      </c>
      <c r="D655" s="22"/>
      <c r="E655" s="22"/>
      <c r="F655" s="22"/>
    </row>
    <row r="656" spans="1:6" ht="14.5">
      <c r="A656" s="28">
        <v>44491</v>
      </c>
      <c r="B656" s="22">
        <v>42</v>
      </c>
      <c r="C656" s="22">
        <f t="shared" ref="C656:C675" si="21">(2/21)</f>
        <v>9.5238095238095233E-2</v>
      </c>
      <c r="D656" s="22"/>
      <c r="E656" s="22"/>
      <c r="F656" s="22"/>
    </row>
    <row r="657" spans="1:6" ht="14.5">
      <c r="A657" s="28">
        <v>44492</v>
      </c>
      <c r="B657" s="22">
        <v>42</v>
      </c>
      <c r="C657" s="22">
        <f t="shared" si="21"/>
        <v>9.5238095238095233E-2</v>
      </c>
      <c r="D657" s="22"/>
      <c r="E657" s="22"/>
      <c r="F657" s="22"/>
    </row>
    <row r="658" spans="1:6" ht="14.5">
      <c r="A658" s="28">
        <v>44493</v>
      </c>
      <c r="B658" s="22">
        <v>42</v>
      </c>
      <c r="C658" s="22">
        <f t="shared" si="21"/>
        <v>9.5238095238095233E-2</v>
      </c>
      <c r="D658" s="22"/>
      <c r="E658" s="22"/>
      <c r="F658" s="22"/>
    </row>
    <row r="659" spans="1:6" ht="14.5">
      <c r="A659" s="28">
        <v>44494</v>
      </c>
      <c r="B659" s="22">
        <v>43</v>
      </c>
      <c r="C659" s="22">
        <f t="shared" si="21"/>
        <v>9.5238095238095233E-2</v>
      </c>
      <c r="D659" s="22"/>
      <c r="E659" s="22"/>
      <c r="F659" s="22"/>
    </row>
    <row r="660" spans="1:6" ht="14.5">
      <c r="A660" s="28">
        <v>44495</v>
      </c>
      <c r="B660" s="22">
        <v>43</v>
      </c>
      <c r="C660" s="22">
        <f t="shared" si="21"/>
        <v>9.5238095238095233E-2</v>
      </c>
      <c r="D660" s="22"/>
      <c r="E660" s="22"/>
      <c r="F660" s="22"/>
    </row>
    <row r="661" spans="1:6" ht="14.5">
      <c r="A661" s="28">
        <v>44496</v>
      </c>
      <c r="B661" s="22">
        <v>43</v>
      </c>
      <c r="C661" s="22">
        <f t="shared" si="21"/>
        <v>9.5238095238095233E-2</v>
      </c>
      <c r="D661" s="22"/>
      <c r="E661" s="22"/>
      <c r="F661" s="22"/>
    </row>
    <row r="662" spans="1:6" ht="14.5">
      <c r="A662" s="28">
        <v>44497</v>
      </c>
      <c r="B662" s="22">
        <v>43</v>
      </c>
      <c r="C662" s="22">
        <f t="shared" si="21"/>
        <v>9.5238095238095233E-2</v>
      </c>
      <c r="D662" s="22"/>
      <c r="E662" s="22"/>
      <c r="F662" s="22"/>
    </row>
    <row r="663" spans="1:6" ht="14.5">
      <c r="A663" s="28">
        <v>44498</v>
      </c>
      <c r="B663" s="22">
        <v>43</v>
      </c>
      <c r="C663" s="22">
        <f t="shared" si="21"/>
        <v>9.5238095238095233E-2</v>
      </c>
      <c r="D663" s="22"/>
      <c r="E663" s="22"/>
      <c r="F663" s="22"/>
    </row>
    <row r="664" spans="1:6" ht="14.5">
      <c r="A664" s="28">
        <v>44499</v>
      </c>
      <c r="B664" s="22">
        <v>43</v>
      </c>
      <c r="C664" s="22">
        <f t="shared" si="21"/>
        <v>9.5238095238095233E-2</v>
      </c>
      <c r="D664" s="22"/>
      <c r="E664" s="22"/>
      <c r="F664" s="22"/>
    </row>
    <row r="665" spans="1:6" ht="14.5">
      <c r="A665" s="28">
        <v>44500</v>
      </c>
      <c r="B665" s="22">
        <v>43</v>
      </c>
      <c r="C665" s="22">
        <f t="shared" si="21"/>
        <v>9.5238095238095233E-2</v>
      </c>
      <c r="D665" s="22"/>
      <c r="E665" s="22"/>
      <c r="F665" s="22"/>
    </row>
    <row r="666" spans="1:6" ht="14.5">
      <c r="A666" s="28">
        <v>44501</v>
      </c>
      <c r="B666" s="22">
        <v>44</v>
      </c>
      <c r="C666" s="22">
        <f t="shared" si="21"/>
        <v>9.5238095238095233E-2</v>
      </c>
      <c r="D666" s="22"/>
      <c r="E666" s="22"/>
      <c r="F666" s="22"/>
    </row>
    <row r="667" spans="1:6" ht="14.5">
      <c r="A667" s="28">
        <v>44502</v>
      </c>
      <c r="B667" s="22">
        <v>44</v>
      </c>
      <c r="C667" s="22">
        <f t="shared" si="21"/>
        <v>9.5238095238095233E-2</v>
      </c>
      <c r="D667" s="22"/>
      <c r="E667" s="22"/>
      <c r="F667" s="22"/>
    </row>
    <row r="668" spans="1:6" ht="14.5">
      <c r="A668" s="28">
        <v>44503</v>
      </c>
      <c r="B668" s="22">
        <v>44</v>
      </c>
      <c r="C668" s="22">
        <f t="shared" si="21"/>
        <v>9.5238095238095233E-2</v>
      </c>
      <c r="D668" s="22"/>
      <c r="E668" s="22"/>
      <c r="F668" s="22"/>
    </row>
    <row r="669" spans="1:6" ht="14.5">
      <c r="A669" s="28">
        <v>44504</v>
      </c>
      <c r="B669" s="22">
        <v>44</v>
      </c>
      <c r="C669" s="22">
        <f t="shared" si="21"/>
        <v>9.5238095238095233E-2</v>
      </c>
      <c r="D669" s="22"/>
      <c r="E669" s="22"/>
      <c r="F669" s="22"/>
    </row>
    <row r="670" spans="1:6" ht="14.5">
      <c r="A670" s="28">
        <v>44505</v>
      </c>
      <c r="B670" s="22">
        <v>44</v>
      </c>
      <c r="C670" s="22">
        <f t="shared" si="21"/>
        <v>9.5238095238095233E-2</v>
      </c>
      <c r="D670" s="22"/>
      <c r="E670" s="22"/>
      <c r="F670" s="22"/>
    </row>
    <row r="671" spans="1:6" ht="14.5">
      <c r="A671" s="28">
        <v>44506</v>
      </c>
      <c r="B671" s="22">
        <v>44</v>
      </c>
      <c r="C671" s="22">
        <f t="shared" si="21"/>
        <v>9.5238095238095233E-2</v>
      </c>
      <c r="D671" s="22"/>
      <c r="E671" s="22"/>
      <c r="F671" s="22"/>
    </row>
    <row r="672" spans="1:6" ht="14.5">
      <c r="A672" s="28">
        <v>44507</v>
      </c>
      <c r="B672" s="22">
        <v>44</v>
      </c>
      <c r="C672" s="22">
        <f t="shared" si="21"/>
        <v>9.5238095238095233E-2</v>
      </c>
      <c r="D672" s="22"/>
      <c r="E672" s="22"/>
      <c r="F672" s="22"/>
    </row>
    <row r="673" spans="1:6" ht="14.5">
      <c r="A673" s="28">
        <v>44508</v>
      </c>
      <c r="B673" s="22">
        <v>45</v>
      </c>
      <c r="C673" s="22">
        <f t="shared" si="21"/>
        <v>9.5238095238095233E-2</v>
      </c>
      <c r="D673" s="22"/>
      <c r="E673" s="22"/>
      <c r="F673" s="22"/>
    </row>
    <row r="674" spans="1:6" ht="14.5">
      <c r="A674" s="28">
        <v>44509</v>
      </c>
      <c r="B674" s="22">
        <v>45</v>
      </c>
      <c r="C674" s="22">
        <f t="shared" si="21"/>
        <v>9.5238095238095233E-2</v>
      </c>
      <c r="D674" s="22"/>
      <c r="E674" s="22"/>
      <c r="F674" s="22"/>
    </row>
    <row r="675" spans="1:6" ht="14.5">
      <c r="A675" s="28">
        <v>44510</v>
      </c>
      <c r="B675" s="22">
        <v>45</v>
      </c>
      <c r="C675" s="22">
        <f t="shared" si="21"/>
        <v>9.5238095238095233E-2</v>
      </c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>
        <f>1/40</f>
        <v>2.5000000000000001E-2</v>
      </c>
      <c r="E676" s="22"/>
      <c r="F676" s="22"/>
    </row>
    <row r="677" spans="1:6" ht="14.5">
      <c r="A677" s="28">
        <v>44512</v>
      </c>
      <c r="B677" s="22">
        <v>45</v>
      </c>
      <c r="C677" s="22"/>
      <c r="D677" s="22">
        <f t="shared" ref="D677:D715" si="22">1/40</f>
        <v>2.5000000000000001E-2</v>
      </c>
      <c r="E677" s="22"/>
      <c r="F677" s="22"/>
    </row>
    <row r="678" spans="1:6" ht="14.5">
      <c r="A678" s="28">
        <v>44513</v>
      </c>
      <c r="B678" s="22">
        <v>45</v>
      </c>
      <c r="C678" s="22"/>
      <c r="D678" s="22">
        <f t="shared" si="22"/>
        <v>2.5000000000000001E-2</v>
      </c>
      <c r="E678" s="22"/>
      <c r="F678" s="22"/>
    </row>
    <row r="679" spans="1:6" ht="14.5">
      <c r="A679" s="28">
        <v>44514</v>
      </c>
      <c r="B679" s="22">
        <v>45</v>
      </c>
      <c r="C679" s="22"/>
      <c r="D679" s="22">
        <f t="shared" si="22"/>
        <v>2.5000000000000001E-2</v>
      </c>
      <c r="E679" s="22"/>
      <c r="F679" s="22"/>
    </row>
    <row r="680" spans="1:6" ht="14.5">
      <c r="A680" s="28">
        <v>44515</v>
      </c>
      <c r="B680" s="22">
        <v>46</v>
      </c>
      <c r="C680" s="22"/>
      <c r="D680" s="22">
        <f t="shared" si="22"/>
        <v>2.5000000000000001E-2</v>
      </c>
      <c r="E680" s="22"/>
      <c r="F680" s="22"/>
    </row>
    <row r="681" spans="1:6" ht="14.5">
      <c r="A681" s="28">
        <v>44516</v>
      </c>
      <c r="B681" s="22">
        <v>46</v>
      </c>
      <c r="C681" s="22"/>
      <c r="D681" s="22">
        <f t="shared" si="22"/>
        <v>2.5000000000000001E-2</v>
      </c>
      <c r="E681" s="22"/>
      <c r="F681" s="22"/>
    </row>
    <row r="682" spans="1:6" ht="14.5">
      <c r="A682" s="28">
        <v>44517</v>
      </c>
      <c r="B682" s="22">
        <v>46</v>
      </c>
      <c r="C682" s="22"/>
      <c r="D682" s="22">
        <f t="shared" si="22"/>
        <v>2.5000000000000001E-2</v>
      </c>
      <c r="E682" s="22"/>
      <c r="F682" s="22"/>
    </row>
    <row r="683" spans="1:6" ht="14.5">
      <c r="A683" s="28">
        <v>44518</v>
      </c>
      <c r="B683" s="22">
        <v>46</v>
      </c>
      <c r="C683" s="22"/>
      <c r="D683" s="22">
        <f t="shared" si="22"/>
        <v>2.5000000000000001E-2</v>
      </c>
      <c r="E683" s="22"/>
      <c r="F683" s="22"/>
    </row>
    <row r="684" spans="1:6" ht="14.5">
      <c r="A684" s="28">
        <v>44519</v>
      </c>
      <c r="B684" s="22">
        <v>46</v>
      </c>
      <c r="C684" s="22"/>
      <c r="D684" s="22">
        <f t="shared" si="22"/>
        <v>2.5000000000000001E-2</v>
      </c>
      <c r="E684" s="22"/>
      <c r="F684" s="22"/>
    </row>
    <row r="685" spans="1:6" ht="14.5">
      <c r="A685" s="28">
        <v>44520</v>
      </c>
      <c r="B685" s="22">
        <v>46</v>
      </c>
      <c r="C685" s="22"/>
      <c r="D685" s="22">
        <f t="shared" si="22"/>
        <v>2.5000000000000001E-2</v>
      </c>
      <c r="E685" s="22"/>
      <c r="F685" s="22"/>
    </row>
    <row r="686" spans="1:6" ht="14.5">
      <c r="A686" s="28">
        <v>44521</v>
      </c>
      <c r="B686" s="22">
        <v>46</v>
      </c>
      <c r="C686" s="22"/>
      <c r="D686" s="22">
        <f t="shared" si="22"/>
        <v>2.5000000000000001E-2</v>
      </c>
      <c r="E686" s="22"/>
      <c r="F686" s="22"/>
    </row>
    <row r="687" spans="1:6" ht="14.5">
      <c r="A687" s="28">
        <v>44522</v>
      </c>
      <c r="B687" s="22">
        <v>47</v>
      </c>
      <c r="C687" s="22"/>
      <c r="D687" s="22">
        <f t="shared" si="22"/>
        <v>2.5000000000000001E-2</v>
      </c>
      <c r="E687" s="22"/>
      <c r="F687" s="22"/>
    </row>
    <row r="688" spans="1:6" ht="14.5">
      <c r="A688" s="28">
        <v>44523</v>
      </c>
      <c r="B688" s="22">
        <v>47</v>
      </c>
      <c r="C688" s="22"/>
      <c r="D688" s="22">
        <f t="shared" si="22"/>
        <v>2.5000000000000001E-2</v>
      </c>
      <c r="E688" s="22"/>
      <c r="F688" s="22"/>
    </row>
    <row r="689" spans="1:6" ht="14.5">
      <c r="A689" s="28">
        <v>44524</v>
      </c>
      <c r="B689" s="22">
        <v>47</v>
      </c>
      <c r="C689" s="22"/>
      <c r="D689" s="22">
        <f t="shared" si="22"/>
        <v>2.5000000000000001E-2</v>
      </c>
      <c r="E689" s="22"/>
      <c r="F689" s="22"/>
    </row>
    <row r="690" spans="1:6" ht="14.5">
      <c r="A690" s="28">
        <v>44525</v>
      </c>
      <c r="B690" s="22">
        <v>47</v>
      </c>
      <c r="C690" s="22"/>
      <c r="D690" s="22">
        <f t="shared" si="22"/>
        <v>2.5000000000000001E-2</v>
      </c>
      <c r="E690" s="22"/>
      <c r="F690" s="22"/>
    </row>
    <row r="691" spans="1:6" ht="14.5">
      <c r="A691" s="28">
        <v>44526</v>
      </c>
      <c r="B691" s="22">
        <v>47</v>
      </c>
      <c r="C691" s="22"/>
      <c r="D691" s="22">
        <f t="shared" si="22"/>
        <v>2.5000000000000001E-2</v>
      </c>
      <c r="E691" s="22"/>
      <c r="F691" s="22"/>
    </row>
    <row r="692" spans="1:6" ht="14.5">
      <c r="A692" s="28">
        <v>44527</v>
      </c>
      <c r="B692" s="22">
        <v>47</v>
      </c>
      <c r="C692" s="22"/>
      <c r="D692" s="22">
        <f t="shared" si="22"/>
        <v>2.5000000000000001E-2</v>
      </c>
      <c r="E692" s="22"/>
      <c r="F692" s="22"/>
    </row>
    <row r="693" spans="1:6" ht="14.5">
      <c r="A693" s="28">
        <v>44528</v>
      </c>
      <c r="B693" s="22">
        <v>47</v>
      </c>
      <c r="C693" s="22"/>
      <c r="D693" s="22">
        <f t="shared" si="22"/>
        <v>2.5000000000000001E-2</v>
      </c>
      <c r="E693" s="22"/>
      <c r="F693" s="22"/>
    </row>
    <row r="694" spans="1:6" ht="14.5">
      <c r="A694" s="28">
        <v>44529</v>
      </c>
      <c r="B694" s="22">
        <v>48</v>
      </c>
      <c r="C694" s="22"/>
      <c r="D694" s="22">
        <f t="shared" si="22"/>
        <v>2.5000000000000001E-2</v>
      </c>
      <c r="E694" s="22"/>
      <c r="F694" s="22"/>
    </row>
    <row r="695" spans="1:6" ht="14.5">
      <c r="A695" s="28">
        <v>44530</v>
      </c>
      <c r="B695" s="22">
        <v>48</v>
      </c>
      <c r="C695" s="22"/>
      <c r="D695" s="22">
        <f t="shared" si="22"/>
        <v>2.5000000000000001E-2</v>
      </c>
      <c r="E695" s="22"/>
      <c r="F695" s="22"/>
    </row>
    <row r="696" spans="1:6" ht="14.5">
      <c r="A696" s="28">
        <v>44531</v>
      </c>
      <c r="B696" s="22">
        <v>48</v>
      </c>
      <c r="C696" s="22"/>
      <c r="D696" s="22">
        <f t="shared" si="22"/>
        <v>2.5000000000000001E-2</v>
      </c>
      <c r="E696" s="22"/>
      <c r="F696" s="22"/>
    </row>
    <row r="697" spans="1:6" ht="14.5">
      <c r="A697" s="28">
        <v>44532</v>
      </c>
      <c r="B697" s="22">
        <v>48</v>
      </c>
      <c r="C697" s="22"/>
      <c r="D697" s="22">
        <f t="shared" si="22"/>
        <v>2.5000000000000001E-2</v>
      </c>
      <c r="E697" s="22"/>
      <c r="F697" s="22"/>
    </row>
    <row r="698" spans="1:6" ht="14.5">
      <c r="A698" s="28">
        <v>44533</v>
      </c>
      <c r="B698" s="22">
        <v>48</v>
      </c>
      <c r="C698" s="22"/>
      <c r="D698" s="22">
        <f t="shared" si="22"/>
        <v>2.5000000000000001E-2</v>
      </c>
      <c r="E698" s="22"/>
      <c r="F698" s="22"/>
    </row>
    <row r="699" spans="1:6" ht="14.5">
      <c r="A699" s="28">
        <v>44534</v>
      </c>
      <c r="B699" s="22">
        <v>48</v>
      </c>
      <c r="C699" s="22"/>
      <c r="D699" s="22">
        <f t="shared" si="22"/>
        <v>2.5000000000000001E-2</v>
      </c>
      <c r="E699" s="22"/>
      <c r="F699" s="22"/>
    </row>
    <row r="700" spans="1:6" ht="14.5">
      <c r="A700" s="28">
        <v>44535</v>
      </c>
      <c r="B700" s="22">
        <v>48</v>
      </c>
      <c r="C700" s="22"/>
      <c r="D700" s="22">
        <f t="shared" si="22"/>
        <v>2.5000000000000001E-2</v>
      </c>
      <c r="E700" s="22"/>
      <c r="F700" s="22"/>
    </row>
    <row r="701" spans="1:6" ht="14.5">
      <c r="A701" s="28">
        <v>44536</v>
      </c>
      <c r="B701" s="22">
        <v>49</v>
      </c>
      <c r="C701" s="22"/>
      <c r="D701" s="22">
        <f t="shared" si="22"/>
        <v>2.5000000000000001E-2</v>
      </c>
      <c r="E701" s="22"/>
      <c r="F701" s="22"/>
    </row>
    <row r="702" spans="1:6" ht="14.5">
      <c r="A702" s="28">
        <v>44537</v>
      </c>
      <c r="B702" s="22">
        <v>49</v>
      </c>
      <c r="C702" s="22"/>
      <c r="D702" s="22">
        <f t="shared" si="22"/>
        <v>2.5000000000000001E-2</v>
      </c>
      <c r="E702" s="22"/>
      <c r="F702" s="22"/>
    </row>
    <row r="703" spans="1:6" ht="14.5">
      <c r="A703" s="28">
        <v>44538</v>
      </c>
      <c r="B703" s="22">
        <v>49</v>
      </c>
      <c r="C703" s="22"/>
      <c r="D703" s="22">
        <f t="shared" si="22"/>
        <v>2.5000000000000001E-2</v>
      </c>
      <c r="E703" s="22"/>
      <c r="F703" s="22"/>
    </row>
    <row r="704" spans="1:6" ht="14.5">
      <c r="A704" s="28">
        <v>44539</v>
      </c>
      <c r="B704" s="22">
        <v>49</v>
      </c>
      <c r="C704" s="22"/>
      <c r="D704" s="22">
        <f t="shared" si="22"/>
        <v>2.5000000000000001E-2</v>
      </c>
      <c r="E704" s="22"/>
      <c r="F704" s="22"/>
    </row>
    <row r="705" spans="1:6" ht="14.5">
      <c r="A705" s="28">
        <v>44540</v>
      </c>
      <c r="B705" s="22">
        <v>49</v>
      </c>
      <c r="C705" s="22"/>
      <c r="D705" s="22">
        <f t="shared" si="22"/>
        <v>2.5000000000000001E-2</v>
      </c>
      <c r="E705" s="22"/>
      <c r="F705" s="22"/>
    </row>
    <row r="706" spans="1:6" ht="14.5">
      <c r="A706" s="28">
        <v>44541</v>
      </c>
      <c r="B706" s="22">
        <v>49</v>
      </c>
      <c r="C706" s="22"/>
      <c r="D706" s="22">
        <f t="shared" si="22"/>
        <v>2.5000000000000001E-2</v>
      </c>
      <c r="E706" s="22"/>
      <c r="F706" s="22"/>
    </row>
    <row r="707" spans="1:6" ht="14.5">
      <c r="A707" s="28">
        <v>44542</v>
      </c>
      <c r="B707" s="22">
        <v>49</v>
      </c>
      <c r="C707" s="22"/>
      <c r="D707" s="22">
        <f t="shared" si="22"/>
        <v>2.5000000000000001E-2</v>
      </c>
      <c r="E707" s="22"/>
      <c r="F707" s="22"/>
    </row>
    <row r="708" spans="1:6" ht="14.5">
      <c r="A708" s="28">
        <v>44543</v>
      </c>
      <c r="B708" s="22">
        <v>50</v>
      </c>
      <c r="C708" s="22"/>
      <c r="D708" s="22">
        <f t="shared" si="22"/>
        <v>2.5000000000000001E-2</v>
      </c>
      <c r="E708" s="22"/>
      <c r="F708" s="22"/>
    </row>
    <row r="709" spans="1:6" ht="14.5">
      <c r="A709" s="28">
        <v>44544</v>
      </c>
      <c r="B709" s="22">
        <v>50</v>
      </c>
      <c r="C709" s="22"/>
      <c r="D709" s="22">
        <f t="shared" si="22"/>
        <v>2.5000000000000001E-2</v>
      </c>
      <c r="E709" s="22"/>
      <c r="F709" s="22"/>
    </row>
    <row r="710" spans="1:6" ht="14.5">
      <c r="A710" s="28">
        <v>44545</v>
      </c>
      <c r="B710" s="22">
        <v>50</v>
      </c>
      <c r="C710" s="22"/>
      <c r="D710" s="22">
        <f t="shared" si="22"/>
        <v>2.5000000000000001E-2</v>
      </c>
      <c r="E710" s="22"/>
      <c r="F710" s="22"/>
    </row>
    <row r="711" spans="1:6" ht="14.5">
      <c r="A711" s="28">
        <v>44546</v>
      </c>
      <c r="B711" s="22">
        <v>50</v>
      </c>
      <c r="C711" s="22"/>
      <c r="D711" s="22">
        <f t="shared" si="22"/>
        <v>2.5000000000000001E-2</v>
      </c>
      <c r="E711" s="22"/>
      <c r="F711" s="22"/>
    </row>
    <row r="712" spans="1:6" ht="14.5">
      <c r="A712" s="28">
        <v>44547</v>
      </c>
      <c r="B712" s="22">
        <v>50</v>
      </c>
      <c r="C712" s="22"/>
      <c r="D712" s="22">
        <f t="shared" si="22"/>
        <v>2.5000000000000001E-2</v>
      </c>
      <c r="E712" s="22"/>
      <c r="F712" s="22"/>
    </row>
    <row r="713" spans="1:6" ht="14.5">
      <c r="A713" s="28">
        <v>44548</v>
      </c>
      <c r="B713" s="22">
        <v>50</v>
      </c>
      <c r="C713" s="22"/>
      <c r="D713" s="22">
        <f t="shared" si="22"/>
        <v>2.5000000000000001E-2</v>
      </c>
      <c r="E713" s="22"/>
      <c r="F713" s="22"/>
    </row>
    <row r="714" spans="1:6" ht="14.5">
      <c r="A714" s="28">
        <v>44549</v>
      </c>
      <c r="B714" s="22">
        <v>50</v>
      </c>
      <c r="C714" s="22"/>
      <c r="D714" s="22">
        <f t="shared" si="22"/>
        <v>2.5000000000000001E-2</v>
      </c>
      <c r="E714" s="22"/>
      <c r="F714" s="22"/>
    </row>
    <row r="715" spans="1:6" ht="14.5">
      <c r="A715" s="28">
        <v>44550</v>
      </c>
      <c r="B715" s="22">
        <v>51</v>
      </c>
      <c r="C715" s="22"/>
      <c r="D715" s="22">
        <f t="shared" si="22"/>
        <v>2.5000000000000001E-2</v>
      </c>
      <c r="E715" s="22"/>
      <c r="F715" s="22"/>
    </row>
    <row r="716" spans="1:6" ht="14.5">
      <c r="A716" s="28">
        <v>44551</v>
      </c>
      <c r="B716" s="22">
        <v>51</v>
      </c>
      <c r="C716" s="22">
        <f>(7/21)</f>
        <v>0.33333333333333331</v>
      </c>
      <c r="D716" s="22">
        <f>(1/21)</f>
        <v>4.7619047619047616E-2</v>
      </c>
      <c r="E716" s="22"/>
      <c r="F716" s="22"/>
    </row>
    <row r="717" spans="1:6" ht="14.5">
      <c r="A717" s="28">
        <v>44552</v>
      </c>
      <c r="B717" s="22">
        <v>51</v>
      </c>
      <c r="C717" s="22">
        <f t="shared" ref="C717:C736" si="23">(7/21)</f>
        <v>0.33333333333333331</v>
      </c>
      <c r="D717" s="22">
        <f t="shared" ref="D717:D736" si="24">(1/21)</f>
        <v>4.7619047619047616E-2</v>
      </c>
      <c r="E717" s="22"/>
      <c r="F717" s="22"/>
    </row>
    <row r="718" spans="1:6" ht="14.5">
      <c r="A718" s="28">
        <v>44553</v>
      </c>
      <c r="B718" s="22">
        <v>51</v>
      </c>
      <c r="C718" s="22">
        <f t="shared" si="23"/>
        <v>0.33333333333333331</v>
      </c>
      <c r="D718" s="22">
        <f t="shared" si="24"/>
        <v>4.7619047619047616E-2</v>
      </c>
      <c r="E718" s="22"/>
      <c r="F718" s="22"/>
    </row>
    <row r="719" spans="1:6" ht="14.5">
      <c r="A719" s="28">
        <v>44554</v>
      </c>
      <c r="B719" s="22">
        <v>51</v>
      </c>
      <c r="C719" s="22">
        <f t="shared" si="23"/>
        <v>0.33333333333333331</v>
      </c>
      <c r="D719" s="22">
        <f t="shared" si="24"/>
        <v>4.7619047619047616E-2</v>
      </c>
      <c r="E719" s="22"/>
      <c r="F719" s="22"/>
    </row>
    <row r="720" spans="1:6" ht="14.5">
      <c r="A720" s="28">
        <v>44555</v>
      </c>
      <c r="B720" s="22">
        <v>51</v>
      </c>
      <c r="C720" s="22">
        <f t="shared" si="23"/>
        <v>0.33333333333333331</v>
      </c>
      <c r="D720" s="22">
        <f t="shared" si="24"/>
        <v>4.7619047619047616E-2</v>
      </c>
      <c r="E720" s="22"/>
      <c r="F720" s="22"/>
    </row>
    <row r="721" spans="1:6" ht="14.5">
      <c r="A721" s="28">
        <v>44556</v>
      </c>
      <c r="B721" s="22">
        <v>51</v>
      </c>
      <c r="C721" s="22">
        <f t="shared" si="23"/>
        <v>0.33333333333333331</v>
      </c>
      <c r="D721" s="22">
        <f t="shared" si="24"/>
        <v>4.7619047619047616E-2</v>
      </c>
      <c r="E721" s="22"/>
      <c r="F721" s="22"/>
    </row>
    <row r="722" spans="1:6" ht="14.5">
      <c r="A722" s="28">
        <v>44557</v>
      </c>
      <c r="B722" s="22">
        <v>52</v>
      </c>
      <c r="C722" s="22">
        <f t="shared" si="23"/>
        <v>0.33333333333333331</v>
      </c>
      <c r="D722" s="22">
        <f t="shared" si="24"/>
        <v>4.7619047619047616E-2</v>
      </c>
      <c r="E722" s="22"/>
      <c r="F722" s="22"/>
    </row>
    <row r="723" spans="1:6" ht="14.5">
      <c r="A723" s="28">
        <v>44558</v>
      </c>
      <c r="B723" s="22">
        <v>52</v>
      </c>
      <c r="C723" s="22">
        <f t="shared" si="23"/>
        <v>0.33333333333333331</v>
      </c>
      <c r="D723" s="22">
        <f t="shared" si="24"/>
        <v>4.7619047619047616E-2</v>
      </c>
      <c r="E723" s="22"/>
      <c r="F723" s="22"/>
    </row>
    <row r="724" spans="1:6" ht="14.5">
      <c r="A724" s="28">
        <v>44559</v>
      </c>
      <c r="B724" s="22">
        <v>52</v>
      </c>
      <c r="C724" s="22">
        <f t="shared" si="23"/>
        <v>0.33333333333333331</v>
      </c>
      <c r="D724" s="22">
        <f t="shared" si="24"/>
        <v>4.7619047619047616E-2</v>
      </c>
      <c r="E724" s="22"/>
      <c r="F724" s="22"/>
    </row>
    <row r="725" spans="1:6" ht="14.5">
      <c r="A725" s="28">
        <v>44560</v>
      </c>
      <c r="B725" s="22">
        <v>52</v>
      </c>
      <c r="C725" s="22">
        <f t="shared" si="23"/>
        <v>0.33333333333333331</v>
      </c>
      <c r="D725" s="22">
        <f t="shared" si="24"/>
        <v>4.7619047619047616E-2</v>
      </c>
      <c r="E725" s="22"/>
      <c r="F725" s="22"/>
    </row>
    <row r="726" spans="1:6" ht="14.5">
      <c r="A726" s="28">
        <v>44561</v>
      </c>
      <c r="B726" s="22">
        <v>52</v>
      </c>
      <c r="C726" s="22">
        <f t="shared" si="23"/>
        <v>0.33333333333333331</v>
      </c>
      <c r="D726" s="22">
        <f t="shared" si="24"/>
        <v>4.7619047619047616E-2</v>
      </c>
      <c r="E726" s="22"/>
      <c r="F726" s="22"/>
    </row>
    <row r="727" spans="1:6" ht="14.5">
      <c r="A727" s="28">
        <v>44562</v>
      </c>
      <c r="B727" s="22">
        <v>52</v>
      </c>
      <c r="C727" s="22">
        <f t="shared" si="23"/>
        <v>0.33333333333333331</v>
      </c>
      <c r="D727" s="22">
        <f t="shared" si="24"/>
        <v>4.7619047619047616E-2</v>
      </c>
      <c r="E727" s="22"/>
      <c r="F727" s="22"/>
    </row>
    <row r="728" spans="1:6" ht="14.5">
      <c r="A728" s="28">
        <v>44563</v>
      </c>
      <c r="B728" s="22">
        <v>52</v>
      </c>
      <c r="C728" s="22">
        <f t="shared" si="23"/>
        <v>0.33333333333333331</v>
      </c>
      <c r="D728" s="22">
        <f t="shared" si="24"/>
        <v>4.7619047619047616E-2</v>
      </c>
      <c r="E728" s="22"/>
      <c r="F728" s="22"/>
    </row>
    <row r="729" spans="1:6" ht="14.5">
      <c r="A729" s="28">
        <v>44564</v>
      </c>
      <c r="B729" s="22">
        <v>1</v>
      </c>
      <c r="C729" s="22">
        <f t="shared" si="23"/>
        <v>0.33333333333333331</v>
      </c>
      <c r="D729" s="22">
        <f t="shared" si="24"/>
        <v>4.7619047619047616E-2</v>
      </c>
      <c r="E729" s="22"/>
      <c r="F729" s="22"/>
    </row>
    <row r="730" spans="1:6" ht="14.5">
      <c r="A730" s="28">
        <v>44565</v>
      </c>
      <c r="B730" s="22">
        <v>1</v>
      </c>
      <c r="C730" s="22">
        <f t="shared" si="23"/>
        <v>0.33333333333333331</v>
      </c>
      <c r="D730" s="22">
        <f t="shared" si="24"/>
        <v>4.7619047619047616E-2</v>
      </c>
      <c r="E730" s="22"/>
      <c r="F730" s="22"/>
    </row>
    <row r="731" spans="1:6" ht="14.5">
      <c r="A731" s="28">
        <v>44566</v>
      </c>
      <c r="B731" s="22">
        <v>1</v>
      </c>
      <c r="C731" s="22">
        <f t="shared" si="23"/>
        <v>0.33333333333333331</v>
      </c>
      <c r="D731" s="22">
        <f t="shared" si="24"/>
        <v>4.7619047619047616E-2</v>
      </c>
      <c r="E731" s="22"/>
      <c r="F731" s="22"/>
    </row>
    <row r="732" spans="1:6" ht="14.5">
      <c r="A732" s="28">
        <v>44567</v>
      </c>
      <c r="B732" s="22">
        <v>1</v>
      </c>
      <c r="C732" s="22">
        <f t="shared" si="23"/>
        <v>0.33333333333333331</v>
      </c>
      <c r="D732" s="22">
        <f t="shared" si="24"/>
        <v>4.7619047619047616E-2</v>
      </c>
      <c r="E732" s="22"/>
      <c r="F732" s="22"/>
    </row>
    <row r="733" spans="1:6" ht="14.5">
      <c r="A733" s="28">
        <v>44568</v>
      </c>
      <c r="B733" s="22">
        <v>1</v>
      </c>
      <c r="C733" s="22">
        <f t="shared" si="23"/>
        <v>0.33333333333333331</v>
      </c>
      <c r="D733" s="22">
        <f t="shared" si="24"/>
        <v>4.7619047619047616E-2</v>
      </c>
      <c r="E733" s="22"/>
      <c r="F733" s="22"/>
    </row>
    <row r="734" spans="1:6" ht="14.5">
      <c r="A734" s="28">
        <v>44569</v>
      </c>
      <c r="B734" s="22">
        <v>1</v>
      </c>
      <c r="C734" s="22">
        <f t="shared" si="23"/>
        <v>0.33333333333333331</v>
      </c>
      <c r="D734" s="22">
        <f t="shared" si="24"/>
        <v>4.7619047619047616E-2</v>
      </c>
      <c r="E734" s="22"/>
      <c r="F734" s="22"/>
    </row>
    <row r="735" spans="1:6" ht="14.5">
      <c r="A735" s="28">
        <v>44570</v>
      </c>
      <c r="B735" s="22">
        <v>1</v>
      </c>
      <c r="C735" s="22">
        <f t="shared" si="23"/>
        <v>0.33333333333333331</v>
      </c>
      <c r="D735" s="22">
        <f t="shared" si="24"/>
        <v>4.7619047619047616E-2</v>
      </c>
      <c r="E735" s="22"/>
      <c r="F735" s="22"/>
    </row>
    <row r="736" spans="1:6" ht="14.5">
      <c r="A736" s="28">
        <v>44571</v>
      </c>
      <c r="B736" s="22">
        <v>2</v>
      </c>
      <c r="C736" s="22">
        <f t="shared" si="23"/>
        <v>0.33333333333333331</v>
      </c>
      <c r="D736" s="22">
        <f t="shared" si="24"/>
        <v>4.7619047619047616E-2</v>
      </c>
      <c r="E736" s="22"/>
      <c r="F736" s="22"/>
    </row>
    <row r="737" spans="1:6" ht="14.5">
      <c r="A737" s="28">
        <v>44572</v>
      </c>
      <c r="B737" s="22">
        <v>2</v>
      </c>
      <c r="C737" s="22">
        <f>195/10</f>
        <v>19.5</v>
      </c>
      <c r="D737" s="22">
        <f>1/10</f>
        <v>0.1</v>
      </c>
      <c r="E737" s="22"/>
      <c r="F737" s="22"/>
    </row>
    <row r="738" spans="1:6" ht="14.5">
      <c r="A738" s="28">
        <v>44573</v>
      </c>
      <c r="B738" s="22">
        <v>2</v>
      </c>
      <c r="C738" s="22">
        <f t="shared" ref="C738:C746" si="25">195/10</f>
        <v>19.5</v>
      </c>
      <c r="D738" s="22">
        <f t="shared" ref="D738:D746" si="26">1/10</f>
        <v>0.1</v>
      </c>
      <c r="E738" s="22"/>
      <c r="F738" s="22"/>
    </row>
    <row r="739" spans="1:6" ht="14.5">
      <c r="A739" s="28">
        <v>44574</v>
      </c>
      <c r="B739" s="22">
        <v>2</v>
      </c>
      <c r="C739" s="22">
        <f t="shared" si="25"/>
        <v>19.5</v>
      </c>
      <c r="D739" s="22">
        <f t="shared" si="26"/>
        <v>0.1</v>
      </c>
      <c r="E739" s="22"/>
      <c r="F739" s="22"/>
    </row>
    <row r="740" spans="1:6" ht="14.5">
      <c r="A740" s="28">
        <v>44575</v>
      </c>
      <c r="B740" s="22">
        <v>2</v>
      </c>
      <c r="C740" s="22">
        <f t="shared" si="25"/>
        <v>19.5</v>
      </c>
      <c r="D740" s="22">
        <f t="shared" si="26"/>
        <v>0.1</v>
      </c>
      <c r="E740" s="22"/>
      <c r="F740" s="22"/>
    </row>
    <row r="741" spans="1:6" ht="14.5">
      <c r="A741" s="28">
        <v>44576</v>
      </c>
      <c r="B741" s="22">
        <v>2</v>
      </c>
      <c r="C741" s="22">
        <f t="shared" si="25"/>
        <v>19.5</v>
      </c>
      <c r="D741" s="22">
        <f t="shared" si="26"/>
        <v>0.1</v>
      </c>
      <c r="E741" s="22"/>
      <c r="F741" s="22"/>
    </row>
    <row r="742" spans="1:6" ht="14.5">
      <c r="A742" s="28">
        <v>44577</v>
      </c>
      <c r="B742" s="22">
        <v>2</v>
      </c>
      <c r="C742" s="22">
        <f t="shared" si="25"/>
        <v>19.5</v>
      </c>
      <c r="D742" s="22">
        <f t="shared" si="26"/>
        <v>0.1</v>
      </c>
      <c r="E742" s="22"/>
      <c r="F742" s="22"/>
    </row>
    <row r="743" spans="1:6" ht="14.5">
      <c r="A743" s="28">
        <v>44578</v>
      </c>
      <c r="B743" s="22">
        <v>3</v>
      </c>
      <c r="C743" s="22">
        <f t="shared" si="25"/>
        <v>19.5</v>
      </c>
      <c r="D743" s="22">
        <f t="shared" si="26"/>
        <v>0.1</v>
      </c>
      <c r="E743" s="22"/>
      <c r="F743" s="22"/>
    </row>
    <row r="744" spans="1:6" ht="14.5">
      <c r="A744" s="28">
        <v>44579</v>
      </c>
      <c r="B744" s="22">
        <v>3</v>
      </c>
      <c r="C744" s="22">
        <f t="shared" si="25"/>
        <v>19.5</v>
      </c>
      <c r="D744" s="22">
        <f t="shared" si="26"/>
        <v>0.1</v>
      </c>
      <c r="E744" s="22"/>
      <c r="F744" s="22"/>
    </row>
    <row r="745" spans="1:6" ht="14.5">
      <c r="A745" s="28">
        <v>44580</v>
      </c>
      <c r="B745" s="22">
        <v>3</v>
      </c>
      <c r="C745" s="22">
        <f t="shared" si="25"/>
        <v>19.5</v>
      </c>
      <c r="D745" s="22">
        <f t="shared" si="26"/>
        <v>0.1</v>
      </c>
      <c r="E745" s="22"/>
      <c r="F745" s="22"/>
    </row>
    <row r="746" spans="1:6" ht="14.5">
      <c r="A746" s="28">
        <v>44581</v>
      </c>
      <c r="B746" s="22">
        <v>3</v>
      </c>
      <c r="C746" s="22">
        <f t="shared" si="25"/>
        <v>19.5</v>
      </c>
      <c r="D746" s="22">
        <f t="shared" si="26"/>
        <v>0.1</v>
      </c>
      <c r="E746" s="22"/>
      <c r="F746" s="22"/>
    </row>
    <row r="747" spans="1:6" ht="14.5">
      <c r="A747" s="28">
        <v>44582</v>
      </c>
      <c r="B747" s="22">
        <v>3</v>
      </c>
      <c r="C747" s="22">
        <f>(192/11)</f>
        <v>17.454545454545453</v>
      </c>
      <c r="D747" s="22">
        <f>(13/11)</f>
        <v>1.1818181818181819</v>
      </c>
      <c r="E747" s="22"/>
      <c r="F747" s="22"/>
    </row>
    <row r="748" spans="1:6" ht="14.5">
      <c r="A748" s="28">
        <v>44583</v>
      </c>
      <c r="B748" s="22">
        <v>3</v>
      </c>
      <c r="C748" s="22">
        <f t="shared" ref="C748:C757" si="27">(192/11)</f>
        <v>17.454545454545453</v>
      </c>
      <c r="D748" s="22">
        <f t="shared" ref="D748:D757" si="28">(13/11)</f>
        <v>1.1818181818181819</v>
      </c>
      <c r="E748" s="22"/>
      <c r="F748" s="22"/>
    </row>
    <row r="749" spans="1:6" ht="14.5">
      <c r="A749" s="28">
        <v>44584</v>
      </c>
      <c r="B749" s="22">
        <v>3</v>
      </c>
      <c r="C749" s="22">
        <f t="shared" si="27"/>
        <v>17.454545454545453</v>
      </c>
      <c r="D749" s="22">
        <f t="shared" si="28"/>
        <v>1.1818181818181819</v>
      </c>
      <c r="E749" s="22"/>
      <c r="F749" s="22"/>
    </row>
    <row r="750" spans="1:6" ht="14.5">
      <c r="A750" s="28">
        <v>44585</v>
      </c>
      <c r="B750" s="22">
        <v>4</v>
      </c>
      <c r="C750" s="22">
        <f t="shared" si="27"/>
        <v>17.454545454545453</v>
      </c>
      <c r="D750" s="22">
        <f t="shared" si="28"/>
        <v>1.1818181818181819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si="27"/>
        <v>17.454545454545453</v>
      </c>
      <c r="D751" s="22">
        <f t="shared" si="28"/>
        <v>1.1818181818181819</v>
      </c>
      <c r="E751" s="22"/>
      <c r="F751" s="22"/>
    </row>
    <row r="752" spans="1:6" ht="14.5">
      <c r="A752" s="28">
        <v>44587</v>
      </c>
      <c r="B752" s="22">
        <v>4</v>
      </c>
      <c r="C752" s="22">
        <f t="shared" si="27"/>
        <v>17.454545454545453</v>
      </c>
      <c r="D752" s="22">
        <f t="shared" si="28"/>
        <v>1.1818181818181819</v>
      </c>
      <c r="E752" s="22"/>
      <c r="F752" s="22"/>
    </row>
    <row r="753" spans="1:6" ht="14.5">
      <c r="A753" s="28">
        <v>44588</v>
      </c>
      <c r="B753" s="22">
        <v>4</v>
      </c>
      <c r="C753" s="22">
        <f t="shared" si="27"/>
        <v>17.454545454545453</v>
      </c>
      <c r="D753" s="22">
        <f t="shared" si="28"/>
        <v>1.1818181818181819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si="27"/>
        <v>17.454545454545453</v>
      </c>
      <c r="D754" s="22">
        <f t="shared" si="28"/>
        <v>1.1818181818181819</v>
      </c>
      <c r="E754" s="22"/>
      <c r="F754" s="22"/>
    </row>
    <row r="755" spans="1:6" ht="14.5">
      <c r="A755" s="28">
        <v>44590</v>
      </c>
      <c r="B755" s="22">
        <v>4</v>
      </c>
      <c r="C755" s="22">
        <f t="shared" si="27"/>
        <v>17.454545454545453</v>
      </c>
      <c r="D755" s="22">
        <f t="shared" si="28"/>
        <v>1.1818181818181819</v>
      </c>
      <c r="E755" s="22"/>
      <c r="F755" s="22"/>
    </row>
    <row r="756" spans="1:6" ht="14.5">
      <c r="A756" s="28">
        <v>44591</v>
      </c>
      <c r="B756" s="22">
        <v>4</v>
      </c>
      <c r="C756" s="22">
        <f t="shared" si="27"/>
        <v>17.454545454545453</v>
      </c>
      <c r="D756" s="22">
        <f t="shared" si="28"/>
        <v>1.1818181818181819</v>
      </c>
      <c r="E756" s="22"/>
      <c r="F756" s="22"/>
    </row>
    <row r="757" spans="1:6" ht="14.5">
      <c r="A757" s="28">
        <v>44592</v>
      </c>
      <c r="B757" s="22">
        <v>5</v>
      </c>
      <c r="C757" s="22">
        <f t="shared" si="27"/>
        <v>17.454545454545453</v>
      </c>
      <c r="D757" s="22">
        <f t="shared" si="28"/>
        <v>1.1818181818181819</v>
      </c>
      <c r="E757" s="22"/>
      <c r="F757" s="22"/>
    </row>
    <row r="758" spans="1:6" ht="14.5">
      <c r="A758" s="49">
        <v>44593</v>
      </c>
      <c r="B758" s="52">
        <v>5</v>
      </c>
      <c r="C758" s="52">
        <f>(42/9)</f>
        <v>4.666666666666667</v>
      </c>
      <c r="D758" s="52">
        <f>(6/9)</f>
        <v>0.66666666666666663</v>
      </c>
      <c r="E758" s="52"/>
      <c r="F758" s="52"/>
    </row>
    <row r="759" spans="1:6" ht="14.5">
      <c r="A759" s="49">
        <v>44594</v>
      </c>
      <c r="B759" s="52">
        <v>5</v>
      </c>
      <c r="C759" s="52">
        <f t="shared" ref="C759:C766" si="29">(42/9)</f>
        <v>4.666666666666667</v>
      </c>
      <c r="D759" s="52">
        <f t="shared" ref="D759:D766" si="30">(6/9)</f>
        <v>0.66666666666666663</v>
      </c>
      <c r="E759" s="52"/>
      <c r="F759" s="52"/>
    </row>
    <row r="760" spans="1:6" ht="14.5">
      <c r="A760" s="49">
        <v>44595</v>
      </c>
      <c r="B760" s="52">
        <v>5</v>
      </c>
      <c r="C760" s="52">
        <f t="shared" si="29"/>
        <v>4.666666666666667</v>
      </c>
      <c r="D760" s="52">
        <f t="shared" si="30"/>
        <v>0.66666666666666663</v>
      </c>
      <c r="E760" s="52"/>
      <c r="F760" s="52"/>
    </row>
    <row r="761" spans="1:6" ht="14.5">
      <c r="A761" s="49">
        <v>44596</v>
      </c>
      <c r="B761" s="52">
        <v>5</v>
      </c>
      <c r="C761" s="52">
        <f t="shared" si="29"/>
        <v>4.666666666666667</v>
      </c>
      <c r="D761" s="52">
        <f t="shared" si="30"/>
        <v>0.66666666666666663</v>
      </c>
      <c r="E761" s="52"/>
      <c r="F761" s="52"/>
    </row>
    <row r="762" spans="1:6" ht="14.5">
      <c r="A762" s="49">
        <v>44597</v>
      </c>
      <c r="B762" s="52">
        <v>5</v>
      </c>
      <c r="C762" s="52">
        <f t="shared" si="29"/>
        <v>4.666666666666667</v>
      </c>
      <c r="D762" s="52">
        <f t="shared" si="30"/>
        <v>0.66666666666666663</v>
      </c>
      <c r="E762" s="52"/>
      <c r="F762" s="52"/>
    </row>
    <row r="763" spans="1:6" ht="14.5">
      <c r="A763" s="49">
        <v>44598</v>
      </c>
      <c r="B763" s="52">
        <v>5</v>
      </c>
      <c r="C763" s="52">
        <f t="shared" si="29"/>
        <v>4.666666666666667</v>
      </c>
      <c r="D763" s="52">
        <f t="shared" si="30"/>
        <v>0.66666666666666663</v>
      </c>
      <c r="E763" s="52"/>
      <c r="F763" s="52"/>
    </row>
    <row r="764" spans="1:6" ht="14.5">
      <c r="A764" s="49">
        <v>44599</v>
      </c>
      <c r="B764" s="52">
        <v>6</v>
      </c>
      <c r="C764" s="52">
        <f t="shared" si="29"/>
        <v>4.666666666666667</v>
      </c>
      <c r="D764" s="52">
        <f t="shared" si="30"/>
        <v>0.66666666666666663</v>
      </c>
      <c r="E764" s="52"/>
      <c r="F764" s="52"/>
    </row>
    <row r="765" spans="1:6" ht="14.5">
      <c r="A765" s="49">
        <v>44600</v>
      </c>
      <c r="B765" s="52">
        <v>6</v>
      </c>
      <c r="C765" s="52">
        <f t="shared" si="29"/>
        <v>4.666666666666667</v>
      </c>
      <c r="D765" s="52">
        <f t="shared" si="30"/>
        <v>0.66666666666666663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si="29"/>
        <v>4.666666666666667</v>
      </c>
      <c r="D766" s="52">
        <f t="shared" si="30"/>
        <v>0.66666666666666663</v>
      </c>
      <c r="E766" s="52"/>
      <c r="F766" s="52"/>
    </row>
    <row r="767" spans="1:6" ht="14.5">
      <c r="A767" s="49">
        <v>44602</v>
      </c>
      <c r="B767" s="52">
        <v>6</v>
      </c>
      <c r="C767" s="52">
        <f>(51/11)</f>
        <v>4.6363636363636367</v>
      </c>
      <c r="D767" s="52">
        <f>(16/11)</f>
        <v>1.4545454545454546</v>
      </c>
      <c r="E767" s="52"/>
      <c r="F767" s="52"/>
    </row>
    <row r="768" spans="1:6" ht="14.5">
      <c r="A768" s="49">
        <v>44603</v>
      </c>
      <c r="B768" s="52">
        <v>6</v>
      </c>
      <c r="C768" s="52">
        <f t="shared" ref="C768:C777" si="31">(51/11)</f>
        <v>4.6363636363636367</v>
      </c>
      <c r="D768" s="52">
        <f t="shared" ref="D768:D777" si="32">(16/11)</f>
        <v>1.4545454545454546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31"/>
        <v>4.6363636363636367</v>
      </c>
      <c r="D769" s="52">
        <f t="shared" si="32"/>
        <v>1.4545454545454546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31"/>
        <v>4.6363636363636367</v>
      </c>
      <c r="D770" s="52">
        <f t="shared" si="32"/>
        <v>1.4545454545454546</v>
      </c>
      <c r="E770" s="52"/>
      <c r="F770" s="52"/>
    </row>
    <row r="771" spans="1:6" ht="14.5">
      <c r="A771" s="49">
        <v>44606</v>
      </c>
      <c r="B771" s="52">
        <v>7</v>
      </c>
      <c r="C771" s="52">
        <f t="shared" si="31"/>
        <v>4.6363636363636367</v>
      </c>
      <c r="D771" s="52">
        <f t="shared" si="32"/>
        <v>1.4545454545454546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si="31"/>
        <v>4.6363636363636367</v>
      </c>
      <c r="D772" s="52">
        <f t="shared" si="32"/>
        <v>1.4545454545454546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31"/>
        <v>4.6363636363636367</v>
      </c>
      <c r="D773" s="52">
        <f t="shared" si="32"/>
        <v>1.4545454545454546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31"/>
        <v>4.6363636363636367</v>
      </c>
      <c r="D774" s="52">
        <f t="shared" si="32"/>
        <v>1.4545454545454546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31"/>
        <v>4.6363636363636367</v>
      </c>
      <c r="D775" s="52">
        <f t="shared" si="32"/>
        <v>1.4545454545454546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31"/>
        <v>4.6363636363636367</v>
      </c>
      <c r="D776" s="52">
        <f t="shared" si="32"/>
        <v>1.4545454545454546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31"/>
        <v>4.6363636363636367</v>
      </c>
      <c r="D777" s="52">
        <f t="shared" si="32"/>
        <v>1.4545454545454546</v>
      </c>
      <c r="E777" s="52"/>
      <c r="F777" s="52"/>
    </row>
    <row r="778" spans="1:6" ht="14.5">
      <c r="A778" s="49">
        <v>44613</v>
      </c>
      <c r="B778" s="52">
        <v>8</v>
      </c>
      <c r="C778" s="52">
        <f>(76/8)</f>
        <v>9.5</v>
      </c>
      <c r="D778" s="52">
        <f>(11/8)</f>
        <v>1.375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ref="C779:C785" si="33">(76/8)</f>
        <v>9.5</v>
      </c>
      <c r="D779" s="52">
        <f t="shared" ref="D779:D785" si="34">(11/8)</f>
        <v>1.375</v>
      </c>
      <c r="E779" s="52"/>
      <c r="F779" s="52"/>
    </row>
    <row r="780" spans="1:6" ht="14.5">
      <c r="A780" s="49">
        <v>44615</v>
      </c>
      <c r="B780" s="52">
        <v>8</v>
      </c>
      <c r="C780" s="52">
        <f t="shared" si="33"/>
        <v>9.5</v>
      </c>
      <c r="D780" s="52">
        <f t="shared" si="34"/>
        <v>1.375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si="33"/>
        <v>9.5</v>
      </c>
      <c r="D781" s="52">
        <f t="shared" si="34"/>
        <v>1.375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33"/>
        <v>9.5</v>
      </c>
      <c r="D782" s="52">
        <f t="shared" si="34"/>
        <v>1.375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33"/>
        <v>9.5</v>
      </c>
      <c r="D783" s="52">
        <f t="shared" si="34"/>
        <v>1.375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33"/>
        <v>9.5</v>
      </c>
      <c r="D784" s="52">
        <f t="shared" si="34"/>
        <v>1.375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33"/>
        <v>9.5</v>
      </c>
      <c r="D785" s="52">
        <f t="shared" si="34"/>
        <v>1.375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xr:uid="{00000000-0004-0000-19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55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34</v>
      </c>
      <c r="B2" s="115"/>
      <c r="C2" s="115"/>
      <c r="D2" s="115"/>
      <c r="E2" s="115"/>
      <c r="F2" s="116"/>
      <c r="G2" s="72" t="s">
        <v>319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55" t="s">
        <v>320</v>
      </c>
    </row>
    <row r="4" spans="1:7" ht="15" customHeight="1">
      <c r="A4" s="118"/>
      <c r="B4" s="115"/>
      <c r="C4" s="115"/>
      <c r="D4" s="115"/>
      <c r="E4" s="115"/>
      <c r="F4" s="116"/>
      <c r="G4" s="55" t="s">
        <v>321</v>
      </c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2"/>
      <c r="D8" s="22"/>
      <c r="E8" s="22"/>
      <c r="F8" s="22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9"/>
    </row>
    <row r="24" spans="1:6" ht="15" customHeight="1">
      <c r="A24" s="25">
        <v>43859</v>
      </c>
      <c r="B24" s="26">
        <v>3</v>
      </c>
      <c r="C24" s="22"/>
      <c r="D24" s="22"/>
      <c r="E24" s="22"/>
      <c r="F24" s="30"/>
    </row>
    <row r="25" spans="1:6" ht="15" customHeight="1">
      <c r="A25" s="25">
        <v>43860</v>
      </c>
      <c r="B25" s="26">
        <v>3</v>
      </c>
      <c r="C25" s="22"/>
      <c r="D25" s="22"/>
      <c r="E25" s="22"/>
      <c r="F25" s="22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30"/>
    </row>
    <row r="30" spans="1:6" ht="15" customHeight="1">
      <c r="A30" s="25">
        <v>43865</v>
      </c>
      <c r="B30" s="26">
        <v>4</v>
      </c>
      <c r="C30" s="22"/>
      <c r="D30" s="22"/>
      <c r="E30" s="22"/>
      <c r="F30" s="29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2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31"/>
    </row>
    <row r="42" spans="1:6" ht="15" customHeight="1">
      <c r="A42" s="25">
        <v>43877</v>
      </c>
      <c r="B42" s="26">
        <v>5</v>
      </c>
      <c r="C42" s="22"/>
      <c r="D42" s="22"/>
      <c r="E42" s="22"/>
      <c r="F42" s="29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2"/>
    </row>
    <row r="45" spans="1:6" ht="15" customHeight="1">
      <c r="A45" s="25">
        <v>43880</v>
      </c>
      <c r="B45" s="26">
        <v>6</v>
      </c>
      <c r="C45" s="22"/>
      <c r="D45" s="22"/>
      <c r="E45" s="22"/>
      <c r="F45" s="29"/>
    </row>
    <row r="46" spans="1:6" ht="15" customHeight="1">
      <c r="A46" s="25">
        <v>43881</v>
      </c>
      <c r="B46" s="26">
        <v>6</v>
      </c>
      <c r="C46" s="22"/>
      <c r="D46" s="22"/>
      <c r="E46" s="22"/>
      <c r="F46" s="22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1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  <c r="G122" s="70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>
        <v>1</v>
      </c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>
        <v>3</v>
      </c>
      <c r="D194" s="22"/>
      <c r="E194" s="22"/>
      <c r="F194" s="22"/>
    </row>
    <row r="195" spans="1:6" ht="14.5">
      <c r="A195" s="25">
        <v>44030</v>
      </c>
      <c r="B195" s="26">
        <v>27</v>
      </c>
      <c r="C195" s="22">
        <v>1</v>
      </c>
      <c r="D195" s="22"/>
      <c r="E195" s="22"/>
      <c r="F195" s="22"/>
    </row>
    <row r="196" spans="1:6" ht="14.5">
      <c r="A196" s="25">
        <v>44031</v>
      </c>
      <c r="B196" s="26">
        <v>27</v>
      </c>
      <c r="C196" s="22">
        <v>1</v>
      </c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>
        <v>1</v>
      </c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>
        <v>1</v>
      </c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33"/>
      <c r="F205" s="22"/>
    </row>
    <row r="206" spans="1:6" ht="14.5">
      <c r="A206" s="25">
        <v>44041</v>
      </c>
      <c r="B206" s="26">
        <v>29</v>
      </c>
      <c r="C206" s="22"/>
      <c r="D206" s="22"/>
      <c r="E206" s="22"/>
      <c r="F206" s="22"/>
    </row>
    <row r="207" spans="1:6" ht="14.5">
      <c r="A207" s="25">
        <v>44042</v>
      </c>
      <c r="B207" s="26">
        <v>29</v>
      </c>
      <c r="C207" s="22">
        <v>1</v>
      </c>
      <c r="D207" s="22"/>
      <c r="E207" s="22"/>
      <c r="F207" s="22"/>
    </row>
    <row r="208" spans="1:6" ht="14.5">
      <c r="A208" s="25">
        <v>44043</v>
      </c>
      <c r="B208" s="26">
        <v>29</v>
      </c>
      <c r="C208" s="22">
        <v>1</v>
      </c>
      <c r="D208" s="22"/>
      <c r="E208" s="22"/>
      <c r="F208" s="22"/>
    </row>
    <row r="209" spans="1:6" ht="14.5">
      <c r="A209" s="25">
        <v>44044</v>
      </c>
      <c r="B209" s="26">
        <v>29</v>
      </c>
      <c r="C209" s="22">
        <v>1</v>
      </c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>
        <v>1</v>
      </c>
      <c r="D212" s="22"/>
      <c r="E212" s="33"/>
      <c r="F212" s="22"/>
    </row>
    <row r="213" spans="1:6" ht="14.5">
      <c r="A213" s="25">
        <v>44048</v>
      </c>
      <c r="B213" s="26">
        <v>30</v>
      </c>
      <c r="C213" s="22"/>
      <c r="D213" s="22"/>
      <c r="E213" s="22"/>
      <c r="F213" s="22"/>
    </row>
    <row r="214" spans="1:6" ht="14.5">
      <c r="A214" s="25">
        <v>44049</v>
      </c>
      <c r="B214" s="26">
        <v>30</v>
      </c>
      <c r="C214" s="22">
        <v>1</v>
      </c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33"/>
      <c r="F216" s="22"/>
    </row>
    <row r="217" spans="1:6" ht="14.5">
      <c r="A217" s="25">
        <v>44052</v>
      </c>
      <c r="B217" s="26">
        <v>30</v>
      </c>
      <c r="C217" s="22"/>
      <c r="D217" s="22"/>
      <c r="E217" s="33"/>
      <c r="F217" s="22"/>
    </row>
    <row r="218" spans="1:6" ht="14.5">
      <c r="A218" s="25">
        <v>44053</v>
      </c>
      <c r="B218" s="26">
        <v>31</v>
      </c>
      <c r="C218" s="22"/>
      <c r="D218" s="22"/>
      <c r="E218" s="22"/>
      <c r="F218" s="22"/>
    </row>
    <row r="219" spans="1:6" ht="14.5">
      <c r="A219" s="25">
        <v>44054</v>
      </c>
      <c r="B219" s="26">
        <v>31</v>
      </c>
      <c r="C219" s="22">
        <v>1</v>
      </c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>
        <v>1</v>
      </c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  <c r="G231" s="70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</row>
    <row r="233" spans="1:7" ht="14.5">
      <c r="A233" s="25">
        <v>44068</v>
      </c>
      <c r="B233" s="26">
        <v>33</v>
      </c>
      <c r="C233" s="22">
        <v>1</v>
      </c>
      <c r="D233" s="22"/>
      <c r="E233" s="22"/>
      <c r="F233" s="22"/>
    </row>
    <row r="234" spans="1:7" ht="14.5">
      <c r="A234" s="25">
        <v>44069</v>
      </c>
      <c r="B234" s="26">
        <v>33</v>
      </c>
      <c r="C234" s="22">
        <v>1</v>
      </c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>
        <v>1</v>
      </c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>
        <v>1</v>
      </c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33"/>
      <c r="F269" s="22"/>
    </row>
    <row r="270" spans="1:6" ht="14.5">
      <c r="A270" s="25">
        <v>44105</v>
      </c>
      <c r="B270" s="26">
        <v>38</v>
      </c>
      <c r="C270" s="22"/>
      <c r="D270" s="22"/>
      <c r="E270" s="22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>
        <v>1</v>
      </c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>
        <v>2</v>
      </c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>
        <v>2</v>
      </c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33"/>
      <c r="F288" s="22"/>
    </row>
    <row r="289" spans="1:6" ht="14.5">
      <c r="A289" s="25">
        <v>44124</v>
      </c>
      <c r="B289" s="26">
        <v>41</v>
      </c>
      <c r="C289" s="22"/>
      <c r="D289" s="22"/>
      <c r="E289" s="22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>
        <v>1</v>
      </c>
      <c r="D299" s="22"/>
      <c r="E299" s="22"/>
      <c r="F299" s="22"/>
    </row>
    <row r="300" spans="1:6" ht="14.5">
      <c r="A300" s="25">
        <v>44135</v>
      </c>
      <c r="B300" s="26">
        <v>42</v>
      </c>
      <c r="C300" s="22">
        <v>1</v>
      </c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>
        <v>1</v>
      </c>
      <c r="D302" s="22"/>
      <c r="E302" s="33"/>
      <c r="F302" s="22"/>
    </row>
    <row r="303" spans="1:6" ht="14.5">
      <c r="A303" s="25">
        <v>44138</v>
      </c>
      <c r="B303" s="26">
        <v>43</v>
      </c>
      <c r="C303" s="22">
        <v>2</v>
      </c>
      <c r="D303" s="22"/>
      <c r="E303" s="22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>
        <v>2</v>
      </c>
      <c r="D306" s="22"/>
      <c r="E306" s="22"/>
      <c r="F306" s="22"/>
    </row>
    <row r="307" spans="1:6" ht="14.5">
      <c r="A307" s="25">
        <v>44142</v>
      </c>
      <c r="B307" s="26">
        <v>43</v>
      </c>
      <c r="C307" s="22">
        <v>1</v>
      </c>
      <c r="D307" s="22"/>
      <c r="E307" s="22"/>
      <c r="F307" s="22"/>
    </row>
    <row r="308" spans="1:6" ht="14.5">
      <c r="A308" s="25">
        <v>44143</v>
      </c>
      <c r="B308" s="26">
        <v>43</v>
      </c>
      <c r="C308" s="22">
        <v>1</v>
      </c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>
        <v>1</v>
      </c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>
        <v>1</v>
      </c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33"/>
      <c r="F316" s="22"/>
    </row>
    <row r="317" spans="1:6" ht="14.5">
      <c r="A317" s="25">
        <v>44152</v>
      </c>
      <c r="B317" s="26">
        <v>45</v>
      </c>
      <c r="C317" s="22"/>
      <c r="D317" s="22"/>
      <c r="E317" s="22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>
        <v>1</v>
      </c>
      <c r="D320" s="22"/>
      <c r="E320" s="22"/>
      <c r="F320" s="22"/>
    </row>
    <row r="321" spans="1:7" ht="14.5">
      <c r="A321" s="25">
        <v>44156</v>
      </c>
      <c r="B321" s="26">
        <v>45</v>
      </c>
      <c r="C321" s="22"/>
      <c r="D321" s="22"/>
      <c r="E321" s="22"/>
      <c r="F321" s="22"/>
    </row>
    <row r="322" spans="1:7" ht="14.5">
      <c r="A322" s="25">
        <v>44157</v>
      </c>
      <c r="B322" s="26">
        <v>45</v>
      </c>
      <c r="C322" s="22"/>
      <c r="D322" s="22"/>
      <c r="E322" s="22"/>
      <c r="F322" s="22"/>
    </row>
    <row r="323" spans="1:7" ht="14.5">
      <c r="A323" s="25">
        <v>44158</v>
      </c>
      <c r="B323" s="26">
        <v>46</v>
      </c>
      <c r="C323" s="22">
        <v>1</v>
      </c>
      <c r="D323" s="22"/>
      <c r="E323" s="22"/>
      <c r="F323" s="22"/>
    </row>
    <row r="324" spans="1:7" ht="14.5">
      <c r="A324" s="25">
        <v>44159</v>
      </c>
      <c r="B324" s="26">
        <v>46</v>
      </c>
      <c r="C324" s="22"/>
      <c r="D324" s="22"/>
      <c r="E324" s="22"/>
      <c r="F324" s="22"/>
    </row>
    <row r="325" spans="1:7" ht="14.5">
      <c r="A325" s="25">
        <v>44160</v>
      </c>
      <c r="B325" s="26">
        <v>46</v>
      </c>
      <c r="C325" s="22"/>
      <c r="D325" s="22"/>
      <c r="E325" s="22"/>
      <c r="F325" s="22"/>
    </row>
    <row r="326" spans="1:7" ht="14.5">
      <c r="A326" s="25">
        <v>44161</v>
      </c>
      <c r="B326" s="26">
        <v>46</v>
      </c>
      <c r="C326" s="22"/>
      <c r="D326" s="22"/>
      <c r="E326" s="22"/>
      <c r="F326" s="22"/>
    </row>
    <row r="327" spans="1:7" ht="14.5">
      <c r="A327" s="25">
        <v>44162</v>
      </c>
      <c r="B327" s="26">
        <v>46</v>
      </c>
      <c r="C327" s="22">
        <v>3</v>
      </c>
      <c r="D327" s="22"/>
      <c r="E327" s="33"/>
      <c r="F327" s="22"/>
    </row>
    <row r="328" spans="1:7" ht="14.5">
      <c r="A328" s="25">
        <v>44163</v>
      </c>
      <c r="B328" s="26">
        <v>46</v>
      </c>
      <c r="C328" s="22"/>
      <c r="D328" s="22"/>
      <c r="E328" s="22"/>
      <c r="F328" s="22"/>
    </row>
    <row r="329" spans="1:7" ht="14.5">
      <c r="A329" s="25">
        <v>44164</v>
      </c>
      <c r="B329" s="26">
        <v>46</v>
      </c>
      <c r="C329" s="22"/>
      <c r="D329" s="22"/>
      <c r="E329" s="22"/>
      <c r="F329" s="22"/>
    </row>
    <row r="330" spans="1:7" ht="14.5">
      <c r="A330" s="25">
        <v>44165</v>
      </c>
      <c r="B330" s="26">
        <v>47</v>
      </c>
      <c r="C330" s="22"/>
      <c r="D330" s="22"/>
      <c r="E330" s="22"/>
      <c r="F330" s="22"/>
    </row>
    <row r="331" spans="1:7" ht="14.5">
      <c r="A331" s="25">
        <v>44166</v>
      </c>
      <c r="B331" s="26">
        <v>47</v>
      </c>
      <c r="C331" s="22"/>
      <c r="D331" s="22"/>
      <c r="E331" s="33"/>
      <c r="F331" s="22"/>
    </row>
    <row r="332" spans="1:7" ht="14.5">
      <c r="A332" s="25">
        <v>44167</v>
      </c>
      <c r="B332" s="26">
        <v>47</v>
      </c>
      <c r="C332" s="22"/>
      <c r="D332" s="22"/>
      <c r="E332" s="22"/>
      <c r="F332" s="22"/>
    </row>
    <row r="333" spans="1:7" ht="14.5">
      <c r="A333" s="25">
        <v>44168</v>
      </c>
      <c r="B333" s="26">
        <v>47</v>
      </c>
      <c r="C333" s="22"/>
      <c r="D333" s="22"/>
      <c r="E333" s="33"/>
      <c r="F333" s="22"/>
    </row>
    <row r="334" spans="1:7" ht="14.5">
      <c r="A334" s="25">
        <v>44169</v>
      </c>
      <c r="B334" s="26">
        <v>47</v>
      </c>
      <c r="C334" s="22"/>
      <c r="D334" s="22"/>
      <c r="E334" s="22"/>
      <c r="F334" s="22"/>
    </row>
    <row r="335" spans="1:7" ht="14.5">
      <c r="A335" s="25">
        <v>44170</v>
      </c>
      <c r="B335" s="26">
        <v>47</v>
      </c>
      <c r="C335" s="22">
        <v>1</v>
      </c>
      <c r="D335" s="22"/>
      <c r="E335" s="22"/>
      <c r="F335" s="22"/>
    </row>
    <row r="336" spans="1:7" ht="14.5">
      <c r="A336" s="25">
        <v>44171</v>
      </c>
      <c r="B336" s="26">
        <v>47</v>
      </c>
      <c r="C336" s="32">
        <v>1</v>
      </c>
      <c r="D336" s="22"/>
      <c r="E336" s="22"/>
      <c r="F336" s="22"/>
      <c r="G336" s="76" t="s">
        <v>322</v>
      </c>
    </row>
    <row r="337" spans="1:7" ht="14.5">
      <c r="A337" s="25">
        <v>44172</v>
      </c>
      <c r="B337" s="26">
        <v>48</v>
      </c>
      <c r="C337" s="32">
        <v>12</v>
      </c>
      <c r="D337" s="22"/>
      <c r="E337" s="22"/>
      <c r="F337" s="22"/>
      <c r="G337" s="76" t="s">
        <v>323</v>
      </c>
    </row>
    <row r="338" spans="1:7" ht="14.5">
      <c r="A338" s="25">
        <v>44173</v>
      </c>
      <c r="B338" s="26">
        <v>48</v>
      </c>
      <c r="C338" s="22"/>
      <c r="D338" s="22"/>
      <c r="E338" s="22"/>
      <c r="F338" s="22"/>
    </row>
    <row r="339" spans="1:7" ht="14.5">
      <c r="A339" s="25">
        <v>44174</v>
      </c>
      <c r="B339" s="26">
        <v>48</v>
      </c>
      <c r="C339" s="32">
        <v>13</v>
      </c>
      <c r="D339" s="22"/>
      <c r="E339" s="22"/>
      <c r="F339" s="22"/>
      <c r="G339" s="76" t="s">
        <v>324</v>
      </c>
    </row>
    <row r="340" spans="1:7" ht="14.5">
      <c r="A340" s="25">
        <v>44175</v>
      </c>
      <c r="B340" s="26">
        <v>48</v>
      </c>
      <c r="C340" s="22">
        <v>2</v>
      </c>
      <c r="D340" s="22"/>
      <c r="E340" s="22"/>
      <c r="F340" s="22"/>
    </row>
    <row r="341" spans="1:7" ht="14.5">
      <c r="A341" s="25">
        <v>44176</v>
      </c>
      <c r="B341" s="26">
        <v>48</v>
      </c>
      <c r="C341" s="22">
        <v>2</v>
      </c>
      <c r="D341" s="22"/>
      <c r="E341" s="22"/>
      <c r="F341" s="22"/>
    </row>
    <row r="342" spans="1:7" ht="14.5">
      <c r="A342" s="25">
        <v>44177</v>
      </c>
      <c r="B342" s="26">
        <v>48</v>
      </c>
      <c r="C342" s="22">
        <v>2</v>
      </c>
      <c r="D342" s="22"/>
      <c r="E342" s="22"/>
      <c r="F342" s="22"/>
    </row>
    <row r="343" spans="1:7" ht="14.5">
      <c r="A343" s="25">
        <v>44178</v>
      </c>
      <c r="B343" s="26">
        <v>48</v>
      </c>
      <c r="C343" s="22"/>
      <c r="D343" s="22"/>
      <c r="E343" s="22"/>
      <c r="F343" s="22"/>
    </row>
    <row r="344" spans="1:7" ht="14.5">
      <c r="A344" s="25">
        <v>44179</v>
      </c>
      <c r="B344" s="26">
        <v>49</v>
      </c>
      <c r="C344" s="22">
        <v>2</v>
      </c>
      <c r="D344" s="22"/>
      <c r="E344" s="22"/>
      <c r="F344" s="22"/>
    </row>
    <row r="345" spans="1:7" ht="14.5">
      <c r="A345" s="25">
        <v>44180</v>
      </c>
      <c r="B345" s="26">
        <v>49</v>
      </c>
      <c r="C345" s="22">
        <v>1</v>
      </c>
      <c r="D345" s="22"/>
      <c r="E345" s="22"/>
      <c r="F345" s="22"/>
    </row>
    <row r="346" spans="1:7" ht="14.5">
      <c r="A346" s="25">
        <v>44181</v>
      </c>
      <c r="B346" s="26">
        <v>49</v>
      </c>
      <c r="C346" s="22">
        <v>5</v>
      </c>
      <c r="D346" s="22"/>
      <c r="E346" s="22"/>
      <c r="F346" s="22"/>
    </row>
    <row r="347" spans="1:7" ht="14.5">
      <c r="A347" s="25">
        <v>44182</v>
      </c>
      <c r="B347" s="26">
        <v>49</v>
      </c>
      <c r="C347" s="22">
        <v>5</v>
      </c>
      <c r="D347" s="22"/>
      <c r="E347" s="22"/>
      <c r="F347" s="22"/>
    </row>
    <row r="348" spans="1:7" ht="14.5">
      <c r="A348" s="25">
        <v>44183</v>
      </c>
      <c r="B348" s="26">
        <v>49</v>
      </c>
      <c r="C348" s="22">
        <v>6</v>
      </c>
      <c r="D348" s="22"/>
      <c r="E348" s="22"/>
      <c r="F348" s="22"/>
    </row>
    <row r="349" spans="1:7" ht="14.5">
      <c r="A349" s="25">
        <v>44184</v>
      </c>
      <c r="B349" s="26">
        <v>49</v>
      </c>
      <c r="C349" s="22">
        <v>3</v>
      </c>
      <c r="D349" s="22"/>
      <c r="E349" s="22"/>
      <c r="F349" s="22"/>
    </row>
    <row r="350" spans="1:7" ht="14.5">
      <c r="A350" s="25">
        <v>44185</v>
      </c>
      <c r="B350" s="26">
        <v>49</v>
      </c>
      <c r="C350" s="22"/>
      <c r="D350" s="22">
        <v>1</v>
      </c>
      <c r="E350" s="22"/>
      <c r="F350" s="22"/>
    </row>
    <row r="351" spans="1:7" ht="14.5">
      <c r="A351" s="25">
        <v>44186</v>
      </c>
      <c r="B351" s="26">
        <v>50</v>
      </c>
      <c r="C351" s="22">
        <v>1</v>
      </c>
      <c r="D351" s="22"/>
      <c r="E351" s="22"/>
      <c r="F351" s="22"/>
    </row>
    <row r="352" spans="1:7" ht="14.5">
      <c r="A352" s="25">
        <v>44187</v>
      </c>
      <c r="B352" s="26">
        <v>50</v>
      </c>
      <c r="C352" s="22"/>
      <c r="D352" s="22"/>
      <c r="E352" s="33"/>
      <c r="F352" s="22"/>
    </row>
    <row r="353" spans="1:7" ht="14.5">
      <c r="A353" s="25">
        <v>44188</v>
      </c>
      <c r="B353" s="26">
        <v>50</v>
      </c>
      <c r="C353" s="22">
        <v>1</v>
      </c>
      <c r="D353" s="22"/>
      <c r="E353" s="22"/>
      <c r="F353" s="22"/>
    </row>
    <row r="354" spans="1:7" ht="14.5">
      <c r="A354" s="25">
        <v>44189</v>
      </c>
      <c r="B354" s="26">
        <v>50</v>
      </c>
      <c r="C354" s="22"/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>
        <v>1</v>
      </c>
      <c r="D359" s="22"/>
      <c r="E359" s="22"/>
      <c r="F359" s="22"/>
    </row>
    <row r="360" spans="1:7" ht="14.5">
      <c r="A360" s="25">
        <v>44195</v>
      </c>
      <c r="B360" s="26">
        <v>51</v>
      </c>
      <c r="C360" s="22">
        <v>1</v>
      </c>
      <c r="D360" s="22"/>
      <c r="E360" s="22"/>
      <c r="F360" s="22"/>
    </row>
    <row r="361" spans="1:7" ht="14.5">
      <c r="A361" s="25">
        <v>44196</v>
      </c>
      <c r="B361" s="26">
        <v>51</v>
      </c>
      <c r="C361" s="22">
        <v>1</v>
      </c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  <c r="G365" s="126"/>
    </row>
    <row r="366" spans="1:7" ht="14.5">
      <c r="A366" s="25">
        <v>44201</v>
      </c>
      <c r="B366" s="26">
        <v>1</v>
      </c>
      <c r="C366" s="22">
        <v>1</v>
      </c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>
        <v>4</v>
      </c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>
        <v>1</v>
      </c>
      <c r="D368" s="22"/>
      <c r="E368" s="22"/>
      <c r="F368" s="22"/>
    </row>
    <row r="369" spans="1:7" ht="14.5">
      <c r="A369" s="25">
        <v>44204</v>
      </c>
      <c r="B369" s="26">
        <v>1</v>
      </c>
      <c r="C369" s="22">
        <v>4</v>
      </c>
      <c r="D369" s="22"/>
      <c r="E369" s="22"/>
      <c r="F369" s="22"/>
      <c r="G369" s="126"/>
    </row>
    <row r="370" spans="1:7" ht="14.5">
      <c r="A370" s="25">
        <v>44205</v>
      </c>
      <c r="B370" s="26">
        <v>1</v>
      </c>
      <c r="C370" s="22">
        <v>5</v>
      </c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</row>
    <row r="372" spans="1:7" ht="14.5">
      <c r="A372" s="25">
        <v>44207</v>
      </c>
      <c r="B372" s="26">
        <v>2</v>
      </c>
      <c r="C372" s="22">
        <v>1</v>
      </c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5</v>
      </c>
      <c r="D373" s="22"/>
      <c r="E373" s="22"/>
      <c r="F373" s="33"/>
    </row>
    <row r="374" spans="1:7" ht="14.5">
      <c r="A374" s="25">
        <v>44209</v>
      </c>
      <c r="B374" s="26">
        <v>2</v>
      </c>
      <c r="C374" s="22">
        <v>5</v>
      </c>
      <c r="D374" s="22"/>
      <c r="E374" s="22"/>
      <c r="F374" s="22"/>
    </row>
    <row r="375" spans="1:7" ht="14.5">
      <c r="A375" s="25">
        <v>44210</v>
      </c>
      <c r="B375" s="26">
        <v>2</v>
      </c>
      <c r="C375" s="22">
        <v>5</v>
      </c>
      <c r="D375" s="22"/>
      <c r="E375" s="22"/>
      <c r="F375" s="22"/>
      <c r="G375" s="126"/>
    </row>
    <row r="376" spans="1:7" ht="14.5">
      <c r="A376" s="25">
        <v>44211</v>
      </c>
      <c r="B376" s="26">
        <v>2</v>
      </c>
      <c r="C376" s="22">
        <v>2</v>
      </c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>
        <v>3</v>
      </c>
      <c r="D377" s="22"/>
      <c r="E377" s="22"/>
      <c r="F377" s="22"/>
    </row>
    <row r="378" spans="1:7" ht="14.5">
      <c r="A378" s="25">
        <v>44213</v>
      </c>
      <c r="B378" s="26">
        <v>2</v>
      </c>
      <c r="C378" s="22">
        <v>1</v>
      </c>
      <c r="D378" s="22"/>
      <c r="E378" s="22"/>
      <c r="F378" s="22"/>
    </row>
    <row r="379" spans="1:7" ht="14.5">
      <c r="A379" s="25">
        <v>44214</v>
      </c>
      <c r="B379" s="26">
        <v>3</v>
      </c>
      <c r="C379" s="22">
        <v>2</v>
      </c>
      <c r="D379" s="22"/>
      <c r="E379" s="33"/>
      <c r="F379" s="22"/>
    </row>
    <row r="380" spans="1:7" ht="14.5">
      <c r="A380" s="25">
        <v>44215</v>
      </c>
      <c r="B380" s="26">
        <v>3</v>
      </c>
      <c r="C380" s="22">
        <v>2</v>
      </c>
      <c r="D380" s="22">
        <v>1</v>
      </c>
      <c r="E380" s="22"/>
      <c r="F380" s="22"/>
    </row>
    <row r="381" spans="1:7" ht="14.5">
      <c r="A381" s="25">
        <v>44216</v>
      </c>
      <c r="B381" s="26">
        <v>3</v>
      </c>
      <c r="C381" s="22">
        <v>1</v>
      </c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33"/>
      <c r="F383" s="22"/>
    </row>
    <row r="384" spans="1:7" ht="14.5">
      <c r="A384" s="25">
        <v>44219</v>
      </c>
      <c r="B384" s="26">
        <v>3</v>
      </c>
      <c r="C384" s="22"/>
      <c r="D384" s="22"/>
      <c r="E384" s="22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/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/>
      <c r="D388" s="22"/>
      <c r="E388" s="22"/>
      <c r="F388" s="22"/>
    </row>
    <row r="389" spans="1:7" ht="14.5">
      <c r="A389" s="25">
        <v>44224</v>
      </c>
      <c r="B389" s="26">
        <v>4</v>
      </c>
      <c r="C389" s="22"/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34"/>
      <c r="F390" s="22"/>
    </row>
    <row r="391" spans="1:7" ht="14.5">
      <c r="A391" s="25">
        <v>44226</v>
      </c>
      <c r="B391" s="26">
        <v>4</v>
      </c>
      <c r="C391" s="22">
        <v>1</v>
      </c>
      <c r="D391" s="22"/>
      <c r="E391" s="22"/>
      <c r="F391" s="22"/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>
        <v>1</v>
      </c>
      <c r="D393" s="22"/>
      <c r="E393" s="22"/>
      <c r="F393" s="22"/>
    </row>
    <row r="394" spans="1:7" ht="14.5">
      <c r="A394" s="25">
        <v>44229</v>
      </c>
      <c r="B394" s="26">
        <v>5</v>
      </c>
      <c r="C394" s="22">
        <v>1</v>
      </c>
      <c r="D394" s="22"/>
      <c r="E394" s="22"/>
      <c r="F394" s="22"/>
    </row>
    <row r="395" spans="1:7" ht="14.5">
      <c r="A395" s="25">
        <v>44230</v>
      </c>
      <c r="B395" s="26">
        <v>5</v>
      </c>
      <c r="C395" s="22"/>
      <c r="D395" s="22"/>
      <c r="E395" s="22"/>
      <c r="F395" s="22"/>
    </row>
    <row r="396" spans="1:7" ht="15.5">
      <c r="A396" s="25">
        <v>44231</v>
      </c>
      <c r="B396" s="26">
        <v>5</v>
      </c>
      <c r="C396" s="22"/>
      <c r="D396" s="22"/>
      <c r="E396" s="22"/>
      <c r="F396" s="22"/>
      <c r="G396" s="77"/>
    </row>
    <row r="397" spans="1:7" ht="14.5">
      <c r="A397" s="25">
        <v>44232</v>
      </c>
      <c r="B397" s="26">
        <v>5</v>
      </c>
      <c r="C397" s="22">
        <v>1</v>
      </c>
      <c r="D397" s="22"/>
      <c r="E397" s="22"/>
      <c r="F397" s="22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33"/>
    </row>
    <row r="409" spans="1:6" ht="14.5">
      <c r="A409" s="25">
        <v>44244</v>
      </c>
      <c r="B409" s="26">
        <v>7</v>
      </c>
      <c r="C409" s="22"/>
      <c r="D409" s="22"/>
      <c r="E409" s="22"/>
      <c r="F409" s="22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>
        <v>1</v>
      </c>
      <c r="D432" s="22"/>
      <c r="E432" s="22"/>
      <c r="F432" s="22"/>
    </row>
    <row r="433" spans="1:7" ht="14.5">
      <c r="A433" s="25">
        <v>44268</v>
      </c>
      <c r="B433" s="26">
        <v>10</v>
      </c>
      <c r="C433" s="22"/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/>
      <c r="D435" s="22"/>
      <c r="E435" s="22"/>
      <c r="F435" s="22"/>
    </row>
    <row r="436" spans="1:7" ht="14.5">
      <c r="A436" s="25">
        <v>44271</v>
      </c>
      <c r="B436" s="26">
        <v>11</v>
      </c>
      <c r="C436" s="22"/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/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/>
      <c r="D442" s="22"/>
      <c r="E442" s="22"/>
      <c r="F442" s="22"/>
    </row>
    <row r="443" spans="1:7" ht="15.5">
      <c r="A443" s="25">
        <v>44278</v>
      </c>
      <c r="B443" s="26">
        <v>12</v>
      </c>
      <c r="C443" s="22"/>
      <c r="D443" s="22"/>
      <c r="E443" s="22"/>
      <c r="F443" s="22"/>
      <c r="G443" s="77"/>
    </row>
    <row r="444" spans="1:7" ht="14.5">
      <c r="A444" s="25">
        <v>44279</v>
      </c>
      <c r="B444" s="26">
        <v>12</v>
      </c>
      <c r="C444" s="22"/>
      <c r="D444" s="22"/>
      <c r="E444" s="22"/>
      <c r="F444" s="22"/>
    </row>
    <row r="445" spans="1:7" ht="14.5">
      <c r="A445" s="25">
        <v>44280</v>
      </c>
      <c r="B445" s="26">
        <v>12</v>
      </c>
      <c r="C445" s="22"/>
      <c r="D445" s="22"/>
      <c r="E445" s="22"/>
      <c r="F445" s="22"/>
    </row>
    <row r="446" spans="1:7" ht="14.5">
      <c r="A446" s="25">
        <v>44281</v>
      </c>
      <c r="B446" s="26">
        <v>12</v>
      </c>
      <c r="C446" s="22"/>
      <c r="D446" s="22"/>
      <c r="E446" s="22"/>
      <c r="F446" s="22"/>
    </row>
    <row r="447" spans="1:7" ht="14.5">
      <c r="A447" s="25">
        <v>44282</v>
      </c>
      <c r="B447" s="26">
        <v>12</v>
      </c>
      <c r="C447" s="22"/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1</v>
      </c>
      <c r="D452" s="22"/>
      <c r="E452" s="22"/>
      <c r="F452" s="22"/>
    </row>
    <row r="453" spans="1:6" ht="14.5">
      <c r="A453" s="25">
        <v>44288</v>
      </c>
      <c r="B453" s="26">
        <v>13</v>
      </c>
      <c r="C453" s="22">
        <v>2</v>
      </c>
      <c r="D453" s="22"/>
      <c r="E453" s="33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>
        <v>2</v>
      </c>
      <c r="D456" s="22"/>
      <c r="E456" s="22"/>
      <c r="F456" s="22"/>
    </row>
    <row r="457" spans="1:6" ht="14.5">
      <c r="A457" s="25">
        <v>44292</v>
      </c>
      <c r="B457" s="26">
        <v>14</v>
      </c>
      <c r="C457" s="22">
        <v>2</v>
      </c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2</v>
      </c>
      <c r="D458" s="22"/>
      <c r="E458" s="22"/>
      <c r="F458" s="22"/>
    </row>
    <row r="459" spans="1:6" ht="14.5">
      <c r="A459" s="25">
        <v>44294</v>
      </c>
      <c r="B459" s="26">
        <v>14</v>
      </c>
      <c r="C459" s="22">
        <v>3</v>
      </c>
      <c r="D459" s="22"/>
      <c r="E459" s="22"/>
      <c r="F459" s="22"/>
    </row>
    <row r="460" spans="1:6" ht="14.5">
      <c r="A460" s="25">
        <v>44295</v>
      </c>
      <c r="B460" s="26">
        <v>14</v>
      </c>
      <c r="C460" s="22">
        <v>3</v>
      </c>
      <c r="D460" s="22"/>
      <c r="E460" s="33"/>
      <c r="F460" s="22"/>
    </row>
    <row r="461" spans="1:6" ht="14.5">
      <c r="A461" s="25">
        <v>44296</v>
      </c>
      <c r="B461" s="26">
        <v>14</v>
      </c>
      <c r="C461" s="22">
        <v>5</v>
      </c>
      <c r="D461" s="22"/>
      <c r="E461" s="22"/>
      <c r="F461" s="22"/>
    </row>
    <row r="462" spans="1:6" ht="14.5">
      <c r="A462" s="25">
        <v>44297</v>
      </c>
      <c r="B462" s="26">
        <v>14</v>
      </c>
      <c r="C462" s="22">
        <v>1</v>
      </c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>
        <v>5</v>
      </c>
      <c r="D464" s="22"/>
      <c r="E464" s="22"/>
      <c r="F464" s="22"/>
    </row>
    <row r="465" spans="1:7" ht="14.5">
      <c r="A465" s="25">
        <v>44300</v>
      </c>
      <c r="B465" s="26">
        <v>15</v>
      </c>
      <c r="C465" s="22">
        <v>3</v>
      </c>
      <c r="D465" s="22"/>
      <c r="E465" s="22"/>
      <c r="F465" s="22"/>
    </row>
    <row r="466" spans="1:7" ht="14.5">
      <c r="A466" s="25">
        <v>44301</v>
      </c>
      <c r="B466" s="26">
        <v>15</v>
      </c>
      <c r="C466" s="22">
        <v>2</v>
      </c>
      <c r="D466" s="22"/>
      <c r="E466" s="22"/>
      <c r="F466" s="22"/>
    </row>
    <row r="467" spans="1:7" ht="14.5">
      <c r="A467" s="25">
        <v>44302</v>
      </c>
      <c r="B467" s="26">
        <v>15</v>
      </c>
      <c r="C467" s="22">
        <v>2</v>
      </c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>
        <v>7</v>
      </c>
      <c r="D470" s="22"/>
      <c r="E470" s="22"/>
      <c r="F470" s="22"/>
      <c r="G470" s="126"/>
    </row>
    <row r="471" spans="1:7" ht="14.5">
      <c r="A471" s="25">
        <v>44306</v>
      </c>
      <c r="B471" s="26">
        <v>16</v>
      </c>
      <c r="C471" s="22">
        <v>2</v>
      </c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>
        <v>3</v>
      </c>
      <c r="D472" s="22"/>
      <c r="E472" s="22"/>
      <c r="F472" s="22"/>
    </row>
    <row r="473" spans="1:7" ht="14.5">
      <c r="A473" s="25">
        <v>44308</v>
      </c>
      <c r="B473" s="26">
        <v>16</v>
      </c>
      <c r="C473" s="22">
        <v>3</v>
      </c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>
        <v>3</v>
      </c>
      <c r="D475" s="22"/>
      <c r="E475" s="22"/>
      <c r="F475" s="22"/>
    </row>
    <row r="476" spans="1:7" ht="14.5">
      <c r="A476" s="25">
        <v>44311</v>
      </c>
      <c r="B476" s="26">
        <v>16</v>
      </c>
      <c r="C476" s="22">
        <v>2</v>
      </c>
      <c r="D476" s="22"/>
      <c r="E476" s="22"/>
      <c r="F476" s="22"/>
    </row>
    <row r="477" spans="1:7" ht="14.5">
      <c r="A477" s="25">
        <v>44312</v>
      </c>
      <c r="B477" s="26">
        <v>17</v>
      </c>
      <c r="C477" s="22">
        <v>1</v>
      </c>
      <c r="D477" s="22"/>
      <c r="E477" s="22"/>
      <c r="F477" s="22"/>
    </row>
    <row r="478" spans="1:7" ht="14.5">
      <c r="A478" s="25">
        <v>44313</v>
      </c>
      <c r="B478" s="26">
        <v>17</v>
      </c>
      <c r="C478" s="22">
        <v>1</v>
      </c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>
        <v>2</v>
      </c>
      <c r="D480" s="22"/>
      <c r="E480" s="22"/>
      <c r="F480" s="22"/>
    </row>
    <row r="481" spans="1:7" ht="15.5">
      <c r="A481" s="25">
        <v>44316</v>
      </c>
      <c r="B481" s="26">
        <v>17</v>
      </c>
      <c r="C481" s="22">
        <v>2</v>
      </c>
      <c r="D481" s="22"/>
      <c r="E481" s="22"/>
      <c r="F481" s="22"/>
      <c r="G481" s="77"/>
    </row>
    <row r="482" spans="1:7" ht="14.5">
      <c r="A482" s="25">
        <v>44317</v>
      </c>
      <c r="B482" s="26">
        <v>17</v>
      </c>
      <c r="C482" s="22">
        <v>1</v>
      </c>
      <c r="D482" s="22"/>
      <c r="E482" s="22"/>
      <c r="F482" s="22"/>
      <c r="G482" s="1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>
        <v>1</v>
      </c>
      <c r="D485" s="22"/>
      <c r="E485" s="22"/>
      <c r="F485" s="22"/>
    </row>
    <row r="486" spans="1:7" ht="14.5">
      <c r="A486" s="25">
        <v>44321</v>
      </c>
      <c r="B486" s="26">
        <v>18</v>
      </c>
      <c r="C486" s="22">
        <v>3</v>
      </c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33"/>
      <c r="F487" s="22"/>
    </row>
    <row r="488" spans="1:7" ht="14.5">
      <c r="A488" s="25">
        <v>44323</v>
      </c>
      <c r="B488" s="26">
        <v>18</v>
      </c>
      <c r="C488" s="22"/>
      <c r="D488" s="22"/>
      <c r="E488" s="33"/>
      <c r="F488" s="22"/>
    </row>
    <row r="489" spans="1:7" ht="14.5">
      <c r="A489" s="25">
        <v>44324</v>
      </c>
      <c r="B489" s="26">
        <v>18</v>
      </c>
      <c r="C489" s="22">
        <v>5</v>
      </c>
      <c r="D489" s="22"/>
      <c r="E489" s="22"/>
      <c r="F489" s="22"/>
    </row>
    <row r="490" spans="1:7" ht="14.5">
      <c r="A490" s="25">
        <v>44325</v>
      </c>
      <c r="B490" s="26">
        <v>18</v>
      </c>
      <c r="C490" s="22">
        <v>1</v>
      </c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>
        <v>1</v>
      </c>
      <c r="D492" s="22"/>
      <c r="E492" s="22"/>
      <c r="F492" s="22"/>
    </row>
    <row r="493" spans="1:7" ht="14.5">
      <c r="A493" s="25">
        <v>44328</v>
      </c>
      <c r="B493" s="26">
        <v>19</v>
      </c>
      <c r="C493" s="22">
        <v>1</v>
      </c>
      <c r="D493" s="22"/>
      <c r="E493" s="33"/>
      <c r="F493" s="22"/>
    </row>
    <row r="494" spans="1:7" ht="14.5">
      <c r="A494" s="25">
        <v>44329</v>
      </c>
      <c r="B494" s="26">
        <v>19</v>
      </c>
      <c r="C494" s="22"/>
      <c r="D494" s="22"/>
      <c r="E494" s="33"/>
      <c r="F494" s="22"/>
    </row>
    <row r="495" spans="1:7" ht="14.5">
      <c r="A495" s="25">
        <v>44330</v>
      </c>
      <c r="B495" s="26">
        <v>19</v>
      </c>
      <c r="C495" s="22">
        <v>3</v>
      </c>
      <c r="D495" s="22"/>
      <c r="E495" s="33"/>
      <c r="F495" s="22"/>
    </row>
    <row r="496" spans="1:7" ht="14.5">
      <c r="A496" s="25">
        <v>44331</v>
      </c>
      <c r="B496" s="26">
        <v>19</v>
      </c>
      <c r="C496" s="22">
        <v>4</v>
      </c>
      <c r="D496" s="22"/>
      <c r="E496" s="22"/>
      <c r="F496" s="22"/>
    </row>
    <row r="497" spans="1:7" ht="14.5">
      <c r="A497" s="25">
        <v>44332</v>
      </c>
      <c r="B497" s="26">
        <v>19</v>
      </c>
      <c r="C497" s="22"/>
      <c r="D497" s="22"/>
      <c r="E497" s="22"/>
      <c r="F497" s="22"/>
    </row>
    <row r="498" spans="1:7" ht="14.5">
      <c r="A498" s="25">
        <v>44333</v>
      </c>
      <c r="B498" s="26">
        <v>20</v>
      </c>
      <c r="C498" s="22">
        <v>2</v>
      </c>
      <c r="D498" s="22"/>
      <c r="E498" s="22"/>
      <c r="F498" s="22"/>
    </row>
    <row r="499" spans="1:7" ht="14.5">
      <c r="A499" s="25">
        <v>44334</v>
      </c>
      <c r="B499" s="26">
        <v>20</v>
      </c>
      <c r="C499" s="22">
        <v>1</v>
      </c>
      <c r="D499" s="22"/>
      <c r="E499" s="33"/>
      <c r="F499" s="22"/>
    </row>
    <row r="500" spans="1:7" ht="14.5">
      <c r="A500" s="25">
        <v>44335</v>
      </c>
      <c r="B500" s="26">
        <v>20</v>
      </c>
      <c r="C500" s="22">
        <v>3</v>
      </c>
      <c r="D500" s="22"/>
      <c r="E500" s="22"/>
      <c r="F500" s="22"/>
    </row>
    <row r="501" spans="1:7" ht="15.5">
      <c r="A501" s="25">
        <v>44336</v>
      </c>
      <c r="B501" s="26">
        <v>20</v>
      </c>
      <c r="C501" s="22">
        <v>3</v>
      </c>
      <c r="D501" s="22"/>
      <c r="E501" s="22"/>
      <c r="F501" s="22"/>
      <c r="G501" s="77"/>
    </row>
    <row r="502" spans="1:7" ht="14.5">
      <c r="A502" s="25">
        <v>44337</v>
      </c>
      <c r="B502" s="26">
        <v>20</v>
      </c>
      <c r="C502" s="22">
        <v>2</v>
      </c>
      <c r="D502" s="22"/>
      <c r="E502" s="22"/>
      <c r="F502" s="22"/>
    </row>
    <row r="503" spans="1:7" ht="14.5">
      <c r="A503" s="25">
        <v>44338</v>
      </c>
      <c r="B503" s="26">
        <v>20</v>
      </c>
      <c r="C503" s="22">
        <v>1</v>
      </c>
      <c r="D503" s="22"/>
      <c r="E503" s="22"/>
      <c r="F503" s="22"/>
    </row>
    <row r="504" spans="1:7" ht="14.5">
      <c r="A504" s="25">
        <v>44339</v>
      </c>
      <c r="B504" s="26">
        <v>20</v>
      </c>
      <c r="C504" s="22">
        <v>1</v>
      </c>
      <c r="D504" s="22"/>
      <c r="E504" s="22"/>
      <c r="F504" s="22"/>
    </row>
    <row r="505" spans="1:7" ht="14.5">
      <c r="A505" s="25">
        <v>44340</v>
      </c>
      <c r="B505" s="26">
        <v>21</v>
      </c>
      <c r="C505" s="22">
        <v>2</v>
      </c>
      <c r="D505" s="22"/>
      <c r="E505" s="22"/>
      <c r="F505" s="22"/>
    </row>
    <row r="506" spans="1:7" ht="14.5">
      <c r="A506" s="25">
        <v>44341</v>
      </c>
      <c r="B506" s="26">
        <v>21</v>
      </c>
      <c r="C506" s="22"/>
      <c r="D506" s="22"/>
      <c r="E506" s="22"/>
      <c r="F506" s="22"/>
    </row>
    <row r="507" spans="1:7" ht="14.5">
      <c r="A507" s="25">
        <v>44342</v>
      </c>
      <c r="B507" s="26">
        <v>21</v>
      </c>
      <c r="C507" s="22">
        <v>2</v>
      </c>
      <c r="D507" s="22"/>
      <c r="E507" s="22"/>
      <c r="F507" s="22"/>
    </row>
    <row r="508" spans="1:7" ht="14.5">
      <c r="A508" s="25">
        <v>44343</v>
      </c>
      <c r="B508" s="26">
        <v>21</v>
      </c>
      <c r="C508" s="22"/>
      <c r="D508" s="22"/>
      <c r="E508" s="22"/>
      <c r="F508" s="22"/>
    </row>
    <row r="509" spans="1:7" ht="14.5">
      <c r="A509" s="25">
        <v>44344</v>
      </c>
      <c r="B509" s="26">
        <v>21</v>
      </c>
      <c r="C509" s="22">
        <v>1</v>
      </c>
      <c r="D509" s="22"/>
      <c r="E509" s="22"/>
      <c r="F509" s="22"/>
    </row>
    <row r="510" spans="1:7" ht="14.5">
      <c r="A510" s="25">
        <v>44345</v>
      </c>
      <c r="B510" s="26">
        <v>21</v>
      </c>
      <c r="C510" s="22">
        <v>1</v>
      </c>
      <c r="D510" s="22"/>
      <c r="E510" s="22"/>
      <c r="F510" s="22"/>
    </row>
    <row r="511" spans="1:7" ht="14.5">
      <c r="A511" s="25">
        <v>44346</v>
      </c>
      <c r="B511" s="26">
        <v>21</v>
      </c>
      <c r="C511" s="22"/>
      <c r="D511" s="22"/>
      <c r="E511" s="22"/>
      <c r="F511" s="22"/>
    </row>
    <row r="512" spans="1:7" ht="14.5">
      <c r="A512" s="25">
        <v>44347</v>
      </c>
      <c r="B512" s="26">
        <v>22</v>
      </c>
      <c r="C512" s="22"/>
      <c r="D512" s="22"/>
      <c r="E512" s="33"/>
      <c r="F512" s="22"/>
    </row>
    <row r="513" spans="1:6" ht="14.5">
      <c r="A513" s="25">
        <v>44348</v>
      </c>
      <c r="B513" s="26">
        <v>22</v>
      </c>
      <c r="C513" s="22">
        <v>1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>
        <v>1</v>
      </c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>
        <v>1</v>
      </c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>
        <v>1</v>
      </c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33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>
        <v>1</v>
      </c>
      <c r="D531" s="22"/>
      <c r="E531" s="22"/>
      <c r="F531" s="22"/>
    </row>
    <row r="532" spans="1:6" ht="14.5">
      <c r="A532" s="25">
        <v>44367</v>
      </c>
      <c r="B532" s="26">
        <v>24</v>
      </c>
      <c r="C532" s="22">
        <v>2</v>
      </c>
      <c r="D532" s="22"/>
      <c r="E532" s="22"/>
      <c r="F532" s="22"/>
    </row>
    <row r="533" spans="1:6" ht="14.5">
      <c r="A533" s="25">
        <v>44368</v>
      </c>
      <c r="B533" s="26">
        <v>25</v>
      </c>
      <c r="C533" s="22">
        <v>2</v>
      </c>
      <c r="D533" s="22"/>
      <c r="E533" s="33"/>
      <c r="F533" s="22"/>
    </row>
    <row r="534" spans="1:6" ht="14.5">
      <c r="A534" s="25">
        <v>44369</v>
      </c>
      <c r="B534" s="26">
        <v>25</v>
      </c>
      <c r="C534" s="22">
        <v>1</v>
      </c>
      <c r="D534" s="22"/>
      <c r="E534" s="22"/>
      <c r="F534" s="22"/>
    </row>
    <row r="535" spans="1:6" ht="14.5">
      <c r="A535" s="25">
        <v>44370</v>
      </c>
      <c r="B535" s="26">
        <v>25</v>
      </c>
      <c r="C535" s="22">
        <v>1</v>
      </c>
      <c r="D535" s="22"/>
      <c r="E535" s="22"/>
      <c r="F535" s="22"/>
    </row>
    <row r="536" spans="1:6" ht="14.5">
      <c r="A536" s="25">
        <v>44371</v>
      </c>
      <c r="B536" s="26">
        <v>25</v>
      </c>
      <c r="C536" s="22"/>
      <c r="D536" s="22"/>
      <c r="E536" s="22"/>
      <c r="F536" s="22"/>
    </row>
    <row r="537" spans="1:6" ht="14.5">
      <c r="A537" s="25">
        <v>44372</v>
      </c>
      <c r="B537" s="26">
        <v>25</v>
      </c>
      <c r="C537" s="22">
        <v>1</v>
      </c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2">
        <v>27</v>
      </c>
      <c r="C547" s="22">
        <v>1</v>
      </c>
      <c r="D547" s="22"/>
      <c r="E547" s="22"/>
      <c r="F547" s="22"/>
    </row>
    <row r="548" spans="1:6" ht="14.5">
      <c r="A548" s="25">
        <v>44383</v>
      </c>
      <c r="B548" s="22">
        <v>27</v>
      </c>
      <c r="C548" s="22"/>
      <c r="D548" s="22"/>
      <c r="E548" s="22"/>
      <c r="F548" s="22"/>
    </row>
    <row r="549" spans="1:6" ht="14.5">
      <c r="A549" s="25">
        <v>44384</v>
      </c>
      <c r="B549" s="22">
        <v>27</v>
      </c>
      <c r="C549" s="22"/>
      <c r="D549" s="22"/>
      <c r="E549" s="22"/>
      <c r="F549" s="22"/>
    </row>
    <row r="550" spans="1:6" ht="14.5">
      <c r="A550" s="25">
        <v>44385</v>
      </c>
      <c r="B550" s="22">
        <v>27</v>
      </c>
      <c r="C550" s="22"/>
      <c r="D550" s="22"/>
      <c r="E550" s="22"/>
      <c r="F550" s="22"/>
    </row>
    <row r="551" spans="1:6" ht="14.5">
      <c r="A551" s="25">
        <v>44386</v>
      </c>
      <c r="B551" s="22">
        <v>27</v>
      </c>
      <c r="C551" s="22"/>
      <c r="D551" s="22"/>
      <c r="E551" s="22"/>
      <c r="F551" s="22"/>
    </row>
    <row r="552" spans="1:6" ht="14.5">
      <c r="A552" s="25">
        <v>44387</v>
      </c>
      <c r="B552" s="22">
        <v>27</v>
      </c>
      <c r="C552" s="22"/>
      <c r="D552" s="22"/>
      <c r="E552" s="22"/>
      <c r="F552" s="22"/>
    </row>
    <row r="553" spans="1:6" ht="14.5">
      <c r="A553" s="25">
        <v>44388</v>
      </c>
      <c r="B553" s="22">
        <v>27</v>
      </c>
      <c r="C553" s="22"/>
      <c r="D553" s="22"/>
      <c r="E553" s="22"/>
      <c r="F553" s="22"/>
    </row>
    <row r="554" spans="1:6" ht="14.5">
      <c r="A554" s="25">
        <v>44389</v>
      </c>
      <c r="B554" s="26">
        <v>28</v>
      </c>
      <c r="C554" s="22">
        <v>1</v>
      </c>
      <c r="D554" s="22"/>
      <c r="E554" s="22"/>
      <c r="F554" s="22"/>
    </row>
    <row r="555" spans="1:6" ht="14.5">
      <c r="A555" s="25">
        <v>44390</v>
      </c>
      <c r="B555" s="26">
        <v>28</v>
      </c>
      <c r="C555" s="22"/>
      <c r="D555" s="22"/>
      <c r="E555" s="22"/>
      <c r="F555" s="22"/>
    </row>
    <row r="556" spans="1:6" ht="14.5">
      <c r="A556" s="25">
        <v>44391</v>
      </c>
      <c r="B556" s="26">
        <v>28</v>
      </c>
      <c r="C556" s="22">
        <v>1</v>
      </c>
      <c r="D556" s="22"/>
      <c r="E556" s="22"/>
      <c r="F556" s="22"/>
    </row>
    <row r="557" spans="1:6" ht="14.5">
      <c r="A557" s="25">
        <v>44392</v>
      </c>
      <c r="B557" s="26">
        <v>28</v>
      </c>
      <c r="C557" s="22"/>
      <c r="D557" s="22"/>
      <c r="E557" s="22"/>
      <c r="F557" s="22"/>
    </row>
    <row r="558" spans="1:6" ht="14.5">
      <c r="A558" s="25">
        <v>44393</v>
      </c>
      <c r="B558" s="26">
        <v>28</v>
      </c>
      <c r="C558" s="22"/>
      <c r="D558" s="22"/>
      <c r="E558" s="22"/>
      <c r="F558" s="22"/>
    </row>
    <row r="559" spans="1:6" ht="14.5">
      <c r="A559" s="25">
        <v>44394</v>
      </c>
      <c r="B559" s="26">
        <v>28</v>
      </c>
      <c r="C559" s="22">
        <v>1</v>
      </c>
      <c r="D559" s="22"/>
      <c r="E559" s="22"/>
      <c r="F559" s="22"/>
    </row>
    <row r="560" spans="1:6" ht="14.5">
      <c r="A560" s="25">
        <v>44395</v>
      </c>
      <c r="B560" s="26">
        <v>28</v>
      </c>
      <c r="C560" s="22">
        <f>1</f>
        <v>1</v>
      </c>
      <c r="D560" s="22"/>
      <c r="E560" s="22"/>
      <c r="F560" s="22"/>
    </row>
    <row r="561" spans="1:6" ht="14.5">
      <c r="A561" s="25">
        <v>44396</v>
      </c>
      <c r="B561" s="26">
        <v>29</v>
      </c>
      <c r="C561" s="22">
        <v>3</v>
      </c>
      <c r="D561" s="22"/>
      <c r="E561" s="22"/>
      <c r="F561" s="22"/>
    </row>
    <row r="562" spans="1:6" ht="14.5">
      <c r="A562" s="25">
        <v>44397</v>
      </c>
      <c r="B562" s="26">
        <v>29</v>
      </c>
      <c r="C562" s="22">
        <v>1</v>
      </c>
      <c r="D562" s="22"/>
      <c r="E562" s="22"/>
      <c r="F562" s="22"/>
    </row>
    <row r="563" spans="1:6" ht="14.5">
      <c r="A563" s="25">
        <v>44398</v>
      </c>
      <c r="B563" s="26">
        <v>29</v>
      </c>
      <c r="C563" s="22">
        <v>3</v>
      </c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>
        <v>2</v>
      </c>
      <c r="D565" s="22"/>
      <c r="E565" s="22"/>
      <c r="F565" s="22"/>
    </row>
    <row r="566" spans="1:6" ht="14.5">
      <c r="A566" s="25">
        <v>44401</v>
      </c>
      <c r="B566" s="26">
        <v>29</v>
      </c>
      <c r="C566" s="22">
        <v>3</v>
      </c>
      <c r="D566" s="22"/>
      <c r="E566" s="22"/>
      <c r="F566" s="22"/>
    </row>
    <row r="567" spans="1:6" ht="14.5">
      <c r="A567" s="25">
        <v>44402</v>
      </c>
      <c r="B567" s="26">
        <v>29</v>
      </c>
      <c r="C567" s="22">
        <v>1</v>
      </c>
      <c r="D567" s="22"/>
      <c r="E567" s="22"/>
      <c r="F567" s="22"/>
    </row>
    <row r="568" spans="1:6" ht="14.5">
      <c r="A568" s="25">
        <v>44403</v>
      </c>
      <c r="B568" s="26">
        <v>30</v>
      </c>
      <c r="C568" s="22">
        <f>2+1</f>
        <v>3</v>
      </c>
      <c r="D568" s="22"/>
      <c r="E568" s="39"/>
      <c r="F568" s="22"/>
    </row>
    <row r="569" spans="1:6" ht="14.5">
      <c r="A569" s="25">
        <v>44404</v>
      </c>
      <c r="B569" s="26">
        <v>30</v>
      </c>
      <c r="C569" s="22"/>
      <c r="D569" s="22"/>
      <c r="E569" s="39"/>
      <c r="F569" s="22"/>
    </row>
    <row r="570" spans="1:6" ht="14.5">
      <c r="A570" s="25">
        <v>44405</v>
      </c>
      <c r="B570" s="26">
        <v>30</v>
      </c>
      <c r="C570" s="22">
        <f>1+1</f>
        <v>2</v>
      </c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>
        <f>1+1</f>
        <v>2</v>
      </c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>
        <f>1+1</f>
        <v>2</v>
      </c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f>1+1+1</f>
        <v>3</v>
      </c>
      <c r="D575" s="22"/>
      <c r="E575" s="22"/>
      <c r="F575" s="22"/>
    </row>
    <row r="576" spans="1:6" ht="14.5">
      <c r="A576" s="28">
        <v>44411</v>
      </c>
      <c r="B576" s="22">
        <v>31</v>
      </c>
      <c r="C576" s="22">
        <f>4</f>
        <v>4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7+1</f>
        <v>8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2</f>
        <v>2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3</f>
        <v>3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>1</f>
        <v>1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>1</f>
        <v>1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f>1</f>
        <v>1</v>
      </c>
      <c r="D585" s="22"/>
      <c r="E585" s="22"/>
      <c r="F585" s="22"/>
    </row>
    <row r="586" spans="1:6" ht="14.5">
      <c r="A586" s="28">
        <v>44421</v>
      </c>
      <c r="B586" s="22">
        <v>32</v>
      </c>
      <c r="C586" s="22">
        <f>1+2</f>
        <v>3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>2</f>
        <v>2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f>1+1</f>
        <v>2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3+1</f>
        <v>4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4</f>
        <v>4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2</f>
        <v>2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>2</f>
        <v>2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4</f>
        <v>4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2</f>
        <v>2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>1</f>
        <v>1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>1+1</f>
        <v>2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>1</f>
        <v>1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>1</f>
        <v>1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>1</f>
        <v>1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>1</f>
        <v>1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f>1</f>
        <v>1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>
        <f>1</f>
        <v>1</v>
      </c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>
        <f>1</f>
        <v>1</v>
      </c>
      <c r="D631" s="22"/>
      <c r="E631" s="22"/>
      <c r="F631" s="22"/>
    </row>
    <row r="632" spans="1:6" ht="14.5">
      <c r="A632" s="28">
        <v>44467</v>
      </c>
      <c r="B632" s="22">
        <v>39</v>
      </c>
      <c r="C632" s="22">
        <f>2</f>
        <v>2</v>
      </c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>
        <f>2</f>
        <v>2</v>
      </c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>
        <f>1</f>
        <v>1</v>
      </c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>
        <f>1</f>
        <v>1</v>
      </c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>
        <f>1</f>
        <v>1</v>
      </c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>
        <f>1</f>
        <v>1</v>
      </c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>
        <f>2</f>
        <v>2</v>
      </c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>1</f>
        <v>1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2+(325/26)</f>
        <v>14.5</v>
      </c>
      <c r="D732" s="22">
        <f>(16/26)</f>
        <v>0.61538461538461542</v>
      </c>
      <c r="E732" s="22"/>
      <c r="F732" s="22"/>
    </row>
    <row r="733" spans="1:6" ht="14.5">
      <c r="A733" s="28">
        <v>44568</v>
      </c>
      <c r="B733" s="22">
        <v>1</v>
      </c>
      <c r="C733" s="22">
        <f>2+(325/26)</f>
        <v>14.5</v>
      </c>
      <c r="D733" s="22">
        <f t="shared" ref="D733:D757" si="0">(16/26)</f>
        <v>0.61538461538461542</v>
      </c>
      <c r="E733" s="22"/>
      <c r="F733" s="22"/>
    </row>
    <row r="734" spans="1:6" ht="14.5">
      <c r="A734" s="28">
        <v>44569</v>
      </c>
      <c r="B734" s="22">
        <v>1</v>
      </c>
      <c r="C734" s="22">
        <f>4+(325/26)</f>
        <v>16.5</v>
      </c>
      <c r="D734" s="22">
        <f t="shared" si="0"/>
        <v>0.61538461538461542</v>
      </c>
      <c r="E734" s="22"/>
      <c r="F734" s="22"/>
    </row>
    <row r="735" spans="1:6" ht="14.5">
      <c r="A735" s="28">
        <v>44570</v>
      </c>
      <c r="B735" s="22">
        <v>1</v>
      </c>
      <c r="C735" s="22">
        <f>1+(325/26)</f>
        <v>13.5</v>
      </c>
      <c r="D735" s="22">
        <f t="shared" si="0"/>
        <v>0.61538461538461542</v>
      </c>
      <c r="E735" s="22"/>
      <c r="F735" s="22"/>
    </row>
    <row r="736" spans="1:6" ht="14.5">
      <c r="A736" s="28">
        <v>44571</v>
      </c>
      <c r="B736" s="22">
        <v>2</v>
      </c>
      <c r="C736" s="22">
        <f>3+(325/26)</f>
        <v>15.5</v>
      </c>
      <c r="D736" s="22">
        <f t="shared" si="0"/>
        <v>0.61538461538461542</v>
      </c>
      <c r="E736" s="22"/>
      <c r="F736" s="22"/>
    </row>
    <row r="737" spans="1:6" ht="14.5">
      <c r="A737" s="28">
        <v>44572</v>
      </c>
      <c r="B737" s="22">
        <v>2</v>
      </c>
      <c r="C737" s="22">
        <f>3+(325/26)</f>
        <v>15.5</v>
      </c>
      <c r="D737" s="22">
        <f t="shared" si="0"/>
        <v>0.61538461538461542</v>
      </c>
      <c r="E737" s="22"/>
      <c r="F737" s="22"/>
    </row>
    <row r="738" spans="1:6" ht="14.5">
      <c r="A738" s="28">
        <v>44573</v>
      </c>
      <c r="B738" s="22">
        <v>2</v>
      </c>
      <c r="C738" s="22">
        <f>10+(325/26)</f>
        <v>22.5</v>
      </c>
      <c r="D738" s="22">
        <f t="shared" si="0"/>
        <v>0.61538461538461542</v>
      </c>
      <c r="E738" s="22"/>
      <c r="F738" s="22"/>
    </row>
    <row r="739" spans="1:6" ht="14.5">
      <c r="A739" s="28">
        <v>44574</v>
      </c>
      <c r="B739" s="22">
        <v>2</v>
      </c>
      <c r="C739" s="22">
        <f>9+(325/26)</f>
        <v>21.5</v>
      </c>
      <c r="D739" s="22">
        <f t="shared" si="0"/>
        <v>0.61538461538461542</v>
      </c>
      <c r="E739" s="22"/>
      <c r="F739" s="22"/>
    </row>
    <row r="740" spans="1:6" ht="14.5">
      <c r="A740" s="28">
        <v>44575</v>
      </c>
      <c r="B740" s="22">
        <v>2</v>
      </c>
      <c r="C740" s="22">
        <f>(325/26)</f>
        <v>12.5</v>
      </c>
      <c r="D740" s="22">
        <f t="shared" si="0"/>
        <v>0.61538461538461542</v>
      </c>
      <c r="E740" s="22"/>
      <c r="F740" s="22"/>
    </row>
    <row r="741" spans="1:6" ht="14.5">
      <c r="A741" s="28">
        <v>44576</v>
      </c>
      <c r="B741" s="22">
        <v>2</v>
      </c>
      <c r="C741" s="22">
        <f t="shared" ref="C741:C757" si="1">(325/26)</f>
        <v>12.5</v>
      </c>
      <c r="D741" s="22">
        <f t="shared" si="0"/>
        <v>0.61538461538461542</v>
      </c>
      <c r="E741" s="22"/>
      <c r="F741" s="22"/>
    </row>
    <row r="742" spans="1:6" ht="14.5">
      <c r="A742" s="28">
        <v>44577</v>
      </c>
      <c r="B742" s="22">
        <v>2</v>
      </c>
      <c r="C742" s="22">
        <f t="shared" si="1"/>
        <v>12.5</v>
      </c>
      <c r="D742" s="22">
        <f t="shared" si="0"/>
        <v>0.61538461538461542</v>
      </c>
      <c r="E742" s="22"/>
      <c r="F742" s="22"/>
    </row>
    <row r="743" spans="1:6" ht="14.5">
      <c r="A743" s="28">
        <v>44578</v>
      </c>
      <c r="B743" s="22">
        <v>3</v>
      </c>
      <c r="C743" s="22">
        <f t="shared" si="1"/>
        <v>12.5</v>
      </c>
      <c r="D743" s="22">
        <f t="shared" si="0"/>
        <v>0.61538461538461542</v>
      </c>
      <c r="E743" s="22"/>
      <c r="F743" s="22"/>
    </row>
    <row r="744" spans="1:6" ht="14.5">
      <c r="A744" s="28">
        <v>44579</v>
      </c>
      <c r="B744" s="22">
        <v>3</v>
      </c>
      <c r="C744" s="22">
        <f t="shared" si="1"/>
        <v>12.5</v>
      </c>
      <c r="D744" s="22">
        <f t="shared" si="0"/>
        <v>0.61538461538461542</v>
      </c>
      <c r="E744" s="22"/>
      <c r="F744" s="22"/>
    </row>
    <row r="745" spans="1:6" ht="14.5">
      <c r="A745" s="28">
        <v>44580</v>
      </c>
      <c r="B745" s="22">
        <v>3</v>
      </c>
      <c r="C745" s="22">
        <f t="shared" si="1"/>
        <v>12.5</v>
      </c>
      <c r="D745" s="22">
        <f t="shared" si="0"/>
        <v>0.61538461538461542</v>
      </c>
      <c r="E745" s="22"/>
      <c r="F745" s="22"/>
    </row>
    <row r="746" spans="1:6" ht="14.5">
      <c r="A746" s="28">
        <v>44581</v>
      </c>
      <c r="B746" s="22">
        <v>3</v>
      </c>
      <c r="C746" s="22">
        <f t="shared" si="1"/>
        <v>12.5</v>
      </c>
      <c r="D746" s="22">
        <f t="shared" si="0"/>
        <v>0.61538461538461542</v>
      </c>
      <c r="E746" s="22"/>
      <c r="F746" s="22"/>
    </row>
    <row r="747" spans="1:6" ht="14.5">
      <c r="A747" s="28">
        <v>44582</v>
      </c>
      <c r="B747" s="22">
        <v>3</v>
      </c>
      <c r="C747" s="22">
        <f t="shared" si="1"/>
        <v>12.5</v>
      </c>
      <c r="D747" s="22">
        <f t="shared" si="0"/>
        <v>0.61538461538461542</v>
      </c>
      <c r="E747" s="22"/>
      <c r="F747" s="22"/>
    </row>
    <row r="748" spans="1:6" ht="14.5">
      <c r="A748" s="28">
        <v>44583</v>
      </c>
      <c r="B748" s="22">
        <v>3</v>
      </c>
      <c r="C748" s="22">
        <f t="shared" si="1"/>
        <v>12.5</v>
      </c>
      <c r="D748" s="22">
        <f t="shared" si="0"/>
        <v>0.61538461538461542</v>
      </c>
      <c r="E748" s="22"/>
      <c r="F748" s="22"/>
    </row>
    <row r="749" spans="1:6" ht="14.5">
      <c r="A749" s="28">
        <v>44584</v>
      </c>
      <c r="B749" s="22">
        <v>3</v>
      </c>
      <c r="C749" s="22">
        <f t="shared" si="1"/>
        <v>12.5</v>
      </c>
      <c r="D749" s="22">
        <f t="shared" si="0"/>
        <v>0.61538461538461542</v>
      </c>
      <c r="E749" s="22"/>
      <c r="F749" s="22"/>
    </row>
    <row r="750" spans="1:6" ht="14.5">
      <c r="A750" s="28">
        <v>44585</v>
      </c>
      <c r="B750" s="22">
        <v>4</v>
      </c>
      <c r="C750" s="22">
        <f t="shared" si="1"/>
        <v>12.5</v>
      </c>
      <c r="D750" s="22">
        <f t="shared" si="0"/>
        <v>0.61538461538461542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si="1"/>
        <v>12.5</v>
      </c>
      <c r="D751" s="22">
        <f t="shared" si="0"/>
        <v>0.61538461538461542</v>
      </c>
      <c r="E751" s="22"/>
      <c r="F751" s="22"/>
    </row>
    <row r="752" spans="1:6" ht="14.5">
      <c r="A752" s="28">
        <v>44587</v>
      </c>
      <c r="B752" s="22">
        <v>4</v>
      </c>
      <c r="C752" s="22">
        <f t="shared" si="1"/>
        <v>12.5</v>
      </c>
      <c r="D752" s="22">
        <f t="shared" si="0"/>
        <v>0.61538461538461542</v>
      </c>
      <c r="E752" s="22"/>
      <c r="F752" s="22"/>
    </row>
    <row r="753" spans="1:6" ht="14.5">
      <c r="A753" s="28">
        <v>44588</v>
      </c>
      <c r="B753" s="22">
        <v>4</v>
      </c>
      <c r="C753" s="22">
        <f t="shared" si="1"/>
        <v>12.5</v>
      </c>
      <c r="D753" s="22">
        <f t="shared" si="0"/>
        <v>0.61538461538461542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si="1"/>
        <v>12.5</v>
      </c>
      <c r="D754" s="22">
        <f t="shared" si="0"/>
        <v>0.61538461538461542</v>
      </c>
      <c r="E754" s="22"/>
      <c r="F754" s="22"/>
    </row>
    <row r="755" spans="1:6" ht="14.5">
      <c r="A755" s="28">
        <v>44590</v>
      </c>
      <c r="B755" s="22">
        <v>4</v>
      </c>
      <c r="C755" s="22">
        <f t="shared" si="1"/>
        <v>12.5</v>
      </c>
      <c r="D755" s="22">
        <f t="shared" si="0"/>
        <v>0.61538461538461542</v>
      </c>
      <c r="E755" s="22"/>
      <c r="F755" s="22"/>
    </row>
    <row r="756" spans="1:6" ht="14.5">
      <c r="A756" s="28">
        <v>44591</v>
      </c>
      <c r="B756" s="22">
        <v>4</v>
      </c>
      <c r="C756" s="22">
        <f t="shared" si="1"/>
        <v>12.5</v>
      </c>
      <c r="D756" s="22">
        <f t="shared" si="0"/>
        <v>0.61538461538461542</v>
      </c>
      <c r="E756" s="22"/>
      <c r="F756" s="22"/>
    </row>
    <row r="757" spans="1:6" ht="14.5">
      <c r="A757" s="28">
        <v>44592</v>
      </c>
      <c r="B757" s="22">
        <v>5</v>
      </c>
      <c r="C757" s="22">
        <f t="shared" si="1"/>
        <v>12.5</v>
      </c>
      <c r="D757" s="22">
        <f t="shared" si="0"/>
        <v>0.61538461538461542</v>
      </c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75/27</f>
        <v>2.7777777777777777</v>
      </c>
      <c r="D759" s="52">
        <f>34/27</f>
        <v>1.2592592592592593</v>
      </c>
      <c r="E759" s="52"/>
      <c r="F759" s="52"/>
    </row>
    <row r="760" spans="1:6" ht="14.5">
      <c r="A760" s="49">
        <v>44595</v>
      </c>
      <c r="B760" s="52">
        <v>5</v>
      </c>
      <c r="C760" s="52">
        <f t="shared" ref="C760:C785" si="2">75/27</f>
        <v>2.7777777777777777</v>
      </c>
      <c r="D760" s="52">
        <f t="shared" ref="D760:D785" si="3">34/27</f>
        <v>1.2592592592592593</v>
      </c>
      <c r="E760" s="52"/>
      <c r="F760" s="52"/>
    </row>
    <row r="761" spans="1:6" ht="14.5">
      <c r="A761" s="49">
        <v>44596</v>
      </c>
      <c r="B761" s="52">
        <v>5</v>
      </c>
      <c r="C761" s="52">
        <f t="shared" si="2"/>
        <v>2.7777777777777777</v>
      </c>
      <c r="D761" s="52">
        <f t="shared" si="3"/>
        <v>1.2592592592592593</v>
      </c>
      <c r="E761" s="52"/>
      <c r="F761" s="52"/>
    </row>
    <row r="762" spans="1:6" ht="14.5">
      <c r="A762" s="49">
        <v>44597</v>
      </c>
      <c r="B762" s="52">
        <v>5</v>
      </c>
      <c r="C762" s="52">
        <f t="shared" si="2"/>
        <v>2.7777777777777777</v>
      </c>
      <c r="D762" s="52">
        <f t="shared" si="3"/>
        <v>1.2592592592592593</v>
      </c>
      <c r="E762" s="52"/>
      <c r="F762" s="52"/>
    </row>
    <row r="763" spans="1:6" ht="14.5">
      <c r="A763" s="49">
        <v>44598</v>
      </c>
      <c r="B763" s="52">
        <v>5</v>
      </c>
      <c r="C763" s="52">
        <f t="shared" si="2"/>
        <v>2.7777777777777777</v>
      </c>
      <c r="D763" s="52">
        <f t="shared" si="3"/>
        <v>1.2592592592592593</v>
      </c>
      <c r="E763" s="52"/>
      <c r="F763" s="52"/>
    </row>
    <row r="764" spans="1:6" ht="14.5">
      <c r="A764" s="49">
        <v>44599</v>
      </c>
      <c r="B764" s="52">
        <v>6</v>
      </c>
      <c r="C764" s="52">
        <f t="shared" si="2"/>
        <v>2.7777777777777777</v>
      </c>
      <c r="D764" s="52">
        <f t="shared" si="3"/>
        <v>1.2592592592592593</v>
      </c>
      <c r="E764" s="52"/>
      <c r="F764" s="52"/>
    </row>
    <row r="765" spans="1:6" ht="14.5">
      <c r="A765" s="49">
        <v>44600</v>
      </c>
      <c r="B765" s="52">
        <v>6</v>
      </c>
      <c r="C765" s="52">
        <f t="shared" si="2"/>
        <v>2.7777777777777777</v>
      </c>
      <c r="D765" s="52">
        <f t="shared" si="3"/>
        <v>1.2592592592592593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si="2"/>
        <v>2.7777777777777777</v>
      </c>
      <c r="D766" s="52">
        <f t="shared" si="3"/>
        <v>1.2592592592592593</v>
      </c>
      <c r="E766" s="52"/>
      <c r="F766" s="52"/>
    </row>
    <row r="767" spans="1:6" ht="14.5">
      <c r="A767" s="49">
        <v>44602</v>
      </c>
      <c r="B767" s="52">
        <v>6</v>
      </c>
      <c r="C767" s="52">
        <f t="shared" si="2"/>
        <v>2.7777777777777777</v>
      </c>
      <c r="D767" s="52">
        <f t="shared" si="3"/>
        <v>1.2592592592592593</v>
      </c>
      <c r="E767" s="52"/>
      <c r="F767" s="52"/>
    </row>
    <row r="768" spans="1:6" ht="14.5">
      <c r="A768" s="49">
        <v>44603</v>
      </c>
      <c r="B768" s="52">
        <v>6</v>
      </c>
      <c r="C768" s="52">
        <f t="shared" si="2"/>
        <v>2.7777777777777777</v>
      </c>
      <c r="D768" s="52">
        <f t="shared" si="3"/>
        <v>1.2592592592592593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2"/>
        <v>2.7777777777777777</v>
      </c>
      <c r="D769" s="52">
        <f t="shared" si="3"/>
        <v>1.2592592592592593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2"/>
        <v>2.7777777777777777</v>
      </c>
      <c r="D770" s="52">
        <f t="shared" si="3"/>
        <v>1.2592592592592593</v>
      </c>
      <c r="E770" s="52"/>
      <c r="F770" s="52"/>
    </row>
    <row r="771" spans="1:6" ht="14.5">
      <c r="A771" s="49">
        <v>44606</v>
      </c>
      <c r="B771" s="52">
        <v>7</v>
      </c>
      <c r="C771" s="52">
        <f t="shared" si="2"/>
        <v>2.7777777777777777</v>
      </c>
      <c r="D771" s="52">
        <f t="shared" si="3"/>
        <v>1.2592592592592593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si="2"/>
        <v>2.7777777777777777</v>
      </c>
      <c r="D772" s="52">
        <f t="shared" si="3"/>
        <v>1.2592592592592593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2"/>
        <v>2.7777777777777777</v>
      </c>
      <c r="D773" s="52">
        <f t="shared" si="3"/>
        <v>1.2592592592592593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2"/>
        <v>2.7777777777777777</v>
      </c>
      <c r="D774" s="52">
        <f t="shared" si="3"/>
        <v>1.2592592592592593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2"/>
        <v>2.7777777777777777</v>
      </c>
      <c r="D775" s="52">
        <f t="shared" si="3"/>
        <v>1.2592592592592593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2"/>
        <v>2.7777777777777777</v>
      </c>
      <c r="D776" s="52">
        <f t="shared" si="3"/>
        <v>1.2592592592592593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2"/>
        <v>2.7777777777777777</v>
      </c>
      <c r="D777" s="52">
        <f t="shared" si="3"/>
        <v>1.2592592592592593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2"/>
        <v>2.7777777777777777</v>
      </c>
      <c r="D778" s="52">
        <f t="shared" si="3"/>
        <v>1.2592592592592593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si="2"/>
        <v>2.7777777777777777</v>
      </c>
      <c r="D779" s="52">
        <f t="shared" si="3"/>
        <v>1.2592592592592593</v>
      </c>
      <c r="E779" s="52"/>
      <c r="F779" s="52"/>
    </row>
    <row r="780" spans="1:6" ht="14.5">
      <c r="A780" s="49">
        <v>44615</v>
      </c>
      <c r="B780" s="52">
        <v>8</v>
      </c>
      <c r="C780" s="52">
        <f t="shared" si="2"/>
        <v>2.7777777777777777</v>
      </c>
      <c r="D780" s="52">
        <f t="shared" si="3"/>
        <v>1.2592592592592593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si="2"/>
        <v>2.7777777777777777</v>
      </c>
      <c r="D781" s="52">
        <f t="shared" si="3"/>
        <v>1.2592592592592593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2"/>
        <v>2.7777777777777777</v>
      </c>
      <c r="D782" s="52">
        <f t="shared" si="3"/>
        <v>1.2592592592592593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2"/>
        <v>2.7777777777777777</v>
      </c>
      <c r="D783" s="52">
        <f t="shared" si="3"/>
        <v>1.2592592592592593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2"/>
        <v>2.7777777777777777</v>
      </c>
      <c r="D784" s="52">
        <f t="shared" si="3"/>
        <v>1.2592592592592593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2"/>
        <v>2.7777777777777777</v>
      </c>
      <c r="D785" s="52">
        <f t="shared" si="3"/>
        <v>1.2592592592592593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69:G370"/>
    <mergeCell ref="G375:G376"/>
    <mergeCell ref="G470:G471"/>
    <mergeCell ref="A1:F1"/>
    <mergeCell ref="A2:F2"/>
    <mergeCell ref="A3:F3"/>
    <mergeCell ref="A4:F4"/>
    <mergeCell ref="A5:F5"/>
    <mergeCell ref="A6:F6"/>
    <mergeCell ref="G365:G367"/>
  </mergeCells>
  <phoneticPr fontId="13"/>
  <hyperlinks>
    <hyperlink ref="A2" r:id="rId1" xr:uid="{00000000-0004-0000-1A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56</v>
      </c>
      <c r="B1" s="112"/>
      <c r="C1" s="112"/>
      <c r="D1" s="112"/>
      <c r="E1" s="112"/>
      <c r="F1" s="113"/>
      <c r="G1" s="69" t="s">
        <v>86</v>
      </c>
    </row>
    <row r="2" spans="1:7" ht="31.25" customHeight="1">
      <c r="A2" s="123" t="s">
        <v>325</v>
      </c>
      <c r="B2" s="115"/>
      <c r="C2" s="115"/>
      <c r="D2" s="115"/>
      <c r="E2" s="115"/>
      <c r="F2" s="116"/>
      <c r="G2" s="4" t="s">
        <v>303</v>
      </c>
    </row>
    <row r="3" spans="1:7" ht="15" customHeight="1">
      <c r="A3" s="118" t="s">
        <v>326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21"/>
      <c r="F8" s="21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2"/>
    </row>
    <row r="24" spans="1:6" ht="15" customHeight="1">
      <c r="A24" s="25">
        <v>43859</v>
      </c>
      <c r="B24" s="26">
        <v>3</v>
      </c>
      <c r="C24" s="22"/>
      <c r="D24" s="22"/>
      <c r="E24" s="22"/>
      <c r="F24" s="29"/>
    </row>
    <row r="25" spans="1:6" ht="15" customHeight="1">
      <c r="A25" s="25">
        <v>43860</v>
      </c>
      <c r="B25" s="26">
        <v>3</v>
      </c>
      <c r="C25" s="22"/>
      <c r="D25" s="22"/>
      <c r="E25" s="22"/>
      <c r="F25" s="30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22"/>
    </row>
    <row r="30" spans="1:6" ht="15" customHeight="1">
      <c r="A30" s="25">
        <v>43865</v>
      </c>
      <c r="B30" s="26">
        <v>4</v>
      </c>
      <c r="C30" s="22"/>
      <c r="D30" s="22"/>
      <c r="E30" s="22"/>
      <c r="F30" s="30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9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22"/>
    </row>
    <row r="42" spans="1:6" ht="15" customHeight="1">
      <c r="A42" s="25">
        <v>43877</v>
      </c>
      <c r="B42" s="26">
        <v>5</v>
      </c>
      <c r="C42" s="22"/>
      <c r="D42" s="22"/>
      <c r="E42" s="22"/>
      <c r="F42" s="31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9"/>
    </row>
    <row r="45" spans="1:6" ht="15" customHeight="1">
      <c r="A45" s="25">
        <v>43880</v>
      </c>
      <c r="B45" s="26">
        <v>6</v>
      </c>
      <c r="C45" s="22"/>
      <c r="D45" s="22"/>
      <c r="E45" s="22"/>
      <c r="F45" s="22"/>
    </row>
    <row r="46" spans="1:6" ht="15" customHeight="1">
      <c r="A46" s="25">
        <v>43881</v>
      </c>
      <c r="B46" s="26">
        <v>6</v>
      </c>
      <c r="C46" s="22"/>
      <c r="D46" s="22"/>
      <c r="E46" s="22"/>
      <c r="F46" s="29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  <c r="G123" s="70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35"/>
      <c r="F206" s="22"/>
    </row>
    <row r="207" spans="1:6" ht="14.5">
      <c r="A207" s="25">
        <v>44042</v>
      </c>
      <c r="B207" s="26">
        <v>29</v>
      </c>
      <c r="C207" s="22">
        <v>2</v>
      </c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35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>
        <v>1</v>
      </c>
      <c r="D217" s="22"/>
      <c r="E217" s="35"/>
      <c r="F217" s="22"/>
    </row>
    <row r="218" spans="1:6" ht="14.5">
      <c r="A218" s="25">
        <v>44053</v>
      </c>
      <c r="B218" s="26">
        <v>31</v>
      </c>
      <c r="C218" s="22"/>
      <c r="D218" s="22"/>
      <c r="E218" s="35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>
        <v>1</v>
      </c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  <c r="G232" s="70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>
        <v>2</v>
      </c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>
        <v>2</v>
      </c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>
        <v>2</v>
      </c>
      <c r="D270" s="22"/>
      <c r="E270" s="35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>
        <v>1</v>
      </c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35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>
        <v>1</v>
      </c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>
        <v>1</v>
      </c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>
        <v>1</v>
      </c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35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7" ht="14.5">
      <c r="A305" s="25">
        <v>44140</v>
      </c>
      <c r="B305" s="26">
        <v>43</v>
      </c>
      <c r="C305" s="22">
        <v>1</v>
      </c>
      <c r="D305" s="22"/>
      <c r="E305" s="22"/>
      <c r="F305" s="22"/>
    </row>
    <row r="306" spans="1:7" ht="14.5">
      <c r="A306" s="25">
        <v>44141</v>
      </c>
      <c r="B306" s="26">
        <v>43</v>
      </c>
      <c r="C306" s="22"/>
      <c r="D306" s="22"/>
      <c r="E306" s="22"/>
      <c r="F306" s="22"/>
    </row>
    <row r="307" spans="1:7" ht="14.5">
      <c r="A307" s="25">
        <v>44142</v>
      </c>
      <c r="B307" s="26">
        <v>43</v>
      </c>
      <c r="C307" s="22"/>
      <c r="D307" s="22"/>
      <c r="E307" s="22"/>
      <c r="F307" s="22"/>
    </row>
    <row r="308" spans="1:7" ht="14.5">
      <c r="A308" s="25">
        <v>44143</v>
      </c>
      <c r="B308" s="26">
        <v>43</v>
      </c>
      <c r="C308" s="22"/>
      <c r="D308" s="22"/>
      <c r="E308" s="22"/>
      <c r="F308" s="22"/>
    </row>
    <row r="309" spans="1:7" ht="15.5">
      <c r="A309" s="25">
        <v>44144</v>
      </c>
      <c r="B309" s="26">
        <v>44</v>
      </c>
      <c r="C309" s="32">
        <v>18</v>
      </c>
      <c r="D309" s="22"/>
      <c r="E309" s="22"/>
      <c r="F309" s="22"/>
      <c r="G309" s="78" t="s">
        <v>327</v>
      </c>
    </row>
    <row r="310" spans="1:7" ht="14.5">
      <c r="A310" s="25">
        <v>44145</v>
      </c>
      <c r="B310" s="26">
        <v>44</v>
      </c>
      <c r="C310" s="22"/>
      <c r="D310" s="22"/>
      <c r="E310" s="22"/>
      <c r="F310" s="22"/>
    </row>
    <row r="311" spans="1:7" ht="15.5">
      <c r="A311" s="25">
        <v>44146</v>
      </c>
      <c r="B311" s="26">
        <v>44</v>
      </c>
      <c r="C311" s="32">
        <v>1</v>
      </c>
      <c r="D311" s="22"/>
      <c r="E311" s="22"/>
      <c r="F311" s="22"/>
      <c r="G311" s="78" t="s">
        <v>328</v>
      </c>
    </row>
    <row r="312" spans="1:7" ht="15.5">
      <c r="A312" s="25">
        <v>44147</v>
      </c>
      <c r="B312" s="26">
        <v>44</v>
      </c>
      <c r="C312" s="32">
        <v>2</v>
      </c>
      <c r="D312" s="22"/>
      <c r="E312" s="22"/>
      <c r="F312" s="22"/>
      <c r="G312" s="78" t="s">
        <v>329</v>
      </c>
    </row>
    <row r="313" spans="1:7" ht="14.5">
      <c r="A313" s="25">
        <v>44148</v>
      </c>
      <c r="B313" s="26">
        <v>44</v>
      </c>
      <c r="C313" s="22"/>
      <c r="D313" s="22"/>
      <c r="E313" s="22"/>
      <c r="F313" s="22"/>
    </row>
    <row r="314" spans="1:7" ht="14.5">
      <c r="A314" s="25">
        <v>44149</v>
      </c>
      <c r="B314" s="26">
        <v>44</v>
      </c>
      <c r="C314" s="22"/>
      <c r="D314" s="22"/>
      <c r="E314" s="22"/>
      <c r="F314" s="22"/>
    </row>
    <row r="315" spans="1:7" ht="14.5">
      <c r="A315" s="25">
        <v>44150</v>
      </c>
      <c r="B315" s="26">
        <v>44</v>
      </c>
      <c r="C315" s="22"/>
      <c r="D315" s="22"/>
      <c r="E315" s="22"/>
      <c r="F315" s="22"/>
    </row>
    <row r="316" spans="1:7" ht="14.5">
      <c r="A316" s="25">
        <v>44151</v>
      </c>
      <c r="B316" s="26">
        <v>45</v>
      </c>
      <c r="C316" s="22"/>
      <c r="D316" s="22"/>
      <c r="E316" s="22"/>
      <c r="F316" s="22"/>
    </row>
    <row r="317" spans="1:7" ht="14.5">
      <c r="A317" s="25">
        <v>44152</v>
      </c>
      <c r="B317" s="26">
        <v>45</v>
      </c>
      <c r="C317" s="22"/>
      <c r="D317" s="22"/>
      <c r="E317" s="35"/>
      <c r="F317" s="22"/>
    </row>
    <row r="318" spans="1:7" ht="14.5">
      <c r="A318" s="25">
        <v>44153</v>
      </c>
      <c r="B318" s="26">
        <v>45</v>
      </c>
      <c r="C318" s="22"/>
      <c r="D318" s="22"/>
      <c r="E318" s="22"/>
      <c r="F318" s="22"/>
    </row>
    <row r="319" spans="1:7" ht="14.5">
      <c r="A319" s="25">
        <v>44154</v>
      </c>
      <c r="B319" s="26">
        <v>45</v>
      </c>
      <c r="C319" s="22">
        <v>3</v>
      </c>
      <c r="D319" s="22"/>
      <c r="E319" s="22"/>
      <c r="F319" s="22"/>
    </row>
    <row r="320" spans="1:7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>
        <v>2</v>
      </c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35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35"/>
      <c r="F332" s="22"/>
    </row>
    <row r="333" spans="1:6" ht="14.5">
      <c r="A333" s="25">
        <v>44168</v>
      </c>
      <c r="B333" s="26">
        <v>47</v>
      </c>
      <c r="C333" s="22">
        <v>1</v>
      </c>
      <c r="D333" s="22">
        <v>1</v>
      </c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35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>
        <v>8</v>
      </c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4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7" ht="14.5">
      <c r="A353" s="25">
        <v>44188</v>
      </c>
      <c r="B353" s="26">
        <v>50</v>
      </c>
      <c r="C353" s="22"/>
      <c r="D353" s="22"/>
      <c r="E353" s="35"/>
      <c r="F353" s="22"/>
    </row>
    <row r="354" spans="1:7" ht="14.5">
      <c r="A354" s="25">
        <v>44189</v>
      </c>
      <c r="B354" s="26">
        <v>50</v>
      </c>
      <c r="C354" s="22"/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>
        <v>6</v>
      </c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/>
      <c r="D368" s="22"/>
      <c r="E368" s="22"/>
      <c r="F368" s="22"/>
      <c r="G368" s="126"/>
    </row>
    <row r="369" spans="1:7" ht="14.5">
      <c r="A369" s="25">
        <v>44204</v>
      </c>
      <c r="B369" s="26">
        <v>1</v>
      </c>
      <c r="C369" s="22"/>
      <c r="D369" s="22"/>
      <c r="E369" s="22"/>
      <c r="F369" s="22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  <c r="G371" s="126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/>
      <c r="D373" s="22"/>
      <c r="E373" s="22"/>
      <c r="F373" s="22"/>
    </row>
    <row r="374" spans="1:7" ht="14.5">
      <c r="A374" s="25">
        <v>44209</v>
      </c>
      <c r="B374" s="26">
        <v>2</v>
      </c>
      <c r="C374" s="22">
        <v>3</v>
      </c>
      <c r="D374" s="22"/>
      <c r="E374" s="22"/>
      <c r="F374" s="35"/>
    </row>
    <row r="375" spans="1:7" ht="14.5">
      <c r="A375" s="25">
        <v>44210</v>
      </c>
      <c r="B375" s="26">
        <v>2</v>
      </c>
      <c r="C375" s="22"/>
      <c r="D375" s="22"/>
      <c r="E375" s="22"/>
      <c r="F375" s="22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  <c r="G377" s="126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/>
      <c r="D379" s="22"/>
      <c r="E379" s="22"/>
      <c r="F379" s="22"/>
    </row>
    <row r="380" spans="1:7" ht="14.5">
      <c r="A380" s="25">
        <v>44215</v>
      </c>
      <c r="B380" s="26">
        <v>3</v>
      </c>
      <c r="C380" s="22"/>
      <c r="D380" s="22"/>
      <c r="E380" s="35"/>
      <c r="F380" s="22"/>
    </row>
    <row r="381" spans="1:7" ht="14.5">
      <c r="A381" s="25">
        <v>44216</v>
      </c>
      <c r="B381" s="26">
        <v>3</v>
      </c>
      <c r="C381" s="22">
        <v>3</v>
      </c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22"/>
      <c r="F383" s="22"/>
    </row>
    <row r="384" spans="1:7" ht="14.5">
      <c r="A384" s="25">
        <v>44219</v>
      </c>
      <c r="B384" s="26">
        <v>3</v>
      </c>
      <c r="C384" s="22"/>
      <c r="D384" s="22"/>
      <c r="E384" s="35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/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>
        <v>3</v>
      </c>
      <c r="D388" s="22"/>
      <c r="E388" s="22"/>
      <c r="F388" s="22"/>
    </row>
    <row r="389" spans="1:7" ht="14.5">
      <c r="A389" s="25">
        <v>44224</v>
      </c>
      <c r="B389" s="26">
        <v>4</v>
      </c>
      <c r="C389" s="22"/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22"/>
      <c r="F390" s="22"/>
    </row>
    <row r="391" spans="1:7" ht="14.5">
      <c r="A391" s="25">
        <v>44226</v>
      </c>
      <c r="B391" s="26">
        <v>4</v>
      </c>
      <c r="C391" s="22"/>
      <c r="D391" s="22"/>
      <c r="E391" s="43"/>
      <c r="F391" s="22"/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/>
      <c r="D393" s="22"/>
      <c r="E393" s="22"/>
      <c r="F393" s="22"/>
    </row>
    <row r="394" spans="1:7" ht="14.5">
      <c r="A394" s="25">
        <v>44229</v>
      </c>
      <c r="B394" s="26">
        <v>5</v>
      </c>
      <c r="C394" s="22"/>
      <c r="D394" s="22"/>
      <c r="E394" s="22"/>
      <c r="F394" s="22"/>
    </row>
    <row r="395" spans="1:7" ht="14.5">
      <c r="A395" s="25">
        <v>44230</v>
      </c>
      <c r="B395" s="26">
        <v>5</v>
      </c>
      <c r="C395" s="22">
        <v>6</v>
      </c>
      <c r="D395" s="22"/>
      <c r="E395" s="22"/>
      <c r="F395" s="22"/>
    </row>
    <row r="396" spans="1:7" ht="14.5">
      <c r="A396" s="25">
        <v>44231</v>
      </c>
      <c r="B396" s="26">
        <v>5</v>
      </c>
      <c r="C396" s="22"/>
      <c r="D396" s="22"/>
      <c r="E396" s="22"/>
      <c r="F396" s="22"/>
    </row>
    <row r="397" spans="1:7" ht="15.5">
      <c r="A397" s="25">
        <v>44232</v>
      </c>
      <c r="B397" s="26">
        <v>5</v>
      </c>
      <c r="C397" s="22"/>
      <c r="D397" s="22"/>
      <c r="E397" s="22"/>
      <c r="F397" s="22"/>
      <c r="G397" s="77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35"/>
    </row>
    <row r="410" spans="1:6" ht="14.5">
      <c r="A410" s="25">
        <v>44245</v>
      </c>
      <c r="B410" s="26">
        <v>7</v>
      </c>
      <c r="C410" s="22">
        <v>1</v>
      </c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7" ht="14.5">
      <c r="A433" s="25">
        <v>44268</v>
      </c>
      <c r="B433" s="26">
        <v>10</v>
      </c>
      <c r="C433" s="22"/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/>
      <c r="D435" s="22"/>
      <c r="E435" s="22"/>
      <c r="F435" s="22"/>
    </row>
    <row r="436" spans="1:7" ht="14.5">
      <c r="A436" s="25">
        <v>44271</v>
      </c>
      <c r="B436" s="26">
        <v>11</v>
      </c>
      <c r="C436" s="22"/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/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/>
      <c r="D442" s="22"/>
      <c r="E442" s="22"/>
      <c r="F442" s="22"/>
    </row>
    <row r="443" spans="1:7" ht="14.5">
      <c r="A443" s="25">
        <v>44278</v>
      </c>
      <c r="B443" s="26">
        <v>12</v>
      </c>
      <c r="C443" s="22"/>
      <c r="D443" s="22"/>
      <c r="E443" s="22"/>
      <c r="F443" s="22"/>
    </row>
    <row r="444" spans="1:7" ht="15.5">
      <c r="A444" s="25">
        <v>44279</v>
      </c>
      <c r="B444" s="26">
        <v>12</v>
      </c>
      <c r="C444" s="22"/>
      <c r="D444" s="22"/>
      <c r="E444" s="22"/>
      <c r="F444" s="22"/>
      <c r="G444" s="77"/>
    </row>
    <row r="445" spans="1:7" ht="14.5">
      <c r="A445" s="25">
        <v>44280</v>
      </c>
      <c r="B445" s="26">
        <v>12</v>
      </c>
      <c r="C445" s="22"/>
      <c r="D445" s="22"/>
      <c r="E445" s="22"/>
      <c r="F445" s="22"/>
    </row>
    <row r="446" spans="1:7" ht="14.5">
      <c r="A446" s="25">
        <v>44281</v>
      </c>
      <c r="B446" s="26">
        <v>12</v>
      </c>
      <c r="C446" s="22">
        <v>1</v>
      </c>
      <c r="D446" s="22"/>
      <c r="E446" s="22"/>
      <c r="F446" s="22"/>
    </row>
    <row r="447" spans="1:7" ht="14.5">
      <c r="A447" s="25">
        <v>44282</v>
      </c>
      <c r="B447" s="26">
        <v>12</v>
      </c>
      <c r="C447" s="22"/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35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13</v>
      </c>
      <c r="D458" s="22">
        <v>1</v>
      </c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35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>
        <v>9</v>
      </c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>
        <v>3</v>
      </c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>
        <v>16</v>
      </c>
      <c r="D472" s="22"/>
      <c r="E472" s="22"/>
      <c r="F472" s="22"/>
      <c r="G472" s="126"/>
    </row>
    <row r="473" spans="1:7" ht="14.5">
      <c r="A473" s="25">
        <v>44308</v>
      </c>
      <c r="B473" s="26">
        <v>16</v>
      </c>
      <c r="C473" s="22">
        <v>1</v>
      </c>
      <c r="D473" s="22"/>
      <c r="E473" s="22"/>
      <c r="F473" s="22"/>
    </row>
    <row r="474" spans="1:7" ht="14.5">
      <c r="A474" s="25">
        <v>44309</v>
      </c>
      <c r="B474" s="26">
        <v>16</v>
      </c>
      <c r="C474" s="22">
        <v>1</v>
      </c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>
        <v>1</v>
      </c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>
        <v>7</v>
      </c>
      <c r="D481" s="22"/>
      <c r="E481" s="22"/>
      <c r="F481" s="22"/>
    </row>
    <row r="482" spans="1:7" ht="15.5">
      <c r="A482" s="25">
        <v>44317</v>
      </c>
      <c r="B482" s="26">
        <v>17</v>
      </c>
      <c r="C482" s="22"/>
      <c r="D482" s="22"/>
      <c r="E482" s="22"/>
      <c r="F482" s="22"/>
      <c r="G482" s="7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  <c r="G483" s="17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22"/>
      <c r="F487" s="22"/>
    </row>
    <row r="488" spans="1:7" ht="14.5">
      <c r="A488" s="25">
        <v>44323</v>
      </c>
      <c r="B488" s="26">
        <v>18</v>
      </c>
      <c r="C488" s="22">
        <v>2</v>
      </c>
      <c r="D488" s="22"/>
      <c r="E488" s="35"/>
      <c r="F488" s="22"/>
    </row>
    <row r="489" spans="1:7" ht="14.5">
      <c r="A489" s="25">
        <v>44324</v>
      </c>
      <c r="B489" s="26">
        <v>18</v>
      </c>
      <c r="C489" s="22"/>
      <c r="D489" s="22"/>
      <c r="E489" s="35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>
        <v>7</v>
      </c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>
        <v>1</v>
      </c>
      <c r="E493" s="22"/>
      <c r="F493" s="22"/>
    </row>
    <row r="494" spans="1:7" ht="14.5">
      <c r="A494" s="25">
        <v>44329</v>
      </c>
      <c r="B494" s="26">
        <v>19</v>
      </c>
      <c r="C494" s="22"/>
      <c r="D494" s="22"/>
      <c r="E494" s="35"/>
      <c r="F494" s="22"/>
    </row>
    <row r="495" spans="1:7" ht="14.5">
      <c r="A495" s="25">
        <v>44330</v>
      </c>
      <c r="B495" s="26">
        <v>19</v>
      </c>
      <c r="C495" s="22"/>
      <c r="D495" s="22"/>
      <c r="E495" s="35"/>
      <c r="F495" s="22"/>
    </row>
    <row r="496" spans="1:7" ht="14.5">
      <c r="A496" s="25">
        <v>44331</v>
      </c>
      <c r="B496" s="26">
        <v>19</v>
      </c>
      <c r="C496" s="22"/>
      <c r="D496" s="22"/>
      <c r="E496" s="35"/>
      <c r="F496" s="22"/>
    </row>
    <row r="497" spans="1:7" ht="14.5">
      <c r="A497" s="25">
        <v>44332</v>
      </c>
      <c r="B497" s="26">
        <v>19</v>
      </c>
      <c r="C497" s="22"/>
      <c r="D497" s="22"/>
      <c r="E497" s="22"/>
      <c r="F497" s="22"/>
    </row>
    <row r="498" spans="1:7" ht="14.5">
      <c r="A498" s="25">
        <v>44333</v>
      </c>
      <c r="B498" s="26">
        <v>20</v>
      </c>
      <c r="C498" s="22"/>
      <c r="D498" s="22"/>
      <c r="E498" s="22"/>
      <c r="F498" s="22"/>
    </row>
    <row r="499" spans="1:7" ht="14.5">
      <c r="A499" s="25">
        <v>44334</v>
      </c>
      <c r="B499" s="26">
        <v>20</v>
      </c>
      <c r="C499" s="22"/>
      <c r="D499" s="22"/>
      <c r="E499" s="22"/>
      <c r="F499" s="22"/>
    </row>
    <row r="500" spans="1:7" ht="14.5">
      <c r="A500" s="25">
        <v>44335</v>
      </c>
      <c r="B500" s="26">
        <v>20</v>
      </c>
      <c r="C500" s="22">
        <v>14</v>
      </c>
      <c r="D500" s="22"/>
      <c r="E500" s="35"/>
      <c r="F500" s="22"/>
    </row>
    <row r="501" spans="1:7" ht="14.5">
      <c r="A501" s="25">
        <v>44336</v>
      </c>
      <c r="B501" s="26">
        <v>20</v>
      </c>
      <c r="C501" s="22"/>
      <c r="D501" s="22"/>
      <c r="E501" s="22"/>
      <c r="F501" s="22"/>
    </row>
    <row r="502" spans="1:7" ht="15.5">
      <c r="A502" s="25">
        <v>44337</v>
      </c>
      <c r="B502" s="26">
        <v>20</v>
      </c>
      <c r="C502" s="22"/>
      <c r="D502" s="22"/>
      <c r="E502" s="22"/>
      <c r="F502" s="22"/>
      <c r="G502" s="77"/>
    </row>
    <row r="503" spans="1:7" ht="14.5">
      <c r="A503" s="25">
        <v>44338</v>
      </c>
      <c r="B503" s="26">
        <v>20</v>
      </c>
      <c r="C503" s="22"/>
      <c r="D503" s="22"/>
      <c r="E503" s="22"/>
      <c r="F503" s="22"/>
    </row>
    <row r="504" spans="1:7" ht="14.5">
      <c r="A504" s="25">
        <v>44339</v>
      </c>
      <c r="B504" s="26">
        <v>20</v>
      </c>
      <c r="C504" s="22"/>
      <c r="D504" s="22"/>
      <c r="E504" s="22"/>
      <c r="F504" s="22"/>
    </row>
    <row r="505" spans="1:7" ht="14.5">
      <c r="A505" s="25">
        <v>44340</v>
      </c>
      <c r="B505" s="26">
        <v>21</v>
      </c>
      <c r="C505" s="22"/>
      <c r="D505" s="22"/>
      <c r="E505" s="22"/>
      <c r="F505" s="22"/>
    </row>
    <row r="506" spans="1:7" ht="14.5">
      <c r="A506" s="25">
        <v>44341</v>
      </c>
      <c r="B506" s="26">
        <v>21</v>
      </c>
      <c r="C506" s="22"/>
      <c r="D506" s="22"/>
      <c r="E506" s="22"/>
      <c r="F506" s="22"/>
    </row>
    <row r="507" spans="1:7" ht="14.5">
      <c r="A507" s="25">
        <v>44342</v>
      </c>
      <c r="B507" s="26">
        <v>21</v>
      </c>
      <c r="C507" s="22"/>
      <c r="D507" s="22"/>
      <c r="E507" s="22"/>
      <c r="F507" s="22"/>
    </row>
    <row r="508" spans="1:7" ht="14.5">
      <c r="A508" s="25">
        <v>44343</v>
      </c>
      <c r="B508" s="26">
        <v>21</v>
      </c>
      <c r="C508" s="22"/>
      <c r="D508" s="22"/>
      <c r="E508" s="22"/>
      <c r="F508" s="22"/>
    </row>
    <row r="509" spans="1:7" ht="14.5">
      <c r="A509" s="25">
        <v>44344</v>
      </c>
      <c r="B509" s="26">
        <v>21</v>
      </c>
      <c r="C509" s="22"/>
      <c r="D509" s="22"/>
      <c r="E509" s="22"/>
      <c r="F509" s="22"/>
    </row>
    <row r="510" spans="1:7" ht="14.5">
      <c r="A510" s="25">
        <v>44345</v>
      </c>
      <c r="B510" s="26">
        <v>21</v>
      </c>
      <c r="C510" s="22"/>
      <c r="D510" s="22"/>
      <c r="E510" s="22"/>
      <c r="F510" s="22"/>
    </row>
    <row r="511" spans="1:7" ht="14.5">
      <c r="A511" s="25">
        <v>44346</v>
      </c>
      <c r="B511" s="26">
        <v>21</v>
      </c>
      <c r="C511" s="22"/>
      <c r="D511" s="22"/>
      <c r="E511" s="22"/>
      <c r="F511" s="22"/>
    </row>
    <row r="512" spans="1:7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>
        <v>5</v>
      </c>
      <c r="D513" s="22"/>
      <c r="E513" s="35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35"/>
      <c r="F527" s="22"/>
    </row>
    <row r="528" spans="1:6" ht="14.5">
      <c r="A528" s="25">
        <v>44363</v>
      </c>
      <c r="B528" s="26">
        <v>24</v>
      </c>
      <c r="C528" s="22">
        <v>6</v>
      </c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35"/>
      <c r="F534" s="22"/>
    </row>
    <row r="535" spans="1:6" ht="14.5">
      <c r="A535" s="25">
        <v>44370</v>
      </c>
      <c r="B535" s="26">
        <v>25</v>
      </c>
      <c r="C535" s="22"/>
      <c r="D535" s="22"/>
      <c r="E535" s="22"/>
      <c r="F535" s="22"/>
    </row>
    <row r="536" spans="1:6" ht="14.5">
      <c r="A536" s="25">
        <v>44371</v>
      </c>
      <c r="B536" s="26">
        <v>25</v>
      </c>
      <c r="C536" s="22">
        <v>2</v>
      </c>
      <c r="D536" s="22"/>
      <c r="E536" s="22"/>
      <c r="F536" s="22"/>
    </row>
    <row r="537" spans="1:6" ht="14.5">
      <c r="A537" s="25">
        <v>44372</v>
      </c>
      <c r="B537" s="26">
        <v>25</v>
      </c>
      <c r="C537" s="22"/>
      <c r="D537" s="22"/>
      <c r="E537" s="22"/>
      <c r="F537" s="22"/>
    </row>
    <row r="538" spans="1:6" ht="14.5">
      <c r="A538" s="25">
        <v>44373</v>
      </c>
      <c r="B538" s="26">
        <v>25</v>
      </c>
      <c r="C538" s="22"/>
      <c r="D538" s="22"/>
      <c r="E538" s="22"/>
      <c r="F538" s="22"/>
    </row>
    <row r="539" spans="1:6" ht="14.5">
      <c r="A539" s="25">
        <v>44374</v>
      </c>
      <c r="B539" s="26">
        <v>25</v>
      </c>
      <c r="C539" s="22"/>
      <c r="D539" s="22"/>
      <c r="E539" s="22"/>
      <c r="F539" s="22"/>
    </row>
    <row r="540" spans="1:6" ht="14.5">
      <c r="A540" s="25">
        <v>44375</v>
      </c>
      <c r="B540" s="26">
        <v>25</v>
      </c>
      <c r="C540" s="22"/>
      <c r="D540" s="22"/>
      <c r="E540" s="22"/>
      <c r="F540" s="22"/>
    </row>
    <row r="541" spans="1:6" ht="14.5">
      <c r="A541" s="25">
        <v>44376</v>
      </c>
      <c r="B541" s="26">
        <v>26</v>
      </c>
      <c r="C541" s="22"/>
      <c r="D541" s="22"/>
      <c r="E541" s="22"/>
      <c r="F541" s="22"/>
    </row>
    <row r="542" spans="1:6" ht="14.5">
      <c r="A542" s="25">
        <v>44377</v>
      </c>
      <c r="B542" s="26">
        <v>26</v>
      </c>
      <c r="C542" s="22">
        <v>3</v>
      </c>
      <c r="D542" s="22">
        <v>1</v>
      </c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2">
        <v>27</v>
      </c>
      <c r="C547" s="22"/>
      <c r="D547" s="22"/>
      <c r="E547" s="22"/>
      <c r="F547" s="22"/>
    </row>
    <row r="548" spans="1:6" ht="14.5">
      <c r="A548" s="25">
        <v>44383</v>
      </c>
      <c r="B548" s="22">
        <v>27</v>
      </c>
      <c r="C548" s="22"/>
      <c r="D548" s="22"/>
      <c r="E548" s="22"/>
      <c r="F548" s="22"/>
    </row>
    <row r="549" spans="1:6" ht="14.5">
      <c r="A549" s="25">
        <v>44384</v>
      </c>
      <c r="B549" s="22">
        <v>27</v>
      </c>
      <c r="C549" s="22">
        <v>4</v>
      </c>
      <c r="D549" s="22"/>
      <c r="E549" s="22"/>
      <c r="F549" s="22"/>
    </row>
    <row r="550" spans="1:6" ht="14.5">
      <c r="A550" s="25">
        <v>44385</v>
      </c>
      <c r="B550" s="22">
        <v>27</v>
      </c>
      <c r="C550" s="22"/>
      <c r="D550" s="22"/>
      <c r="E550" s="22"/>
      <c r="F550" s="22"/>
    </row>
    <row r="551" spans="1:6" ht="14.5">
      <c r="A551" s="25">
        <v>44386</v>
      </c>
      <c r="B551" s="22">
        <v>27</v>
      </c>
      <c r="C551" s="22"/>
      <c r="D551" s="22"/>
      <c r="E551" s="22"/>
      <c r="F551" s="22"/>
    </row>
    <row r="552" spans="1:6" ht="14.5">
      <c r="A552" s="25">
        <v>44387</v>
      </c>
      <c r="B552" s="22">
        <v>27</v>
      </c>
      <c r="C552" s="22"/>
      <c r="D552" s="22"/>
      <c r="E552" s="22"/>
      <c r="F552" s="22"/>
    </row>
    <row r="553" spans="1:6" ht="14.5">
      <c r="A553" s="25">
        <v>44388</v>
      </c>
      <c r="B553" s="22">
        <v>27</v>
      </c>
      <c r="C553" s="22"/>
      <c r="D553" s="22"/>
      <c r="E553" s="22"/>
      <c r="F553" s="22"/>
    </row>
    <row r="554" spans="1:6" ht="14.5">
      <c r="A554" s="25">
        <v>44389</v>
      </c>
      <c r="B554" s="22">
        <v>28</v>
      </c>
      <c r="C554" s="22"/>
      <c r="D554" s="22"/>
      <c r="E554" s="22"/>
      <c r="F554" s="22"/>
    </row>
    <row r="555" spans="1:6" ht="14.5">
      <c r="A555" s="25">
        <v>44390</v>
      </c>
      <c r="B555" s="22">
        <v>28</v>
      </c>
      <c r="C555" s="22"/>
      <c r="D555" s="22"/>
      <c r="E555" s="22"/>
      <c r="F555" s="22"/>
    </row>
    <row r="556" spans="1:6" ht="14.5">
      <c r="A556" s="25">
        <v>44391</v>
      </c>
      <c r="B556" s="22">
        <v>28</v>
      </c>
      <c r="C556" s="22">
        <v>5</v>
      </c>
      <c r="D556" s="22"/>
      <c r="E556" s="22"/>
      <c r="F556" s="22"/>
    </row>
    <row r="557" spans="1:6" ht="14.5">
      <c r="A557" s="25">
        <v>44392</v>
      </c>
      <c r="B557" s="22">
        <v>28</v>
      </c>
      <c r="C557" s="22"/>
      <c r="D557" s="22"/>
      <c r="E557" s="22"/>
      <c r="F557" s="22"/>
    </row>
    <row r="558" spans="1:6" ht="14.5">
      <c r="A558" s="25">
        <v>44393</v>
      </c>
      <c r="B558" s="22">
        <v>28</v>
      </c>
      <c r="C558" s="22"/>
      <c r="D558" s="22"/>
      <c r="E558" s="22"/>
      <c r="F558" s="22"/>
    </row>
    <row r="559" spans="1:6" ht="14.5">
      <c r="A559" s="25">
        <v>44394</v>
      </c>
      <c r="B559" s="22">
        <v>28</v>
      </c>
      <c r="C559" s="22"/>
      <c r="D559" s="22"/>
      <c r="E559" s="22"/>
      <c r="F559" s="22"/>
    </row>
    <row r="560" spans="1:6" ht="14.5">
      <c r="A560" s="25">
        <v>44395</v>
      </c>
      <c r="B560" s="22">
        <v>28</v>
      </c>
      <c r="C560" s="22"/>
      <c r="D560" s="22"/>
      <c r="E560" s="22"/>
      <c r="F560" s="22"/>
    </row>
    <row r="561" spans="1:6" ht="14.5">
      <c r="A561" s="25">
        <v>44396</v>
      </c>
      <c r="B561" s="22">
        <v>29</v>
      </c>
      <c r="C561" s="22"/>
      <c r="D561" s="22"/>
      <c r="E561" s="22"/>
      <c r="F561" s="22"/>
    </row>
    <row r="562" spans="1:6" ht="14.5">
      <c r="A562" s="25">
        <v>44397</v>
      </c>
      <c r="B562" s="22">
        <v>29</v>
      </c>
      <c r="C562" s="22"/>
      <c r="D562" s="22"/>
      <c r="E562" s="22"/>
      <c r="F562" s="22"/>
    </row>
    <row r="563" spans="1:6" ht="14.5">
      <c r="A563" s="25">
        <v>44398</v>
      </c>
      <c r="B563" s="22">
        <v>29</v>
      </c>
      <c r="C563" s="22">
        <v>5</v>
      </c>
      <c r="D563" s="22"/>
      <c r="E563" s="22"/>
      <c r="F563" s="22"/>
    </row>
    <row r="564" spans="1:6" ht="14.5">
      <c r="A564" s="25">
        <v>44399</v>
      </c>
      <c r="B564" s="26">
        <v>29</v>
      </c>
      <c r="C564" s="22"/>
      <c r="D564" s="22"/>
      <c r="E564" s="22"/>
      <c r="F564" s="22"/>
    </row>
    <row r="565" spans="1:6" ht="14.5">
      <c r="A565" s="25">
        <v>44400</v>
      </c>
      <c r="B565" s="26">
        <v>29</v>
      </c>
      <c r="C565" s="22"/>
      <c r="D565" s="22"/>
      <c r="E565" s="22"/>
      <c r="F565" s="22"/>
    </row>
    <row r="566" spans="1:6" ht="14.5">
      <c r="A566" s="25">
        <v>44401</v>
      </c>
      <c r="B566" s="26">
        <v>29</v>
      </c>
      <c r="C566" s="22"/>
      <c r="D566" s="22"/>
      <c r="E566" s="22"/>
      <c r="F566" s="22"/>
    </row>
    <row r="567" spans="1:6" ht="14.5">
      <c r="A567" s="25">
        <v>44402</v>
      </c>
      <c r="B567" s="26">
        <v>29</v>
      </c>
      <c r="C567" s="22"/>
      <c r="D567" s="22"/>
      <c r="E567" s="22"/>
      <c r="F567" s="22"/>
    </row>
    <row r="568" spans="1:6" ht="14.5">
      <c r="A568" s="25">
        <v>44403</v>
      </c>
      <c r="B568" s="26">
        <v>30</v>
      </c>
      <c r="C568" s="22"/>
      <c r="D568" s="22"/>
      <c r="E568" s="39"/>
      <c r="F568" s="22"/>
    </row>
    <row r="569" spans="1:6" ht="14.5">
      <c r="A569" s="25">
        <v>44404</v>
      </c>
      <c r="B569" s="26">
        <v>30</v>
      </c>
      <c r="C569" s="22"/>
      <c r="D569" s="22"/>
      <c r="E569" s="39"/>
      <c r="F569" s="22"/>
    </row>
    <row r="570" spans="1:6" ht="14.5">
      <c r="A570" s="25">
        <v>44405</v>
      </c>
      <c r="B570" s="26">
        <v>30</v>
      </c>
      <c r="C570" s="22">
        <v>7</v>
      </c>
      <c r="D570" s="22"/>
      <c r="E570" s="22"/>
      <c r="F570" s="2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v>7</v>
      </c>
      <c r="D575" s="22">
        <v>2</v>
      </c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v>6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v>2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/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v>21</v>
      </c>
      <c r="D600" s="22">
        <v>1</v>
      </c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v>24</v>
      </c>
      <c r="D606" s="22">
        <v>2</v>
      </c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v>33</v>
      </c>
      <c r="D620" s="22">
        <v>1</v>
      </c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v>4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>
        <v>3</v>
      </c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>
        <v>2</v>
      </c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5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v>3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6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9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8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16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v>11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v>17</v>
      </c>
      <c r="D745" s="22"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v>32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14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13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19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v>9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v>56</v>
      </c>
      <c r="D753" s="22">
        <v>2</v>
      </c>
      <c r="E753" s="22"/>
      <c r="F753" s="22"/>
    </row>
    <row r="754" spans="1:6" ht="14.5">
      <c r="A754" s="28">
        <v>44589</v>
      </c>
      <c r="B754" s="22">
        <v>4</v>
      </c>
      <c r="C754" s="22">
        <v>33</v>
      </c>
      <c r="D754" s="22">
        <v>2</v>
      </c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9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v>16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v>6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v>6</v>
      </c>
      <c r="D760" s="52">
        <v>3</v>
      </c>
      <c r="E760" s="52"/>
      <c r="F760" s="52"/>
    </row>
    <row r="761" spans="1:6" ht="14.5">
      <c r="A761" s="49">
        <v>44596</v>
      </c>
      <c r="B761" s="52">
        <v>5</v>
      </c>
      <c r="C761" s="52">
        <v>10</v>
      </c>
      <c r="D761" s="52">
        <v>1</v>
      </c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v>9</v>
      </c>
      <c r="D764" s="52">
        <v>1</v>
      </c>
      <c r="E764" s="52"/>
      <c r="F764" s="52"/>
    </row>
    <row r="765" spans="1:6" ht="14.5">
      <c r="A765" s="49">
        <v>44600</v>
      </c>
      <c r="B765" s="52">
        <v>6</v>
      </c>
      <c r="C765" s="52">
        <v>9</v>
      </c>
      <c r="D765" s="52">
        <v>3</v>
      </c>
      <c r="E765" s="52"/>
      <c r="F765" s="52"/>
    </row>
    <row r="766" spans="1:6" ht="14.5">
      <c r="A766" s="49">
        <v>44601</v>
      </c>
      <c r="B766" s="52">
        <v>6</v>
      </c>
      <c r="C766" s="52">
        <v>16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v>7</v>
      </c>
      <c r="D767" s="52">
        <v>1</v>
      </c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v>9</v>
      </c>
      <c r="D771" s="52">
        <v>2</v>
      </c>
      <c r="E771" s="52"/>
      <c r="F771" s="52"/>
    </row>
    <row r="772" spans="1:6" ht="14.5">
      <c r="A772" s="49">
        <v>44607</v>
      </c>
      <c r="B772" s="52">
        <v>7</v>
      </c>
      <c r="C772" s="52">
        <v>15</v>
      </c>
      <c r="D772" s="52">
        <v>4</v>
      </c>
      <c r="E772" s="52"/>
      <c r="F772" s="52"/>
    </row>
    <row r="773" spans="1:6" ht="14.5">
      <c r="A773" s="49">
        <v>44608</v>
      </c>
      <c r="B773" s="52">
        <v>7</v>
      </c>
      <c r="C773" s="52">
        <v>4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v>6</v>
      </c>
      <c r="D774" s="52">
        <v>2</v>
      </c>
      <c r="E774" s="52"/>
      <c r="F774" s="52"/>
    </row>
    <row r="775" spans="1:6" ht="14.5">
      <c r="A775" s="49">
        <v>44610</v>
      </c>
      <c r="B775" s="52">
        <v>7</v>
      </c>
      <c r="C775" s="52">
        <v>7</v>
      </c>
      <c r="D775" s="52">
        <v>1</v>
      </c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v>19</v>
      </c>
      <c r="D778" s="52">
        <v>1</v>
      </c>
      <c r="E778" s="52"/>
      <c r="F778" s="52"/>
    </row>
    <row r="779" spans="1:6" ht="14.5">
      <c r="A779" s="49">
        <v>44614</v>
      </c>
      <c r="B779" s="52">
        <v>8</v>
      </c>
      <c r="C779" s="52">
        <v>5</v>
      </c>
      <c r="D779" s="52">
        <v>1</v>
      </c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v>14</v>
      </c>
      <c r="D781" s="52">
        <v>1</v>
      </c>
      <c r="E781" s="52"/>
      <c r="F781" s="52"/>
    </row>
    <row r="782" spans="1:6" ht="14.5">
      <c r="A782" s="49">
        <v>44617</v>
      </c>
      <c r="B782" s="52">
        <v>8</v>
      </c>
      <c r="C782" s="52">
        <v>13</v>
      </c>
      <c r="D782" s="52">
        <v>1</v>
      </c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v>16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v>2</v>
      </c>
      <c r="D786" s="52">
        <v>2</v>
      </c>
      <c r="E786" s="52"/>
      <c r="F786" s="52"/>
    </row>
    <row r="787" spans="1:6" ht="14.5">
      <c r="A787" s="64">
        <v>44622</v>
      </c>
      <c r="B787" s="52">
        <v>9</v>
      </c>
      <c r="C787" s="52">
        <v>2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v>7</v>
      </c>
      <c r="D788" s="52">
        <v>1</v>
      </c>
      <c r="E788" s="52"/>
      <c r="F788" s="52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1B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  <pageSetUpPr fitToPage="1"/>
  </sheetPr>
  <dimension ref="A1:G859"/>
  <sheetViews>
    <sheetView workbookViewId="0">
      <pane ySplit="7" topLeftCell="A8" activePane="bottomLeft" state="frozen"/>
      <selection pane="bottomLeft" activeCell="G2" sqref="G2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57</v>
      </c>
      <c r="B1" s="112"/>
      <c r="C1" s="112"/>
      <c r="D1" s="112"/>
      <c r="E1" s="112"/>
      <c r="F1" s="113"/>
      <c r="G1" s="69" t="s">
        <v>86</v>
      </c>
    </row>
    <row r="2" spans="1:7" ht="30" customHeight="1">
      <c r="A2" s="121" t="s">
        <v>35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339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21"/>
      <c r="F8" s="21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2"/>
    </row>
    <row r="24" spans="1:6" ht="15" customHeight="1">
      <c r="A24" s="25">
        <v>43859</v>
      </c>
      <c r="B24" s="26">
        <v>3</v>
      </c>
      <c r="C24" s="22"/>
      <c r="D24" s="22"/>
      <c r="E24" s="22"/>
      <c r="F24" s="29"/>
    </row>
    <row r="25" spans="1:6" ht="15" customHeight="1">
      <c r="A25" s="25">
        <v>43860</v>
      </c>
      <c r="B25" s="26">
        <v>3</v>
      </c>
      <c r="C25" s="22"/>
      <c r="D25" s="22"/>
      <c r="E25" s="22"/>
      <c r="F25" s="30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22"/>
    </row>
    <row r="30" spans="1:6" ht="15" customHeight="1">
      <c r="A30" s="25">
        <v>43865</v>
      </c>
      <c r="B30" s="26">
        <v>4</v>
      </c>
      <c r="C30" s="22"/>
      <c r="D30" s="22"/>
      <c r="E30" s="22"/>
      <c r="F30" s="30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9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22"/>
    </row>
    <row r="42" spans="1:6" ht="15" customHeight="1">
      <c r="A42" s="25">
        <v>43877</v>
      </c>
      <c r="B42" s="26">
        <v>5</v>
      </c>
      <c r="C42" s="22"/>
      <c r="D42" s="22"/>
      <c r="E42" s="22"/>
      <c r="F42" s="31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9"/>
    </row>
    <row r="45" spans="1:6" ht="15" customHeight="1">
      <c r="A45" s="25">
        <v>43880</v>
      </c>
      <c r="B45" s="26">
        <v>6</v>
      </c>
      <c r="C45" s="22"/>
      <c r="D45" s="22"/>
      <c r="E45" s="22"/>
      <c r="F45" s="22"/>
    </row>
    <row r="46" spans="1:6" ht="15" customHeight="1">
      <c r="A46" s="25">
        <v>43881</v>
      </c>
      <c r="B46" s="26">
        <v>6</v>
      </c>
      <c r="C46" s="22"/>
      <c r="D46" s="22"/>
      <c r="E46" s="22"/>
      <c r="F46" s="29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  <c r="G123" s="70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22"/>
      <c r="F184" s="22"/>
    </row>
    <row r="185" spans="1:6" ht="14.5">
      <c r="A185" s="25">
        <v>44020</v>
      </c>
      <c r="B185" s="26">
        <v>26</v>
      </c>
      <c r="C185" s="22"/>
      <c r="D185" s="22"/>
      <c r="E185" s="22"/>
      <c r="F185" s="22"/>
    </row>
    <row r="186" spans="1:6" ht="14.5">
      <c r="A186" s="25">
        <v>44021</v>
      </c>
      <c r="B186" s="26">
        <v>26</v>
      </c>
      <c r="C186" s="22"/>
      <c r="D186" s="22"/>
      <c r="E186" s="22"/>
      <c r="F186" s="22"/>
    </row>
    <row r="187" spans="1:6" ht="14.5">
      <c r="A187" s="25">
        <v>44022</v>
      </c>
      <c r="B187" s="26">
        <v>26</v>
      </c>
      <c r="C187" s="22"/>
      <c r="D187" s="22"/>
      <c r="E187" s="22"/>
      <c r="F187" s="22"/>
    </row>
    <row r="188" spans="1:6" ht="14.5">
      <c r="A188" s="25">
        <v>44023</v>
      </c>
      <c r="B188" s="26">
        <v>26</v>
      </c>
      <c r="C188" s="22"/>
      <c r="D188" s="22"/>
      <c r="E188" s="22"/>
      <c r="F188" s="22"/>
    </row>
    <row r="189" spans="1:6" ht="14.5">
      <c r="A189" s="25">
        <v>44024</v>
      </c>
      <c r="B189" s="26">
        <v>26</v>
      </c>
      <c r="C189" s="22"/>
      <c r="D189" s="22"/>
      <c r="E189" s="22"/>
      <c r="F189" s="22"/>
    </row>
    <row r="190" spans="1:6" ht="14.5">
      <c r="A190" s="25">
        <v>44025</v>
      </c>
      <c r="B190" s="26">
        <v>27</v>
      </c>
      <c r="C190" s="22"/>
      <c r="D190" s="22"/>
      <c r="E190" s="2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>
        <v>1</v>
      </c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>
        <v>1</v>
      </c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>
        <v>1</v>
      </c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35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35"/>
      <c r="F213" s="22"/>
    </row>
    <row r="214" spans="1:6" ht="14.5">
      <c r="A214" s="25">
        <v>44049</v>
      </c>
      <c r="B214" s="26">
        <v>30</v>
      </c>
      <c r="C214" s="22">
        <v>1</v>
      </c>
      <c r="D214" s="22"/>
      <c r="E214" s="22"/>
      <c r="F214" s="22"/>
    </row>
    <row r="215" spans="1:6" ht="14.5">
      <c r="A215" s="25">
        <v>44050</v>
      </c>
      <c r="B215" s="26">
        <v>30</v>
      </c>
      <c r="C215" s="22">
        <v>1</v>
      </c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35"/>
      <c r="F217" s="22"/>
    </row>
    <row r="218" spans="1:6" ht="14.5">
      <c r="A218" s="25">
        <v>44053</v>
      </c>
      <c r="B218" s="26">
        <v>31</v>
      </c>
      <c r="C218" s="22"/>
      <c r="D218" s="22"/>
      <c r="E218" s="35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>
        <v>1</v>
      </c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>
        <v>1</v>
      </c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32">
        <v>5</v>
      </c>
      <c r="D226" s="22"/>
      <c r="E226" s="22"/>
      <c r="F226" s="22"/>
      <c r="G226" s="20" t="s">
        <v>340</v>
      </c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  <c r="G232" s="70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>
        <v>1</v>
      </c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>
        <v>1</v>
      </c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>
        <v>1</v>
      </c>
      <c r="D270" s="22"/>
      <c r="E270" s="35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35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35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>
        <v>1</v>
      </c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22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>
        <v>1</v>
      </c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>
        <v>1</v>
      </c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>
        <v>3</v>
      </c>
      <c r="D316" s="22"/>
      <c r="E316" s="22"/>
      <c r="F316" s="22"/>
    </row>
    <row r="317" spans="1:6" ht="14.5">
      <c r="A317" s="25">
        <v>44152</v>
      </c>
      <c r="B317" s="26">
        <v>45</v>
      </c>
      <c r="C317" s="22">
        <v>2</v>
      </c>
      <c r="D317" s="22"/>
      <c r="E317" s="35"/>
      <c r="F317" s="22"/>
    </row>
    <row r="318" spans="1:6" ht="14.5">
      <c r="A318" s="25">
        <v>44153</v>
      </c>
      <c r="B318" s="26">
        <v>45</v>
      </c>
      <c r="C318" s="22">
        <v>1</v>
      </c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>
        <v>1</v>
      </c>
      <c r="D320" s="22"/>
      <c r="E320" s="22"/>
      <c r="F320" s="22"/>
    </row>
    <row r="321" spans="1:6" ht="14.5">
      <c r="A321" s="25">
        <v>44156</v>
      </c>
      <c r="B321" s="26">
        <v>45</v>
      </c>
      <c r="C321" s="22">
        <v>3</v>
      </c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35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>
        <v>1</v>
      </c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35"/>
      <c r="F332" s="22"/>
    </row>
    <row r="333" spans="1:6" ht="14.5">
      <c r="A333" s="25">
        <v>44168</v>
      </c>
      <c r="B333" s="26">
        <v>47</v>
      </c>
      <c r="C333" s="22">
        <v>1</v>
      </c>
      <c r="D333" s="22"/>
      <c r="E333" s="22"/>
      <c r="F333" s="22"/>
    </row>
    <row r="334" spans="1:6" ht="14.5">
      <c r="A334" s="25">
        <v>44169</v>
      </c>
      <c r="B334" s="26">
        <v>47</v>
      </c>
      <c r="C334" s="22">
        <v>1</v>
      </c>
      <c r="D334" s="22"/>
      <c r="E334" s="35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>
        <v>1</v>
      </c>
      <c r="D340" s="22"/>
      <c r="E340" s="22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>
        <v>2</v>
      </c>
      <c r="D344" s="22"/>
      <c r="E344" s="22"/>
      <c r="F344" s="22"/>
    </row>
    <row r="345" spans="1:6" ht="14.5">
      <c r="A345" s="25">
        <v>44180</v>
      </c>
      <c r="B345" s="26">
        <v>49</v>
      </c>
      <c r="C345" s="22">
        <v>4</v>
      </c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1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>
        <v>1</v>
      </c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7" ht="14.5">
      <c r="A353" s="25">
        <v>44188</v>
      </c>
      <c r="B353" s="26">
        <v>50</v>
      </c>
      <c r="C353" s="22"/>
      <c r="D353" s="22"/>
      <c r="E353" s="35"/>
      <c r="F353" s="22"/>
    </row>
    <row r="354" spans="1:7" ht="14.5">
      <c r="A354" s="25">
        <v>44189</v>
      </c>
      <c r="B354" s="26">
        <v>50</v>
      </c>
      <c r="C354" s="22">
        <v>1</v>
      </c>
      <c r="D354" s="22"/>
      <c r="E354" s="22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>
        <v>1</v>
      </c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>
        <v>2</v>
      </c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>
        <v>1</v>
      </c>
      <c r="D364" s="22"/>
      <c r="E364" s="22"/>
      <c r="F364" s="22"/>
    </row>
    <row r="365" spans="1:7" ht="14.5">
      <c r="A365" s="25">
        <v>44200</v>
      </c>
      <c r="B365" s="26">
        <v>1</v>
      </c>
      <c r="C365" s="22">
        <v>1</v>
      </c>
      <c r="D365" s="22"/>
      <c r="E365" s="22"/>
      <c r="F365" s="22"/>
    </row>
    <row r="366" spans="1:7" ht="14.5">
      <c r="A366" s="25">
        <v>44201</v>
      </c>
      <c r="B366" s="26">
        <v>1</v>
      </c>
      <c r="C366" s="22">
        <v>2</v>
      </c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>
        <v>5</v>
      </c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>
        <v>1</v>
      </c>
      <c r="D368" s="22"/>
      <c r="E368" s="22"/>
      <c r="F368" s="22"/>
      <c r="G368" s="126"/>
    </row>
    <row r="369" spans="1:7" ht="14.5">
      <c r="A369" s="25">
        <v>44204</v>
      </c>
      <c r="B369" s="26">
        <v>1</v>
      </c>
      <c r="C369" s="22">
        <v>2</v>
      </c>
      <c r="D369" s="22"/>
      <c r="E369" s="22"/>
      <c r="F369" s="22"/>
    </row>
    <row r="370" spans="1:7" ht="14.5">
      <c r="A370" s="25">
        <v>44205</v>
      </c>
      <c r="B370" s="26">
        <v>1</v>
      </c>
      <c r="C370" s="22">
        <v>1</v>
      </c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  <c r="G371" s="126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1</v>
      </c>
      <c r="D373" s="22"/>
      <c r="E373" s="22"/>
      <c r="F373" s="22"/>
    </row>
    <row r="374" spans="1:7" ht="14.5">
      <c r="A374" s="25">
        <v>44209</v>
      </c>
      <c r="B374" s="26">
        <v>2</v>
      </c>
      <c r="C374" s="22">
        <v>1</v>
      </c>
      <c r="D374" s="22"/>
      <c r="E374" s="22"/>
      <c r="F374" s="35"/>
    </row>
    <row r="375" spans="1:7" ht="14.5">
      <c r="A375" s="25">
        <v>44210</v>
      </c>
      <c r="B375" s="26">
        <v>2</v>
      </c>
      <c r="C375" s="22"/>
      <c r="D375" s="22"/>
      <c r="E375" s="22"/>
      <c r="F375" s="22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  <c r="G377" s="126"/>
    </row>
    <row r="378" spans="1:7" ht="14.5">
      <c r="A378" s="25">
        <v>44213</v>
      </c>
      <c r="B378" s="26">
        <v>2</v>
      </c>
      <c r="C378" s="22"/>
      <c r="D378" s="22"/>
      <c r="E378" s="22"/>
      <c r="F378" s="22"/>
    </row>
    <row r="379" spans="1:7" ht="14.5">
      <c r="A379" s="25">
        <v>44214</v>
      </c>
      <c r="B379" s="26">
        <v>3</v>
      </c>
      <c r="C379" s="22">
        <v>1</v>
      </c>
      <c r="D379" s="22"/>
      <c r="E379" s="22"/>
      <c r="F379" s="22"/>
    </row>
    <row r="380" spans="1:7" ht="14.5">
      <c r="A380" s="25">
        <v>44215</v>
      </c>
      <c r="B380" s="26">
        <v>3</v>
      </c>
      <c r="C380" s="22">
        <v>1</v>
      </c>
      <c r="D380" s="22"/>
      <c r="E380" s="35"/>
      <c r="F380" s="22"/>
    </row>
    <row r="381" spans="1:7" ht="14.5">
      <c r="A381" s="25">
        <v>44216</v>
      </c>
      <c r="B381" s="26">
        <v>3</v>
      </c>
      <c r="C381" s="22">
        <v>1</v>
      </c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>
        <v>1</v>
      </c>
      <c r="D383" s="22"/>
      <c r="E383" s="22"/>
      <c r="F383" s="22"/>
    </row>
    <row r="384" spans="1:7" ht="14.5">
      <c r="A384" s="25">
        <v>44219</v>
      </c>
      <c r="B384" s="26">
        <v>3</v>
      </c>
      <c r="C384" s="22"/>
      <c r="D384" s="22"/>
      <c r="E384" s="35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>
        <v>1</v>
      </c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/>
      <c r="D388" s="22"/>
      <c r="E388" s="22"/>
      <c r="F388" s="22"/>
    </row>
    <row r="389" spans="1:7" ht="14.5">
      <c r="A389" s="25">
        <v>44224</v>
      </c>
      <c r="B389" s="26">
        <v>4</v>
      </c>
      <c r="C389" s="22"/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22"/>
      <c r="F390" s="22"/>
    </row>
    <row r="391" spans="1:7" ht="14.5">
      <c r="A391" s="25">
        <v>44226</v>
      </c>
      <c r="B391" s="26">
        <v>4</v>
      </c>
      <c r="C391" s="32">
        <v>7</v>
      </c>
      <c r="D391" s="22"/>
      <c r="E391" s="43"/>
      <c r="F391" s="22"/>
      <c r="G391" s="79" t="s">
        <v>338</v>
      </c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/>
      <c r="D393" s="22"/>
      <c r="E393" s="22"/>
      <c r="F393" s="22"/>
    </row>
    <row r="394" spans="1:7" ht="14.5">
      <c r="A394" s="25">
        <v>44229</v>
      </c>
      <c r="B394" s="26">
        <v>5</v>
      </c>
      <c r="C394" s="22"/>
      <c r="D394" s="22"/>
      <c r="E394" s="22"/>
      <c r="F394" s="22"/>
    </row>
    <row r="395" spans="1:7" ht="14.5">
      <c r="A395" s="25">
        <v>44230</v>
      </c>
      <c r="B395" s="26">
        <v>5</v>
      </c>
      <c r="C395" s="22"/>
      <c r="D395" s="22"/>
      <c r="E395" s="22"/>
      <c r="F395" s="22"/>
    </row>
    <row r="396" spans="1:7" ht="14.5">
      <c r="A396" s="25">
        <v>44231</v>
      </c>
      <c r="B396" s="26">
        <v>5</v>
      </c>
      <c r="C396" s="22"/>
      <c r="D396" s="22"/>
      <c r="E396" s="22"/>
      <c r="F396" s="22"/>
    </row>
    <row r="397" spans="1:7" ht="15.5">
      <c r="A397" s="25">
        <v>44232</v>
      </c>
      <c r="B397" s="26">
        <v>5</v>
      </c>
      <c r="C397" s="22"/>
      <c r="D397" s="22"/>
      <c r="E397" s="22"/>
      <c r="F397" s="22"/>
      <c r="G397" s="77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>
        <v>1</v>
      </c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35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>
        <v>1</v>
      </c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7" ht="14.5">
      <c r="A433" s="25">
        <v>44268</v>
      </c>
      <c r="B433" s="26">
        <v>10</v>
      </c>
      <c r="C433" s="22"/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/>
      <c r="D435" s="22"/>
      <c r="E435" s="22"/>
      <c r="F435" s="22"/>
    </row>
    <row r="436" spans="1:7" ht="14.5">
      <c r="A436" s="25">
        <v>44271</v>
      </c>
      <c r="B436" s="26">
        <v>11</v>
      </c>
      <c r="C436" s="22">
        <v>1</v>
      </c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/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/>
      <c r="D442" s="22"/>
      <c r="E442" s="22"/>
      <c r="F442" s="22"/>
    </row>
    <row r="443" spans="1:7" ht="14.5">
      <c r="A443" s="25">
        <v>44278</v>
      </c>
      <c r="B443" s="26">
        <v>12</v>
      </c>
      <c r="C443" s="22"/>
      <c r="D443" s="22"/>
      <c r="E443" s="22"/>
      <c r="F443" s="22"/>
    </row>
    <row r="444" spans="1:7" ht="15.5">
      <c r="A444" s="25">
        <v>44279</v>
      </c>
      <c r="B444" s="26">
        <v>12</v>
      </c>
      <c r="C444" s="22"/>
      <c r="D444" s="22"/>
      <c r="E444" s="22"/>
      <c r="F444" s="22"/>
      <c r="G444" s="77"/>
    </row>
    <row r="445" spans="1:7" ht="14.5">
      <c r="A445" s="25">
        <v>44280</v>
      </c>
      <c r="B445" s="26">
        <v>12</v>
      </c>
      <c r="C445" s="22">
        <v>1</v>
      </c>
      <c r="D445" s="22"/>
      <c r="E445" s="22"/>
      <c r="F445" s="22"/>
    </row>
    <row r="446" spans="1:7" ht="14.5">
      <c r="A446" s="25">
        <v>44281</v>
      </c>
      <c r="B446" s="26">
        <v>12</v>
      </c>
      <c r="C446" s="22"/>
      <c r="D446" s="22"/>
      <c r="E446" s="22"/>
      <c r="F446" s="22"/>
    </row>
    <row r="447" spans="1:7" ht="14.5">
      <c r="A447" s="25">
        <v>44282</v>
      </c>
      <c r="B447" s="26">
        <v>12</v>
      </c>
      <c r="C447" s="22">
        <v>2</v>
      </c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2</v>
      </c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>
        <v>1</v>
      </c>
      <c r="D452" s="22"/>
      <c r="E452" s="22"/>
      <c r="F452" s="22"/>
    </row>
    <row r="453" spans="1:6" ht="14.5">
      <c r="A453" s="25">
        <v>44288</v>
      </c>
      <c r="B453" s="26">
        <v>13</v>
      </c>
      <c r="C453" s="22">
        <v>1</v>
      </c>
      <c r="D453" s="22"/>
      <c r="E453" s="22"/>
      <c r="F453" s="22"/>
    </row>
    <row r="454" spans="1:6" ht="14.5">
      <c r="A454" s="25">
        <v>44289</v>
      </c>
      <c r="B454" s="26">
        <v>13</v>
      </c>
      <c r="C454" s="22">
        <v>1</v>
      </c>
      <c r="D454" s="22"/>
      <c r="E454" s="35"/>
      <c r="F454" s="22"/>
    </row>
    <row r="455" spans="1:6" ht="14.5">
      <c r="A455" s="25">
        <v>44290</v>
      </c>
      <c r="B455" s="26">
        <v>13</v>
      </c>
      <c r="C455" s="22">
        <v>1</v>
      </c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35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>
        <v>2</v>
      </c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>
        <v>2</v>
      </c>
      <c r="D468" s="22"/>
      <c r="E468" s="22"/>
      <c r="F468" s="22"/>
    </row>
    <row r="469" spans="1:7" ht="14.5">
      <c r="A469" s="25">
        <v>44304</v>
      </c>
      <c r="B469" s="26">
        <v>15</v>
      </c>
      <c r="C469" s="22">
        <v>1</v>
      </c>
      <c r="D469" s="22"/>
      <c r="E469" s="22"/>
      <c r="F469" s="22"/>
    </row>
    <row r="470" spans="1:7" ht="14.5">
      <c r="A470" s="25">
        <v>44305</v>
      </c>
      <c r="B470" s="26">
        <v>16</v>
      </c>
      <c r="C470" s="22">
        <v>1</v>
      </c>
      <c r="D470" s="22"/>
      <c r="E470" s="22"/>
      <c r="F470" s="22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/>
      <c r="D472" s="22"/>
      <c r="E472" s="22"/>
      <c r="F472" s="22"/>
      <c r="G472" s="126"/>
    </row>
    <row r="473" spans="1:7" ht="14.5">
      <c r="A473" s="25">
        <v>44308</v>
      </c>
      <c r="B473" s="26">
        <v>16</v>
      </c>
      <c r="C473" s="22">
        <v>1</v>
      </c>
      <c r="D473" s="22"/>
      <c r="E473" s="22"/>
      <c r="F473" s="22"/>
    </row>
    <row r="474" spans="1:7" ht="14.5">
      <c r="A474" s="25">
        <v>44309</v>
      </c>
      <c r="B474" s="26">
        <v>16</v>
      </c>
      <c r="C474" s="22">
        <v>2</v>
      </c>
      <c r="D474" s="22"/>
      <c r="E474" s="22"/>
      <c r="F474" s="22"/>
    </row>
    <row r="475" spans="1:7" ht="14.5">
      <c r="A475" s="25">
        <v>44310</v>
      </c>
      <c r="B475" s="26">
        <v>16</v>
      </c>
      <c r="C475" s="22">
        <v>1</v>
      </c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>
        <v>3</v>
      </c>
      <c r="D479" s="22"/>
      <c r="E479" s="22"/>
      <c r="F479" s="22"/>
    </row>
    <row r="480" spans="1:7" ht="14.5">
      <c r="A480" s="25">
        <v>44315</v>
      </c>
      <c r="B480" s="26">
        <v>17</v>
      </c>
      <c r="C480" s="45">
        <v>2</v>
      </c>
      <c r="D480" s="22"/>
      <c r="E480" s="22"/>
      <c r="F480" s="22"/>
    </row>
    <row r="481" spans="1:7" ht="14.5">
      <c r="A481" s="25">
        <v>44316</v>
      </c>
      <c r="B481" s="26">
        <v>17</v>
      </c>
      <c r="C481" s="22">
        <v>1</v>
      </c>
      <c r="D481" s="22"/>
      <c r="E481" s="22"/>
      <c r="F481" s="22"/>
    </row>
    <row r="482" spans="1:7" ht="15.5">
      <c r="A482" s="25">
        <v>44317</v>
      </c>
      <c r="B482" s="26">
        <v>17</v>
      </c>
      <c r="C482" s="22">
        <v>1</v>
      </c>
      <c r="D482" s="22"/>
      <c r="E482" s="22"/>
      <c r="F482" s="22"/>
      <c r="G482" s="77"/>
    </row>
    <row r="483" spans="1:7" ht="14.5">
      <c r="A483" s="25">
        <v>44318</v>
      </c>
      <c r="B483" s="26">
        <v>17</v>
      </c>
      <c r="C483" s="22">
        <v>2</v>
      </c>
      <c r="D483" s="22"/>
      <c r="E483" s="22"/>
      <c r="F483" s="22"/>
      <c r="G483" s="17"/>
    </row>
    <row r="484" spans="1:7" ht="14.5">
      <c r="A484" s="25">
        <v>44319</v>
      </c>
      <c r="B484" s="26">
        <v>18</v>
      </c>
      <c r="C484" s="22">
        <v>1</v>
      </c>
      <c r="D484" s="22"/>
      <c r="E484" s="22"/>
      <c r="F484" s="22"/>
    </row>
    <row r="485" spans="1:7" ht="14.5">
      <c r="A485" s="25">
        <v>44320</v>
      </c>
      <c r="B485" s="26">
        <v>18</v>
      </c>
      <c r="C485" s="22">
        <v>2</v>
      </c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>
        <v>1</v>
      </c>
      <c r="D487" s="22"/>
      <c r="E487" s="22"/>
      <c r="F487" s="22"/>
    </row>
    <row r="488" spans="1:7" ht="14.5">
      <c r="A488" s="25">
        <v>44323</v>
      </c>
      <c r="B488" s="26">
        <v>18</v>
      </c>
      <c r="C488" s="22">
        <v>2</v>
      </c>
      <c r="D488" s="22"/>
      <c r="E488" s="35"/>
      <c r="F488" s="22"/>
    </row>
    <row r="489" spans="1:7" ht="14.5">
      <c r="A489" s="25">
        <v>44324</v>
      </c>
      <c r="B489" s="26">
        <v>18</v>
      </c>
      <c r="C489" s="22"/>
      <c r="D489" s="22"/>
      <c r="E489" s="35"/>
      <c r="F489" s="22"/>
    </row>
    <row r="490" spans="1:7" ht="14.5">
      <c r="A490" s="25">
        <v>44325</v>
      </c>
      <c r="B490" s="26">
        <v>18</v>
      </c>
      <c r="C490" s="22">
        <v>1</v>
      </c>
      <c r="D490" s="22"/>
      <c r="E490" s="22"/>
      <c r="F490" s="22"/>
    </row>
    <row r="491" spans="1:7" ht="14.5">
      <c r="A491" s="25">
        <v>44326</v>
      </c>
      <c r="B491" s="26">
        <v>19</v>
      </c>
      <c r="C491" s="22">
        <v>5</v>
      </c>
      <c r="D491" s="22"/>
      <c r="E491" s="22"/>
      <c r="F491" s="22"/>
    </row>
    <row r="492" spans="1:7" ht="14.5">
      <c r="A492" s="25">
        <v>44327</v>
      </c>
      <c r="B492" s="26">
        <v>19</v>
      </c>
      <c r="C492" s="22">
        <v>2</v>
      </c>
      <c r="D492" s="22"/>
      <c r="E492" s="22"/>
      <c r="F492" s="22"/>
    </row>
    <row r="493" spans="1:7" ht="14.5">
      <c r="A493" s="25">
        <v>44328</v>
      </c>
      <c r="B493" s="26">
        <v>19</v>
      </c>
      <c r="C493" s="22">
        <v>2</v>
      </c>
      <c r="D493" s="22"/>
      <c r="E493" s="22"/>
      <c r="F493" s="22"/>
    </row>
    <row r="494" spans="1:7" ht="14.5">
      <c r="A494" s="25">
        <v>44329</v>
      </c>
      <c r="B494" s="26">
        <v>19</v>
      </c>
      <c r="C494" s="22"/>
      <c r="D494" s="22"/>
      <c r="E494" s="35"/>
      <c r="F494" s="22"/>
    </row>
    <row r="495" spans="1:7" ht="14.5">
      <c r="A495" s="25">
        <v>44330</v>
      </c>
      <c r="B495" s="26">
        <v>19</v>
      </c>
      <c r="C495" s="22"/>
      <c r="D495" s="22"/>
      <c r="E495" s="35"/>
      <c r="F495" s="22"/>
    </row>
    <row r="496" spans="1:7" ht="14.5">
      <c r="A496" s="25">
        <v>44331</v>
      </c>
      <c r="B496" s="26">
        <v>19</v>
      </c>
      <c r="C496" s="22">
        <v>2</v>
      </c>
      <c r="D496" s="22"/>
      <c r="E496" s="35"/>
      <c r="F496" s="22"/>
    </row>
    <row r="497" spans="1:7" ht="14.5">
      <c r="A497" s="25">
        <v>44332</v>
      </c>
      <c r="B497" s="26">
        <v>19</v>
      </c>
      <c r="C497" s="22">
        <v>2</v>
      </c>
      <c r="D497" s="22"/>
      <c r="E497" s="22"/>
      <c r="F497" s="22"/>
    </row>
    <row r="498" spans="1:7" ht="14.5">
      <c r="A498" s="25">
        <v>44333</v>
      </c>
      <c r="B498" s="26">
        <v>20</v>
      </c>
      <c r="C498" s="22">
        <v>1</v>
      </c>
      <c r="D498" s="22"/>
      <c r="E498" s="22"/>
      <c r="F498" s="22"/>
    </row>
    <row r="499" spans="1:7" ht="14.5">
      <c r="A499" s="25">
        <v>44334</v>
      </c>
      <c r="B499" s="26">
        <v>20</v>
      </c>
      <c r="C499" s="22">
        <v>1</v>
      </c>
      <c r="D499" s="22"/>
      <c r="E499" s="22"/>
      <c r="F499" s="22"/>
    </row>
    <row r="500" spans="1:7" ht="14.5">
      <c r="A500" s="25">
        <v>44335</v>
      </c>
      <c r="B500" s="26">
        <v>20</v>
      </c>
      <c r="C500" s="22"/>
      <c r="D500" s="22"/>
      <c r="E500" s="35"/>
      <c r="F500" s="22"/>
    </row>
    <row r="501" spans="1:7" ht="14.5">
      <c r="A501" s="25">
        <v>44336</v>
      </c>
      <c r="B501" s="26">
        <v>20</v>
      </c>
      <c r="C501" s="22"/>
      <c r="D501" s="22"/>
      <c r="E501" s="22"/>
      <c r="F501" s="22"/>
    </row>
    <row r="502" spans="1:7" ht="15.5">
      <c r="A502" s="25">
        <v>44337</v>
      </c>
      <c r="B502" s="26">
        <v>20</v>
      </c>
      <c r="C502" s="22"/>
      <c r="D502" s="22"/>
      <c r="E502" s="22"/>
      <c r="F502" s="22"/>
      <c r="G502" s="77"/>
    </row>
    <row r="503" spans="1:7" ht="14.5">
      <c r="A503" s="25">
        <v>44338</v>
      </c>
      <c r="B503" s="26">
        <v>20</v>
      </c>
      <c r="C503" s="22"/>
      <c r="D503" s="22"/>
      <c r="E503" s="22"/>
      <c r="F503" s="22"/>
    </row>
    <row r="504" spans="1:7" ht="14.5">
      <c r="A504" s="25">
        <v>44339</v>
      </c>
      <c r="B504" s="26">
        <v>20</v>
      </c>
      <c r="C504" s="22">
        <v>1</v>
      </c>
      <c r="D504" s="22"/>
      <c r="E504" s="22"/>
      <c r="F504" s="22"/>
    </row>
    <row r="505" spans="1:7" ht="14.5">
      <c r="A505" s="25">
        <v>44340</v>
      </c>
      <c r="B505" s="26">
        <v>21</v>
      </c>
      <c r="C505" s="22">
        <v>1</v>
      </c>
      <c r="D505" s="22"/>
      <c r="E505" s="22"/>
      <c r="F505" s="22"/>
    </row>
    <row r="506" spans="1:7" ht="14.5">
      <c r="A506" s="25">
        <v>44341</v>
      </c>
      <c r="B506" s="26">
        <v>21</v>
      </c>
      <c r="C506" s="22">
        <v>2</v>
      </c>
      <c r="D506" s="22"/>
      <c r="E506" s="22"/>
      <c r="F506" s="22"/>
    </row>
    <row r="507" spans="1:7" ht="14.5">
      <c r="A507" s="25">
        <v>44342</v>
      </c>
      <c r="B507" s="26">
        <v>21</v>
      </c>
      <c r="C507" s="22"/>
      <c r="D507" s="22"/>
      <c r="E507" s="22"/>
      <c r="F507" s="22"/>
    </row>
    <row r="508" spans="1:7" ht="14.5">
      <c r="A508" s="25">
        <v>44343</v>
      </c>
      <c r="B508" s="26">
        <v>21</v>
      </c>
      <c r="C508" s="22"/>
      <c r="D508" s="22"/>
      <c r="E508" s="22"/>
      <c r="F508" s="22"/>
    </row>
    <row r="509" spans="1:7" ht="14.5">
      <c r="A509" s="25">
        <v>44344</v>
      </c>
      <c r="B509" s="26">
        <v>21</v>
      </c>
      <c r="C509" s="22"/>
      <c r="D509" s="22"/>
      <c r="E509" s="22"/>
      <c r="F509" s="22"/>
    </row>
    <row r="510" spans="1:7" ht="14.5">
      <c r="A510" s="25">
        <v>44345</v>
      </c>
      <c r="B510" s="26">
        <v>21</v>
      </c>
      <c r="C510" s="22">
        <v>2</v>
      </c>
      <c r="D510" s="22"/>
      <c r="E510" s="22"/>
      <c r="F510" s="22"/>
    </row>
    <row r="511" spans="1:7" ht="14.5">
      <c r="A511" s="25">
        <v>44346</v>
      </c>
      <c r="B511" s="26">
        <v>21</v>
      </c>
      <c r="C511" s="22">
        <v>1</v>
      </c>
      <c r="D511" s="22"/>
      <c r="E511" s="22"/>
      <c r="F511" s="22"/>
    </row>
    <row r="512" spans="1:7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/>
      <c r="D513" s="22"/>
      <c r="E513" s="35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>
        <v>1</v>
      </c>
      <c r="D519" s="22"/>
      <c r="E519" s="22"/>
      <c r="F519" s="22"/>
    </row>
    <row r="520" spans="1:6" ht="14.5">
      <c r="A520" s="25">
        <v>44355</v>
      </c>
      <c r="B520" s="26">
        <v>23</v>
      </c>
      <c r="C520" s="22">
        <v>1</v>
      </c>
      <c r="D520" s="22"/>
      <c r="E520" s="22"/>
      <c r="F520" s="22"/>
    </row>
    <row r="521" spans="1:6" ht="14.5">
      <c r="A521" s="25">
        <v>44356</v>
      </c>
      <c r="B521" s="26">
        <v>23</v>
      </c>
      <c r="C521" s="22">
        <v>1</v>
      </c>
      <c r="D521" s="22"/>
      <c r="E521" s="22"/>
      <c r="F521" s="22"/>
    </row>
    <row r="522" spans="1:6" ht="14.5">
      <c r="A522" s="25">
        <v>44357</v>
      </c>
      <c r="B522" s="26">
        <v>23</v>
      </c>
      <c r="C522" s="22">
        <v>1</v>
      </c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>
        <v>1</v>
      </c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35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7" ht="14.5">
      <c r="A529" s="25">
        <v>44364</v>
      </c>
      <c r="B529" s="26">
        <v>24</v>
      </c>
      <c r="C529" s="22">
        <v>1</v>
      </c>
      <c r="D529" s="22"/>
      <c r="E529" s="22"/>
      <c r="F529" s="22"/>
    </row>
    <row r="530" spans="1:7" ht="14.5">
      <c r="A530" s="25">
        <v>44365</v>
      </c>
      <c r="B530" s="26">
        <v>24</v>
      </c>
      <c r="C530" s="22"/>
      <c r="D530" s="22"/>
      <c r="E530" s="22"/>
      <c r="F530" s="22"/>
    </row>
    <row r="531" spans="1:7" ht="14.5">
      <c r="A531" s="25">
        <v>44366</v>
      </c>
      <c r="B531" s="26">
        <v>24</v>
      </c>
      <c r="C531" s="22">
        <v>1</v>
      </c>
      <c r="D531" s="22"/>
      <c r="E531" s="22"/>
      <c r="F531" s="22"/>
    </row>
    <row r="532" spans="1:7" ht="14.5">
      <c r="A532" s="25">
        <v>44367</v>
      </c>
      <c r="B532" s="26">
        <v>24</v>
      </c>
      <c r="C532" s="22"/>
      <c r="D532" s="22"/>
      <c r="E532" s="22"/>
      <c r="F532" s="22"/>
    </row>
    <row r="533" spans="1:7" ht="14.5">
      <c r="A533" s="25">
        <v>44368</v>
      </c>
      <c r="B533" s="26">
        <v>25</v>
      </c>
      <c r="C533" s="22">
        <v>3</v>
      </c>
      <c r="D533" s="22"/>
      <c r="E533" s="22"/>
      <c r="F533" s="22"/>
    </row>
    <row r="534" spans="1:7" ht="14.5">
      <c r="A534" s="25">
        <v>44369</v>
      </c>
      <c r="B534" s="26">
        <v>25</v>
      </c>
      <c r="C534" s="22"/>
      <c r="D534" s="22"/>
      <c r="E534" s="35"/>
      <c r="F534" s="22"/>
    </row>
    <row r="535" spans="1:7" ht="14.5">
      <c r="A535" s="25">
        <v>44370</v>
      </c>
      <c r="B535" s="26">
        <v>25</v>
      </c>
      <c r="C535" s="22"/>
      <c r="D535" s="22"/>
      <c r="E535" s="22"/>
      <c r="F535" s="22"/>
    </row>
    <row r="536" spans="1:7" ht="14.5">
      <c r="A536" s="25">
        <v>44371</v>
      </c>
      <c r="B536" s="26">
        <v>25</v>
      </c>
      <c r="C536" s="22">
        <v>2</v>
      </c>
      <c r="D536" s="22"/>
      <c r="E536" s="22"/>
      <c r="F536" s="22"/>
      <c r="G536" s="55" t="s">
        <v>337</v>
      </c>
    </row>
    <row r="537" spans="1:7" ht="14.5">
      <c r="A537" s="25">
        <v>44372</v>
      </c>
      <c r="B537" s="26">
        <v>25</v>
      </c>
      <c r="C537" s="22"/>
      <c r="D537" s="22"/>
      <c r="E537" s="22"/>
      <c r="F537" s="22"/>
    </row>
    <row r="538" spans="1:7" ht="14.5">
      <c r="A538" s="25">
        <v>44373</v>
      </c>
      <c r="B538" s="26">
        <v>25</v>
      </c>
      <c r="C538" s="22"/>
      <c r="D538" s="22"/>
      <c r="E538" s="22"/>
      <c r="F538" s="22"/>
    </row>
    <row r="539" spans="1:7" ht="14.5">
      <c r="A539" s="25">
        <v>44374</v>
      </c>
      <c r="B539" s="26">
        <v>25</v>
      </c>
      <c r="C539" s="22"/>
      <c r="D539" s="22"/>
      <c r="E539" s="22"/>
      <c r="F539" s="22"/>
    </row>
    <row r="540" spans="1:7" ht="14.5">
      <c r="A540" s="25">
        <v>44375</v>
      </c>
      <c r="B540" s="26">
        <v>25</v>
      </c>
      <c r="C540" s="22"/>
      <c r="D540" s="22"/>
      <c r="E540" s="22"/>
      <c r="F540" s="22"/>
    </row>
    <row r="541" spans="1:7" ht="14.5">
      <c r="A541" s="25">
        <v>44376</v>
      </c>
      <c r="B541" s="26">
        <v>26</v>
      </c>
      <c r="C541" s="22">
        <f>1+1+1</f>
        <v>3</v>
      </c>
      <c r="D541" s="22"/>
      <c r="E541" s="22"/>
      <c r="F541" s="22"/>
    </row>
    <row r="542" spans="1:7" ht="14.5">
      <c r="A542" s="25">
        <v>44377</v>
      </c>
      <c r="B542" s="26">
        <v>26</v>
      </c>
      <c r="C542" s="22">
        <f>2</f>
        <v>2</v>
      </c>
      <c r="D542" s="22"/>
      <c r="E542" s="22"/>
      <c r="F542" s="22"/>
      <c r="G542" s="80" t="s">
        <v>341</v>
      </c>
    </row>
    <row r="543" spans="1:7" ht="14.5">
      <c r="A543" s="25">
        <v>44378</v>
      </c>
      <c r="B543" s="26">
        <v>26</v>
      </c>
      <c r="C543" s="22">
        <f>1</f>
        <v>1</v>
      </c>
      <c r="D543" s="22"/>
      <c r="E543" s="22"/>
      <c r="F543" s="22"/>
    </row>
    <row r="544" spans="1:7" ht="14.5">
      <c r="A544" s="25">
        <v>44379</v>
      </c>
      <c r="B544" s="26">
        <v>26</v>
      </c>
      <c r="C544" s="22">
        <f>2</f>
        <v>2</v>
      </c>
      <c r="D544" s="22"/>
      <c r="E544" s="22"/>
      <c r="F544" s="22"/>
      <c r="G544" s="80" t="s">
        <v>341</v>
      </c>
    </row>
    <row r="545" spans="1:7" ht="14.5">
      <c r="A545" s="25">
        <v>44380</v>
      </c>
      <c r="B545" s="26">
        <v>26</v>
      </c>
      <c r="C545" s="22"/>
      <c r="D545" s="22"/>
      <c r="E545" s="22"/>
      <c r="F545" s="22"/>
    </row>
    <row r="546" spans="1:7" ht="14.5">
      <c r="A546" s="25">
        <v>44381</v>
      </c>
      <c r="B546" s="26">
        <v>26</v>
      </c>
      <c r="C546" s="22">
        <f>1+1</f>
        <v>2</v>
      </c>
      <c r="D546" s="22"/>
      <c r="E546" s="22"/>
      <c r="F546" s="22"/>
    </row>
    <row r="547" spans="1:7" ht="14.5">
      <c r="A547" s="25">
        <v>44382</v>
      </c>
      <c r="B547" s="22">
        <v>27</v>
      </c>
      <c r="C547" s="22"/>
      <c r="D547" s="22"/>
      <c r="E547" s="22"/>
      <c r="F547" s="22"/>
    </row>
    <row r="548" spans="1:7" ht="14.5">
      <c r="A548" s="25">
        <v>44383</v>
      </c>
      <c r="B548" s="22">
        <v>27</v>
      </c>
      <c r="C548" s="22">
        <f>7+1+1+1</f>
        <v>10</v>
      </c>
      <c r="D548" s="22"/>
      <c r="E548" s="22"/>
      <c r="F548" s="22"/>
      <c r="G548" s="80" t="s">
        <v>342</v>
      </c>
    </row>
    <row r="549" spans="1:7" ht="14.5">
      <c r="A549" s="25">
        <v>44384</v>
      </c>
      <c r="B549" s="22">
        <v>27</v>
      </c>
      <c r="C549" s="22"/>
      <c r="D549" s="22"/>
      <c r="E549" s="22"/>
      <c r="F549" s="22"/>
    </row>
    <row r="550" spans="1:7" ht="14.5">
      <c r="A550" s="25">
        <v>44385</v>
      </c>
      <c r="B550" s="22">
        <v>27</v>
      </c>
      <c r="C550" s="22">
        <f>1</f>
        <v>1</v>
      </c>
      <c r="D550" s="22"/>
      <c r="E550" s="22"/>
      <c r="F550" s="22"/>
    </row>
    <row r="551" spans="1:7" ht="14.5">
      <c r="A551" s="25">
        <v>44386</v>
      </c>
      <c r="B551" s="22">
        <v>27</v>
      </c>
      <c r="C551" s="22"/>
      <c r="D551" s="22"/>
      <c r="E551" s="22"/>
      <c r="F551" s="22"/>
    </row>
    <row r="552" spans="1:7" ht="14.5">
      <c r="A552" s="25">
        <v>44387</v>
      </c>
      <c r="B552" s="22">
        <v>27</v>
      </c>
      <c r="C552" s="22">
        <f>1</f>
        <v>1</v>
      </c>
      <c r="D552" s="22"/>
      <c r="E552" s="22"/>
      <c r="F552" s="22"/>
    </row>
    <row r="553" spans="1:7" ht="14.5">
      <c r="A553" s="25">
        <v>44388</v>
      </c>
      <c r="B553" s="22">
        <v>27</v>
      </c>
      <c r="C553" s="22">
        <f>1+1</f>
        <v>2</v>
      </c>
      <c r="D553" s="22"/>
      <c r="E553" s="22"/>
      <c r="F553" s="22"/>
    </row>
    <row r="554" spans="1:7" ht="14.5">
      <c r="A554" s="25">
        <v>44389</v>
      </c>
      <c r="B554" s="22">
        <v>28</v>
      </c>
      <c r="C554" s="22"/>
      <c r="D554" s="22"/>
      <c r="E554" s="22"/>
      <c r="F554" s="22"/>
    </row>
    <row r="555" spans="1:7" ht="14.5">
      <c r="A555" s="25">
        <v>44390</v>
      </c>
      <c r="B555" s="22">
        <v>28</v>
      </c>
      <c r="C555" s="22"/>
      <c r="D555" s="22"/>
      <c r="E555" s="22"/>
      <c r="F555" s="22"/>
    </row>
    <row r="556" spans="1:7" ht="14.5">
      <c r="A556" s="25">
        <v>44391</v>
      </c>
      <c r="B556" s="22">
        <v>28</v>
      </c>
      <c r="C556" s="22">
        <f>1+1+1</f>
        <v>3</v>
      </c>
      <c r="D556" s="22"/>
      <c r="E556" s="22"/>
      <c r="F556" s="22"/>
      <c r="G556" s="80" t="s">
        <v>343</v>
      </c>
    </row>
    <row r="557" spans="1:7" ht="14.5">
      <c r="A557" s="25">
        <v>44392</v>
      </c>
      <c r="B557" s="22">
        <v>28</v>
      </c>
      <c r="C557" s="22">
        <f>1+1+1+1</f>
        <v>4</v>
      </c>
      <c r="D557" s="22"/>
      <c r="E557" s="22"/>
      <c r="F557" s="22"/>
    </row>
    <row r="558" spans="1:7" ht="14.5">
      <c r="A558" s="25">
        <v>44393</v>
      </c>
      <c r="B558" s="22">
        <v>28</v>
      </c>
      <c r="C558" s="22">
        <f>1+1</f>
        <v>2</v>
      </c>
      <c r="D558" s="22"/>
      <c r="E558" s="22"/>
      <c r="F558" s="22"/>
    </row>
    <row r="559" spans="1:7" ht="14.5">
      <c r="A559" s="25">
        <v>44394</v>
      </c>
      <c r="B559" s="22">
        <v>28</v>
      </c>
      <c r="C559" s="22">
        <f>1+1+1</f>
        <v>3</v>
      </c>
      <c r="D559" s="22"/>
      <c r="E559" s="22"/>
      <c r="F559" s="22"/>
    </row>
    <row r="560" spans="1:7" ht="14.5">
      <c r="A560" s="25">
        <v>44395</v>
      </c>
      <c r="B560" s="22">
        <v>28</v>
      </c>
      <c r="C560" s="22">
        <f>1</f>
        <v>1</v>
      </c>
      <c r="D560" s="22"/>
      <c r="E560" s="22"/>
      <c r="F560" s="22"/>
    </row>
    <row r="561" spans="1:7" ht="14.5">
      <c r="A561" s="25">
        <v>44396</v>
      </c>
      <c r="B561" s="22">
        <v>29</v>
      </c>
      <c r="C561" s="22">
        <f>1+1</f>
        <v>2</v>
      </c>
      <c r="D561" s="22"/>
      <c r="E561" s="22"/>
      <c r="F561" s="22"/>
    </row>
    <row r="562" spans="1:7" ht="14.5">
      <c r="A562" s="25">
        <v>44397</v>
      </c>
      <c r="B562" s="22">
        <v>29</v>
      </c>
      <c r="C562" s="22">
        <f>1+1+1+1+1</f>
        <v>5</v>
      </c>
      <c r="D562" s="22"/>
      <c r="E562" s="22"/>
      <c r="F562" s="22"/>
    </row>
    <row r="563" spans="1:7" ht="14.5">
      <c r="A563" s="25">
        <v>44398</v>
      </c>
      <c r="B563" s="22">
        <v>29</v>
      </c>
      <c r="C563" s="22">
        <f>1+1+1+1+1+1</f>
        <v>6</v>
      </c>
      <c r="D563" s="22"/>
      <c r="E563" s="22"/>
      <c r="F563" s="22"/>
    </row>
    <row r="564" spans="1:7" ht="14.5">
      <c r="A564" s="25">
        <v>44399</v>
      </c>
      <c r="B564" s="26">
        <v>29</v>
      </c>
      <c r="C564" s="22"/>
      <c r="D564" s="22"/>
      <c r="E564" s="22"/>
      <c r="F564" s="22"/>
    </row>
    <row r="565" spans="1:7" ht="14.5">
      <c r="A565" s="25">
        <v>44400</v>
      </c>
      <c r="B565" s="26">
        <v>29</v>
      </c>
      <c r="C565" s="22">
        <f>1+1</f>
        <v>2</v>
      </c>
      <c r="D565" s="22"/>
      <c r="E565" s="22"/>
      <c r="F565" s="22"/>
    </row>
    <row r="566" spans="1:7" ht="14.5">
      <c r="A566" s="25">
        <v>44401</v>
      </c>
      <c r="B566" s="26">
        <v>29</v>
      </c>
      <c r="C566" s="22">
        <f>1</f>
        <v>1</v>
      </c>
      <c r="D566" s="22"/>
      <c r="E566" s="22"/>
      <c r="F566" s="22"/>
    </row>
    <row r="567" spans="1:7" ht="14.5">
      <c r="A567" s="25">
        <v>44402</v>
      </c>
      <c r="B567" s="26">
        <v>29</v>
      </c>
      <c r="C567" s="22">
        <f>1+1</f>
        <v>2</v>
      </c>
      <c r="D567" s="22"/>
      <c r="E567" s="22"/>
      <c r="F567" s="22"/>
    </row>
    <row r="568" spans="1:7" ht="14.5">
      <c r="A568" s="25">
        <v>44403</v>
      </c>
      <c r="B568" s="26">
        <v>30</v>
      </c>
      <c r="C568" s="22">
        <f>3+1+1</f>
        <v>5</v>
      </c>
      <c r="D568" s="22"/>
      <c r="E568" s="39"/>
      <c r="F568" s="22"/>
      <c r="G568" s="80" t="s">
        <v>336</v>
      </c>
    </row>
    <row r="569" spans="1:7" ht="14.5">
      <c r="A569" s="25">
        <v>44404</v>
      </c>
      <c r="B569" s="26">
        <v>30</v>
      </c>
      <c r="C569" s="22">
        <f>2+1</f>
        <v>3</v>
      </c>
      <c r="D569" s="22"/>
      <c r="E569" s="39"/>
      <c r="F569" s="22"/>
      <c r="G569" s="80" t="s">
        <v>335</v>
      </c>
    </row>
    <row r="570" spans="1:7" ht="14.5">
      <c r="A570" s="25">
        <v>44405</v>
      </c>
      <c r="B570" s="26">
        <v>30</v>
      </c>
      <c r="C570" s="22">
        <f>2+1+1+1+1</f>
        <v>6</v>
      </c>
      <c r="D570" s="22"/>
      <c r="E570" s="22"/>
      <c r="F570" s="22"/>
      <c r="G570" s="80" t="s">
        <v>335</v>
      </c>
    </row>
    <row r="571" spans="1:7" ht="14.5">
      <c r="A571" s="28">
        <v>44406</v>
      </c>
      <c r="B571" s="22">
        <v>30</v>
      </c>
      <c r="C571" s="22">
        <f>2+1+1+1+1+1</f>
        <v>7</v>
      </c>
      <c r="D571" s="22"/>
      <c r="E571" s="22"/>
      <c r="F571" s="22"/>
      <c r="G571" s="80" t="s">
        <v>335</v>
      </c>
    </row>
    <row r="572" spans="1:7" ht="14.5">
      <c r="A572" s="28">
        <v>44407</v>
      </c>
      <c r="B572" s="22">
        <v>30</v>
      </c>
      <c r="C572" s="22">
        <f>1+3+1+1</f>
        <v>6</v>
      </c>
      <c r="D572" s="22"/>
      <c r="E572" s="22"/>
      <c r="F572" s="22"/>
    </row>
    <row r="573" spans="1:7" ht="14.5">
      <c r="A573" s="28">
        <v>44408</v>
      </c>
      <c r="B573" s="22">
        <v>30</v>
      </c>
      <c r="C573" s="22">
        <f>2+1+1+1</f>
        <v>5</v>
      </c>
      <c r="D573" s="22"/>
      <c r="E573" s="22"/>
      <c r="F573" s="22"/>
    </row>
    <row r="574" spans="1:7" ht="14.5">
      <c r="A574" s="28">
        <v>44409</v>
      </c>
      <c r="B574" s="22">
        <v>30</v>
      </c>
      <c r="C574" s="22">
        <f>1</f>
        <v>1</v>
      </c>
      <c r="D574" s="22"/>
      <c r="E574" s="22"/>
      <c r="F574" s="22"/>
      <c r="G574" s="80" t="s">
        <v>334</v>
      </c>
    </row>
    <row r="575" spans="1:7" ht="14.5">
      <c r="A575" s="28">
        <v>44410</v>
      </c>
      <c r="B575" s="22">
        <v>31</v>
      </c>
      <c r="C575" s="22">
        <f>1</f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f>1</f>
        <v>1</v>
      </c>
      <c r="D576" s="22"/>
      <c r="E576" s="22"/>
      <c r="F576" s="22"/>
    </row>
    <row r="577" spans="1:7" ht="14.5">
      <c r="A577" s="28">
        <v>44412</v>
      </c>
      <c r="B577" s="22">
        <v>31</v>
      </c>
      <c r="C577" s="22">
        <f>1+2</f>
        <v>3</v>
      </c>
      <c r="D577" s="22"/>
      <c r="E577" s="22"/>
      <c r="F577" s="22"/>
    </row>
    <row r="578" spans="1:7" ht="14.5">
      <c r="A578" s="28">
        <v>44413</v>
      </c>
      <c r="B578" s="22">
        <v>31</v>
      </c>
      <c r="C578" s="22">
        <f>1+1+1+1+2+2+1+1+1+2</f>
        <v>13</v>
      </c>
      <c r="D578" s="22"/>
      <c r="E578" s="22"/>
      <c r="F578" s="22"/>
    </row>
    <row r="579" spans="1:7" ht="14.5">
      <c r="A579" s="28">
        <v>44414</v>
      </c>
      <c r="B579" s="22">
        <v>31</v>
      </c>
      <c r="C579" s="22">
        <f>2+1+2+1</f>
        <v>6</v>
      </c>
      <c r="D579" s="22"/>
      <c r="E579" s="22"/>
      <c r="F579" s="22"/>
    </row>
    <row r="580" spans="1:7" ht="14.5">
      <c r="A580" s="28">
        <v>44415</v>
      </c>
      <c r="B580" s="22">
        <v>31</v>
      </c>
      <c r="C580" s="22">
        <f>1+1</f>
        <v>2</v>
      </c>
      <c r="D580" s="22"/>
      <c r="E580" s="22"/>
      <c r="F580" s="22"/>
    </row>
    <row r="581" spans="1:7" ht="14.5">
      <c r="A581" s="28">
        <v>44416</v>
      </c>
      <c r="B581" s="22">
        <v>31</v>
      </c>
      <c r="C581" s="22"/>
      <c r="D581" s="22"/>
      <c r="E581" s="22"/>
      <c r="F581" s="22"/>
    </row>
    <row r="582" spans="1:7" ht="14.5">
      <c r="A582" s="28">
        <v>44417</v>
      </c>
      <c r="B582" s="22">
        <v>32</v>
      </c>
      <c r="C582" s="22">
        <f>3+1</f>
        <v>4</v>
      </c>
      <c r="D582" s="22"/>
      <c r="E582" s="22"/>
      <c r="F582" s="22"/>
    </row>
    <row r="583" spans="1:7" ht="14.5">
      <c r="A583" s="28">
        <v>44418</v>
      </c>
      <c r="B583" s="22">
        <v>32</v>
      </c>
      <c r="C583" s="22">
        <f>34+1</f>
        <v>35</v>
      </c>
      <c r="D583" s="22"/>
      <c r="E583" s="22"/>
      <c r="F583" s="22"/>
      <c r="G583" s="81" t="s">
        <v>333</v>
      </c>
    </row>
    <row r="584" spans="1:7" ht="14.5">
      <c r="A584" s="28">
        <v>44419</v>
      </c>
      <c r="B584" s="22">
        <v>32</v>
      </c>
      <c r="C584" s="22">
        <f>1+1</f>
        <v>2</v>
      </c>
      <c r="D584" s="22"/>
      <c r="E584" s="22"/>
      <c r="F584" s="22"/>
    </row>
    <row r="585" spans="1:7" ht="14.5">
      <c r="A585" s="28">
        <v>44420</v>
      </c>
      <c r="B585" s="22">
        <v>32</v>
      </c>
      <c r="C585" s="22">
        <f>1+1+1</f>
        <v>3</v>
      </c>
      <c r="D585" s="22"/>
      <c r="E585" s="22"/>
      <c r="F585" s="22"/>
    </row>
    <row r="586" spans="1:7" ht="14.5">
      <c r="A586" s="28">
        <v>44421</v>
      </c>
      <c r="B586" s="22">
        <v>32</v>
      </c>
      <c r="C586" s="22">
        <f>1+1+1</f>
        <v>3</v>
      </c>
      <c r="D586" s="22"/>
      <c r="E586" s="22"/>
      <c r="F586" s="22"/>
    </row>
    <row r="587" spans="1:7" ht="14.5">
      <c r="A587" s="28">
        <v>44422</v>
      </c>
      <c r="B587" s="22">
        <v>32</v>
      </c>
      <c r="C587" s="22">
        <f>1</f>
        <v>1</v>
      </c>
      <c r="D587" s="22"/>
      <c r="E587" s="22"/>
      <c r="F587" s="22"/>
    </row>
    <row r="588" spans="1:7" ht="14.5">
      <c r="A588" s="28">
        <v>44423</v>
      </c>
      <c r="B588" s="22">
        <v>32</v>
      </c>
      <c r="C588" s="22">
        <f>1+1</f>
        <v>2</v>
      </c>
      <c r="D588" s="22"/>
      <c r="E588" s="22"/>
      <c r="F588" s="22"/>
    </row>
    <row r="589" spans="1:7" ht="14.5">
      <c r="A589" s="28">
        <v>44424</v>
      </c>
      <c r="B589" s="22">
        <v>33</v>
      </c>
      <c r="C589" s="22">
        <f>1+1+1+5+1</f>
        <v>9</v>
      </c>
      <c r="D589" s="22"/>
      <c r="E589" s="22"/>
      <c r="F589" s="22"/>
    </row>
    <row r="590" spans="1:7" ht="14.5">
      <c r="A590" s="28">
        <v>44425</v>
      </c>
      <c r="B590" s="22">
        <v>33</v>
      </c>
      <c r="C590" s="22">
        <f>20+1+1+1+1</f>
        <v>24</v>
      </c>
      <c r="D590" s="22"/>
      <c r="E590" s="22"/>
      <c r="F590" s="22"/>
      <c r="G590" s="80" t="s">
        <v>331</v>
      </c>
    </row>
    <row r="591" spans="1:7" ht="14.5">
      <c r="A591" s="28">
        <v>44426</v>
      </c>
      <c r="B591" s="22">
        <v>33</v>
      </c>
      <c r="C591" s="22">
        <f>1+1+1+1+1</f>
        <v>5</v>
      </c>
      <c r="D591" s="22"/>
      <c r="E591" s="22"/>
      <c r="F591" s="22"/>
    </row>
    <row r="592" spans="1:7" ht="14.5">
      <c r="A592" s="28">
        <v>44427</v>
      </c>
      <c r="B592" s="22">
        <v>33</v>
      </c>
      <c r="C592" s="22">
        <f>1+1</f>
        <v>2</v>
      </c>
      <c r="D592" s="22"/>
      <c r="E592" s="22"/>
      <c r="F592" s="22"/>
    </row>
    <row r="593" spans="1:7" ht="14.5">
      <c r="A593" s="28">
        <v>44428</v>
      </c>
      <c r="B593" s="22">
        <v>33</v>
      </c>
      <c r="C593" s="22">
        <f>1+1+2+2+1</f>
        <v>7</v>
      </c>
      <c r="D593" s="22"/>
      <c r="E593" s="22"/>
      <c r="F593" s="22"/>
    </row>
    <row r="594" spans="1:7" ht="14.5">
      <c r="A594" s="28">
        <v>44429</v>
      </c>
      <c r="B594" s="22">
        <v>33</v>
      </c>
      <c r="C594" s="22">
        <f>1+1</f>
        <v>2</v>
      </c>
      <c r="D594" s="22"/>
      <c r="E594" s="22"/>
      <c r="F594" s="22"/>
    </row>
    <row r="595" spans="1:7" ht="14.5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7" ht="14.5">
      <c r="A596" s="28">
        <v>44431</v>
      </c>
      <c r="B596" s="22">
        <v>34</v>
      </c>
      <c r="C596" s="22">
        <f>11+17+1+1+1</f>
        <v>31</v>
      </c>
      <c r="D596" s="22"/>
      <c r="E596" s="22"/>
      <c r="F596" s="22"/>
      <c r="G596" s="80" t="s">
        <v>330</v>
      </c>
    </row>
    <row r="597" spans="1:7" ht="14.5">
      <c r="A597" s="28">
        <v>44432</v>
      </c>
      <c r="B597" s="22">
        <v>34</v>
      </c>
      <c r="C597" s="22"/>
      <c r="D597" s="22"/>
      <c r="E597" s="22"/>
      <c r="F597" s="22"/>
    </row>
    <row r="598" spans="1:7" ht="14.5">
      <c r="A598" s="28">
        <v>44433</v>
      </c>
      <c r="B598" s="22">
        <v>34</v>
      </c>
      <c r="C598" s="22">
        <f>1+1+2</f>
        <v>4</v>
      </c>
      <c r="D598" s="22"/>
      <c r="E598" s="22"/>
      <c r="F598" s="22"/>
    </row>
    <row r="599" spans="1:7" ht="14.5">
      <c r="A599" s="28">
        <v>44434</v>
      </c>
      <c r="B599" s="22">
        <v>34</v>
      </c>
      <c r="C599" s="22">
        <f>1+1+1+1+1</f>
        <v>5</v>
      </c>
      <c r="D599" s="22"/>
      <c r="E599" s="22"/>
      <c r="F599" s="22"/>
    </row>
    <row r="600" spans="1:7" ht="14.5">
      <c r="A600" s="28">
        <v>44435</v>
      </c>
      <c r="B600" s="22">
        <v>34</v>
      </c>
      <c r="C600" s="22">
        <f>1</f>
        <v>1</v>
      </c>
      <c r="D600" s="22"/>
      <c r="E600" s="22"/>
      <c r="F600" s="22"/>
    </row>
    <row r="601" spans="1:7" ht="14.5">
      <c r="A601" s="28">
        <v>44436</v>
      </c>
      <c r="B601" s="22">
        <v>34</v>
      </c>
      <c r="C601" s="22"/>
      <c r="D601" s="22"/>
      <c r="E601" s="22"/>
      <c r="F601" s="22"/>
    </row>
    <row r="602" spans="1:7" ht="14.5">
      <c r="A602" s="28">
        <v>44437</v>
      </c>
      <c r="B602" s="22">
        <v>34</v>
      </c>
      <c r="C602" s="22"/>
      <c r="D602" s="22"/>
      <c r="E602" s="22"/>
      <c r="F602" s="22"/>
    </row>
    <row r="603" spans="1:7" ht="14.5">
      <c r="A603" s="28">
        <v>44438</v>
      </c>
      <c r="B603" s="22">
        <v>35</v>
      </c>
      <c r="C603" s="22">
        <f>1+1</f>
        <v>2</v>
      </c>
      <c r="D603" s="22"/>
      <c r="E603" s="22"/>
      <c r="F603" s="22"/>
    </row>
    <row r="604" spans="1:7" ht="14.5">
      <c r="A604" s="28">
        <v>44439</v>
      </c>
      <c r="B604" s="22">
        <v>35</v>
      </c>
      <c r="C604" s="22">
        <f>2</f>
        <v>2</v>
      </c>
      <c r="D604" s="22"/>
      <c r="E604" s="22"/>
      <c r="F604" s="22"/>
    </row>
    <row r="605" spans="1:7" ht="14.5">
      <c r="A605" s="28">
        <v>44440</v>
      </c>
      <c r="B605" s="22">
        <v>35</v>
      </c>
      <c r="C605" s="22">
        <f>1</f>
        <v>1</v>
      </c>
      <c r="D605" s="22"/>
      <c r="E605" s="22"/>
      <c r="F605" s="22"/>
    </row>
    <row r="606" spans="1:7" ht="14.5">
      <c r="A606" s="28">
        <v>44441</v>
      </c>
      <c r="B606" s="22">
        <v>35</v>
      </c>
      <c r="C606" s="22"/>
      <c r="D606" s="22"/>
      <c r="E606" s="22"/>
      <c r="F606" s="22"/>
    </row>
    <row r="607" spans="1:7" ht="14.5">
      <c r="A607" s="28">
        <v>44442</v>
      </c>
      <c r="B607" s="22">
        <v>35</v>
      </c>
      <c r="C607" s="22">
        <f>1+1</f>
        <v>2</v>
      </c>
      <c r="D607" s="22"/>
      <c r="E607" s="22"/>
      <c r="F607" s="22"/>
    </row>
    <row r="608" spans="1:7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>1</f>
        <v>1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2</f>
        <v>2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>1</f>
        <v>1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>1</f>
        <v>1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>1</f>
        <v>1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1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>1</f>
        <v>1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1+1+1</f>
        <v>3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>1</f>
        <v>1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1+1</f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1+1</f>
        <v>2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1</f>
        <v>1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1+1+3+1+1</f>
        <v>7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1+3+2+1+1+1+2+2+1+1+1+1+1</f>
        <v>18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1+2+2+1+1+1+1+1</f>
        <v>10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1+1</f>
        <v>2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2+2+1+1+1</f>
        <v>7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1+1+1+1+1+1+1</f>
        <v>7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1+2+1+1+2+2+2+1+1</f>
        <v>13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1</f>
        <v>1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1+1+1+1</f>
        <v>4</v>
      </c>
      <c r="D747" s="22">
        <f>1</f>
        <v>1</v>
      </c>
      <c r="E747" s="22"/>
      <c r="F747" s="22"/>
    </row>
    <row r="748" spans="1:6" ht="14.5">
      <c r="A748" s="28">
        <v>44583</v>
      </c>
      <c r="B748" s="22">
        <v>3</v>
      </c>
      <c r="C748" s="22">
        <f>1+1+1</f>
        <v>3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>1+1</f>
        <v>2</v>
      </c>
      <c r="D749" s="22">
        <f>1</f>
        <v>1</v>
      </c>
      <c r="E749" s="22"/>
      <c r="F749" s="22"/>
    </row>
    <row r="750" spans="1:6" ht="14.5">
      <c r="A750" s="28">
        <v>44585</v>
      </c>
      <c r="B750" s="22">
        <v>4</v>
      </c>
      <c r="C750" s="22">
        <f>1+1+1+1</f>
        <v>4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1</f>
        <v>1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1+1+1</f>
        <v>3</v>
      </c>
      <c r="D752" s="22"/>
      <c r="E752" s="22"/>
      <c r="F752" s="22"/>
    </row>
    <row r="753" spans="1:7" ht="14.5">
      <c r="A753" s="28">
        <v>44588</v>
      </c>
      <c r="B753" s="22">
        <v>4</v>
      </c>
      <c r="C753" s="22">
        <v>38</v>
      </c>
      <c r="D753" s="22"/>
      <c r="E753" s="22"/>
      <c r="F753" s="22"/>
      <c r="G753" s="80" t="s">
        <v>332</v>
      </c>
    </row>
    <row r="754" spans="1:7" ht="14.5">
      <c r="A754" s="28">
        <v>44589</v>
      </c>
      <c r="B754" s="22">
        <v>4</v>
      </c>
      <c r="C754" s="22">
        <f>1</f>
        <v>1</v>
      </c>
      <c r="D754" s="22"/>
      <c r="E754" s="22"/>
      <c r="F754" s="22"/>
    </row>
    <row r="755" spans="1:7" ht="14.5">
      <c r="A755" s="28">
        <v>44590</v>
      </c>
      <c r="B755" s="22">
        <v>4</v>
      </c>
      <c r="C755" s="22"/>
      <c r="D755" s="22"/>
      <c r="E755" s="22"/>
      <c r="F755" s="22"/>
    </row>
    <row r="756" spans="1:7" ht="14.5">
      <c r="A756" s="28">
        <v>44591</v>
      </c>
      <c r="B756" s="22">
        <v>4</v>
      </c>
      <c r="C756" s="22"/>
      <c r="D756" s="22"/>
      <c r="E756" s="22"/>
      <c r="F756" s="22"/>
    </row>
    <row r="757" spans="1:7" ht="14.5">
      <c r="A757" s="28">
        <v>44592</v>
      </c>
      <c r="B757" s="22">
        <v>5</v>
      </c>
      <c r="C757" s="22"/>
      <c r="D757" s="22"/>
      <c r="E757" s="22"/>
      <c r="F757" s="22"/>
    </row>
    <row r="758" spans="1:7" ht="14.5">
      <c r="A758" s="49">
        <v>44593</v>
      </c>
      <c r="B758" s="52">
        <v>5</v>
      </c>
      <c r="C758" s="52">
        <f>(22/6)</f>
        <v>3.6666666666666665</v>
      </c>
      <c r="D758" s="52">
        <f>(4/6)</f>
        <v>0.66666666666666663</v>
      </c>
      <c r="E758" s="52"/>
      <c r="F758" s="52"/>
    </row>
    <row r="759" spans="1:7" ht="14.5">
      <c r="A759" s="49">
        <v>44594</v>
      </c>
      <c r="B759" s="52">
        <v>5</v>
      </c>
      <c r="C759" s="52">
        <f t="shared" ref="C759:C763" si="0">(22/6)</f>
        <v>3.6666666666666665</v>
      </c>
      <c r="D759" s="52">
        <f t="shared" ref="D759:D763" si="1">(4/6)</f>
        <v>0.66666666666666663</v>
      </c>
      <c r="E759" s="52"/>
      <c r="F759" s="52"/>
    </row>
    <row r="760" spans="1:7" ht="14.5">
      <c r="A760" s="49">
        <v>44595</v>
      </c>
      <c r="B760" s="52">
        <v>5</v>
      </c>
      <c r="C760" s="52">
        <f t="shared" si="0"/>
        <v>3.6666666666666665</v>
      </c>
      <c r="D760" s="52">
        <f t="shared" si="1"/>
        <v>0.66666666666666663</v>
      </c>
      <c r="E760" s="52"/>
      <c r="F760" s="52"/>
    </row>
    <row r="761" spans="1:7" ht="14.5">
      <c r="A761" s="49">
        <v>44596</v>
      </c>
      <c r="B761" s="52">
        <v>5</v>
      </c>
      <c r="C761" s="52">
        <f t="shared" si="0"/>
        <v>3.6666666666666665</v>
      </c>
      <c r="D761" s="52">
        <f t="shared" si="1"/>
        <v>0.66666666666666663</v>
      </c>
      <c r="E761" s="52"/>
      <c r="F761" s="52"/>
    </row>
    <row r="762" spans="1:7" ht="14.5">
      <c r="A762" s="49">
        <v>44597</v>
      </c>
      <c r="B762" s="52">
        <v>5</v>
      </c>
      <c r="C762" s="52">
        <f t="shared" si="0"/>
        <v>3.6666666666666665</v>
      </c>
      <c r="D762" s="52">
        <f t="shared" si="1"/>
        <v>0.66666666666666663</v>
      </c>
      <c r="E762" s="52"/>
      <c r="F762" s="52"/>
    </row>
    <row r="763" spans="1:7" ht="14.5">
      <c r="A763" s="49">
        <v>44598</v>
      </c>
      <c r="B763" s="52">
        <v>5</v>
      </c>
      <c r="C763" s="52">
        <f t="shared" si="0"/>
        <v>3.6666666666666665</v>
      </c>
      <c r="D763" s="52">
        <f t="shared" si="1"/>
        <v>0.66666666666666663</v>
      </c>
      <c r="E763" s="52"/>
      <c r="F763" s="52"/>
    </row>
    <row r="764" spans="1:7" ht="14.5">
      <c r="A764" s="49">
        <v>44599</v>
      </c>
      <c r="B764" s="52">
        <v>6</v>
      </c>
      <c r="C764" s="52">
        <f>(21/7)</f>
        <v>3</v>
      </c>
      <c r="D764" s="52">
        <f>(3/7)</f>
        <v>0.42857142857142855</v>
      </c>
      <c r="E764" s="52"/>
      <c r="F764" s="52"/>
    </row>
    <row r="765" spans="1:7" ht="14.5">
      <c r="A765" s="49">
        <v>44600</v>
      </c>
      <c r="B765" s="52">
        <v>6</v>
      </c>
      <c r="C765" s="52">
        <f t="shared" ref="C765:C770" si="2">(21/7)</f>
        <v>3</v>
      </c>
      <c r="D765" s="52">
        <f t="shared" ref="D765:D770" si="3">(3/7)</f>
        <v>0.42857142857142855</v>
      </c>
      <c r="E765" s="52"/>
      <c r="F765" s="52"/>
    </row>
    <row r="766" spans="1:7" ht="14.5">
      <c r="A766" s="49">
        <v>44601</v>
      </c>
      <c r="B766" s="52">
        <v>6</v>
      </c>
      <c r="C766" s="52">
        <f t="shared" si="2"/>
        <v>3</v>
      </c>
      <c r="D766" s="52">
        <f t="shared" si="3"/>
        <v>0.42857142857142855</v>
      </c>
      <c r="E766" s="52"/>
      <c r="F766" s="52"/>
    </row>
    <row r="767" spans="1:7" ht="14.5">
      <c r="A767" s="49">
        <v>44602</v>
      </c>
      <c r="B767" s="52">
        <v>6</v>
      </c>
      <c r="C767" s="52">
        <f t="shared" si="2"/>
        <v>3</v>
      </c>
      <c r="D767" s="52">
        <f t="shared" si="3"/>
        <v>0.42857142857142855</v>
      </c>
      <c r="E767" s="52"/>
      <c r="F767" s="52"/>
    </row>
    <row r="768" spans="1:7" ht="14.5">
      <c r="A768" s="49">
        <v>44603</v>
      </c>
      <c r="B768" s="52">
        <v>6</v>
      </c>
      <c r="C768" s="52">
        <f t="shared" si="2"/>
        <v>3</v>
      </c>
      <c r="D768" s="52">
        <f t="shared" si="3"/>
        <v>0.42857142857142855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2"/>
        <v>3</v>
      </c>
      <c r="D769" s="52">
        <f t="shared" si="3"/>
        <v>0.42857142857142855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2"/>
        <v>3</v>
      </c>
      <c r="D770" s="52">
        <f t="shared" si="3"/>
        <v>0.42857142857142855</v>
      </c>
      <c r="E770" s="52"/>
      <c r="F770" s="52"/>
    </row>
    <row r="771" spans="1:6" ht="14.5">
      <c r="A771" s="49">
        <v>44606</v>
      </c>
      <c r="B771" s="52">
        <v>7</v>
      </c>
      <c r="C771" s="52">
        <f>(30/9)</f>
        <v>3.3333333333333335</v>
      </c>
      <c r="D771" s="52">
        <f>(10/9)</f>
        <v>1.1111111111111112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ref="C772:C779" si="4">(30/9)</f>
        <v>3.3333333333333335</v>
      </c>
      <c r="D772" s="52">
        <f t="shared" ref="D772:D779" si="5">(10/9)</f>
        <v>1.1111111111111112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4"/>
        <v>3.3333333333333335</v>
      </c>
      <c r="D773" s="52">
        <f t="shared" si="5"/>
        <v>1.1111111111111112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4"/>
        <v>3.3333333333333335</v>
      </c>
      <c r="D774" s="52">
        <f t="shared" si="5"/>
        <v>1.1111111111111112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4"/>
        <v>3.3333333333333335</v>
      </c>
      <c r="D775" s="52">
        <f t="shared" si="5"/>
        <v>1.1111111111111112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4"/>
        <v>3.3333333333333335</v>
      </c>
      <c r="D776" s="52">
        <f t="shared" si="5"/>
        <v>1.1111111111111112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4"/>
        <v>3.3333333333333335</v>
      </c>
      <c r="D777" s="52">
        <f t="shared" si="5"/>
        <v>1.1111111111111112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4"/>
        <v>3.3333333333333335</v>
      </c>
      <c r="D778" s="52">
        <f t="shared" si="5"/>
        <v>1.1111111111111112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si="4"/>
        <v>3.3333333333333335</v>
      </c>
      <c r="D779" s="52">
        <f t="shared" si="5"/>
        <v>1.1111111111111112</v>
      </c>
      <c r="E779" s="52"/>
      <c r="F779" s="52"/>
    </row>
    <row r="780" spans="1:6" ht="14.5">
      <c r="A780" s="49">
        <v>44615</v>
      </c>
      <c r="B780" s="52">
        <v>8</v>
      </c>
      <c r="C780" s="52">
        <f>(8/6)</f>
        <v>1.3333333333333333</v>
      </c>
      <c r="D780" s="52">
        <f>(3/6)</f>
        <v>0.5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ref="C781:C785" si="6">(8/6)</f>
        <v>1.3333333333333333</v>
      </c>
      <c r="D781" s="52">
        <f t="shared" ref="D781:D785" si="7">(3/6)</f>
        <v>0.5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6"/>
        <v>1.3333333333333333</v>
      </c>
      <c r="D782" s="52">
        <f t="shared" si="7"/>
        <v>0.5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6"/>
        <v>1.3333333333333333</v>
      </c>
      <c r="D783" s="52">
        <f t="shared" si="7"/>
        <v>0.5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6"/>
        <v>1.3333333333333333</v>
      </c>
      <c r="D784" s="52">
        <f t="shared" si="7"/>
        <v>0.5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6"/>
        <v>1.3333333333333333</v>
      </c>
      <c r="D785" s="52">
        <f t="shared" si="7"/>
        <v>0.5</v>
      </c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display="https://www.senshu-u.ac.jp/about/efforts/for_covid-19/kako_joukyou.html" xr:uid="{00000000-0004-0000-1C00-000000000000}"/>
  </hyperlinks>
  <printOptions horizontalCentered="1"/>
  <pageMargins left="0.7" right="0.7" top="0.75" bottom="0.75" header="0" footer="0"/>
  <pageSetup paperSize="9" fitToHeight="0" pageOrder="overThenDown" orientation="portrait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23.08203125" style="4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58</v>
      </c>
      <c r="B1" s="112"/>
      <c r="C1" s="112"/>
      <c r="D1" s="112"/>
      <c r="E1" s="112"/>
      <c r="F1" s="113"/>
      <c r="G1" s="82" t="s">
        <v>86</v>
      </c>
    </row>
    <row r="2" spans="1:7" ht="15" customHeight="1">
      <c r="A2" s="127" t="s">
        <v>8</v>
      </c>
      <c r="B2" s="115"/>
      <c r="C2" s="115"/>
      <c r="D2" s="115"/>
      <c r="E2" s="115"/>
      <c r="F2" s="116"/>
      <c r="G2" s="4" t="s">
        <v>313</v>
      </c>
    </row>
    <row r="3" spans="1:7" ht="15" customHeight="1">
      <c r="A3" s="118" t="s">
        <v>350</v>
      </c>
      <c r="B3" s="115"/>
      <c r="C3" s="115"/>
      <c r="D3" s="115"/>
      <c r="E3" s="115"/>
      <c r="F3" s="116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83"/>
      <c r="F8" s="84"/>
    </row>
    <row r="9" spans="1:7" ht="15" customHeight="1">
      <c r="A9" s="25">
        <v>43844</v>
      </c>
      <c r="B9" s="26">
        <v>1</v>
      </c>
      <c r="C9" s="22"/>
      <c r="D9" s="22"/>
      <c r="E9" s="83"/>
      <c r="F9" s="83"/>
    </row>
    <row r="10" spans="1:7" ht="15" customHeight="1">
      <c r="A10" s="25">
        <v>43845</v>
      </c>
      <c r="B10" s="26">
        <v>1</v>
      </c>
      <c r="C10" s="22"/>
      <c r="D10" s="22"/>
      <c r="E10" s="83"/>
      <c r="F10" s="83"/>
    </row>
    <row r="11" spans="1:7" ht="15" customHeight="1">
      <c r="A11" s="25">
        <v>43846</v>
      </c>
      <c r="B11" s="26">
        <v>1</v>
      </c>
      <c r="C11" s="22"/>
      <c r="D11" s="22"/>
      <c r="E11" s="83"/>
      <c r="F11" s="83"/>
    </row>
    <row r="12" spans="1:7" ht="15" customHeight="1">
      <c r="A12" s="25">
        <v>43847</v>
      </c>
      <c r="B12" s="26">
        <v>1</v>
      </c>
      <c r="C12" s="22"/>
      <c r="D12" s="22"/>
      <c r="E12" s="83"/>
      <c r="F12" s="83"/>
    </row>
    <row r="13" spans="1:7" ht="15" customHeight="1">
      <c r="A13" s="25">
        <v>43848</v>
      </c>
      <c r="B13" s="26">
        <v>1</v>
      </c>
      <c r="C13" s="22"/>
      <c r="D13" s="22"/>
      <c r="E13" s="83"/>
      <c r="F13" s="83"/>
    </row>
    <row r="14" spans="1:7" ht="15" customHeight="1">
      <c r="A14" s="25">
        <v>43849</v>
      </c>
      <c r="B14" s="26">
        <v>1</v>
      </c>
      <c r="C14" s="22"/>
      <c r="D14" s="22"/>
      <c r="E14" s="83"/>
      <c r="F14" s="83"/>
    </row>
    <row r="15" spans="1:7" ht="15" customHeight="1">
      <c r="A15" s="25">
        <v>43850</v>
      </c>
      <c r="B15" s="26">
        <v>2</v>
      </c>
      <c r="C15" s="22"/>
      <c r="D15" s="22"/>
      <c r="E15" s="83"/>
      <c r="F15" s="83"/>
    </row>
    <row r="16" spans="1:7" ht="15" customHeight="1">
      <c r="A16" s="25">
        <v>43851</v>
      </c>
      <c r="B16" s="26">
        <v>2</v>
      </c>
      <c r="C16" s="22"/>
      <c r="D16" s="22"/>
      <c r="E16" s="83"/>
      <c r="F16" s="83"/>
    </row>
    <row r="17" spans="1:6" ht="15" customHeight="1">
      <c r="A17" s="25">
        <v>43852</v>
      </c>
      <c r="B17" s="26">
        <v>2</v>
      </c>
      <c r="C17" s="22"/>
      <c r="D17" s="22"/>
      <c r="E17" s="83"/>
      <c r="F17" s="83"/>
    </row>
    <row r="18" spans="1:6" ht="15" customHeight="1">
      <c r="A18" s="25">
        <v>43853</v>
      </c>
      <c r="B18" s="26">
        <v>2</v>
      </c>
      <c r="C18" s="22"/>
      <c r="D18" s="22"/>
      <c r="E18" s="83"/>
      <c r="F18" s="83"/>
    </row>
    <row r="19" spans="1:6" ht="15" customHeight="1">
      <c r="A19" s="25">
        <v>43854</v>
      </c>
      <c r="B19" s="26">
        <v>2</v>
      </c>
      <c r="C19" s="22"/>
      <c r="D19" s="22"/>
      <c r="E19" s="83"/>
      <c r="F19" s="83"/>
    </row>
    <row r="20" spans="1:6" ht="15" customHeight="1">
      <c r="A20" s="25">
        <v>43855</v>
      </c>
      <c r="B20" s="26">
        <v>2</v>
      </c>
      <c r="C20" s="22"/>
      <c r="D20" s="22"/>
      <c r="E20" s="83"/>
      <c r="F20" s="83"/>
    </row>
    <row r="21" spans="1:6" ht="15" customHeight="1">
      <c r="A21" s="25">
        <v>43856</v>
      </c>
      <c r="B21" s="26">
        <v>2</v>
      </c>
      <c r="C21" s="22"/>
      <c r="D21" s="22"/>
      <c r="E21" s="83"/>
      <c r="F21" s="83"/>
    </row>
    <row r="22" spans="1:6" ht="15" customHeight="1">
      <c r="A22" s="25">
        <v>43857</v>
      </c>
      <c r="B22" s="26">
        <v>3</v>
      </c>
      <c r="C22" s="22"/>
      <c r="D22" s="22"/>
      <c r="E22" s="83"/>
      <c r="F22" s="83"/>
    </row>
    <row r="23" spans="1:6" ht="15" customHeight="1">
      <c r="A23" s="25">
        <v>43858</v>
      </c>
      <c r="B23" s="26">
        <v>3</v>
      </c>
      <c r="C23" s="22"/>
      <c r="D23" s="22"/>
      <c r="E23" s="83"/>
      <c r="F23" s="83"/>
    </row>
    <row r="24" spans="1:6" ht="15" customHeight="1">
      <c r="A24" s="25">
        <v>43859</v>
      </c>
      <c r="B24" s="26">
        <v>3</v>
      </c>
      <c r="C24" s="22"/>
      <c r="D24" s="22"/>
      <c r="E24" s="83"/>
      <c r="F24" s="85"/>
    </row>
    <row r="25" spans="1:6" ht="15" customHeight="1">
      <c r="A25" s="25">
        <v>43860</v>
      </c>
      <c r="B25" s="26">
        <v>3</v>
      </c>
      <c r="C25" s="22"/>
      <c r="D25" s="22"/>
      <c r="E25" s="83"/>
      <c r="F25" s="86"/>
    </row>
    <row r="26" spans="1:6" ht="15" customHeight="1">
      <c r="A26" s="25">
        <v>43861</v>
      </c>
      <c r="B26" s="26">
        <v>3</v>
      </c>
      <c r="C26" s="22"/>
      <c r="D26" s="22"/>
      <c r="E26" s="83"/>
      <c r="F26" s="83"/>
    </row>
    <row r="27" spans="1:6" ht="15" customHeight="1">
      <c r="A27" s="25">
        <v>43862</v>
      </c>
      <c r="B27" s="26">
        <v>3</v>
      </c>
      <c r="C27" s="22"/>
      <c r="D27" s="22"/>
      <c r="E27" s="83"/>
      <c r="F27" s="83"/>
    </row>
    <row r="28" spans="1:6" ht="15" customHeight="1">
      <c r="A28" s="25">
        <v>43863</v>
      </c>
      <c r="B28" s="26">
        <v>3</v>
      </c>
      <c r="C28" s="22"/>
      <c r="D28" s="22"/>
      <c r="E28" s="83"/>
      <c r="F28" s="83"/>
    </row>
    <row r="29" spans="1:6" ht="15" customHeight="1">
      <c r="A29" s="25">
        <v>43864</v>
      </c>
      <c r="B29" s="26">
        <v>4</v>
      </c>
      <c r="C29" s="22"/>
      <c r="D29" s="22"/>
      <c r="E29" s="83"/>
      <c r="F29" s="83"/>
    </row>
    <row r="30" spans="1:6" ht="15" customHeight="1">
      <c r="A30" s="25">
        <v>43865</v>
      </c>
      <c r="B30" s="26">
        <v>4</v>
      </c>
      <c r="C30" s="22"/>
      <c r="D30" s="22"/>
      <c r="E30" s="83"/>
      <c r="F30" s="86"/>
    </row>
    <row r="31" spans="1:6" ht="15" customHeight="1">
      <c r="A31" s="25">
        <v>43866</v>
      </c>
      <c r="B31" s="26">
        <v>4</v>
      </c>
      <c r="C31" s="22"/>
      <c r="D31" s="22"/>
      <c r="E31" s="83"/>
      <c r="F31" s="85"/>
    </row>
    <row r="32" spans="1:6" ht="15" customHeight="1">
      <c r="A32" s="25">
        <v>43867</v>
      </c>
      <c r="B32" s="26">
        <v>4</v>
      </c>
      <c r="C32" s="22"/>
      <c r="D32" s="22"/>
      <c r="E32" s="83"/>
      <c r="F32" s="85"/>
    </row>
    <row r="33" spans="1:6" ht="15" customHeight="1">
      <c r="A33" s="25">
        <v>43868</v>
      </c>
      <c r="B33" s="26">
        <v>4</v>
      </c>
      <c r="C33" s="22"/>
      <c r="D33" s="22"/>
      <c r="E33" s="83"/>
      <c r="F33" s="83"/>
    </row>
    <row r="34" spans="1:6" ht="15" customHeight="1">
      <c r="A34" s="25">
        <v>43869</v>
      </c>
      <c r="B34" s="26">
        <v>4</v>
      </c>
      <c r="C34" s="22"/>
      <c r="D34" s="22"/>
      <c r="E34" s="83"/>
      <c r="F34" s="83"/>
    </row>
    <row r="35" spans="1:6" ht="15" customHeight="1">
      <c r="A35" s="25">
        <v>43870</v>
      </c>
      <c r="B35" s="26">
        <v>4</v>
      </c>
      <c r="C35" s="22"/>
      <c r="D35" s="22"/>
      <c r="E35" s="83"/>
      <c r="F35" s="83"/>
    </row>
    <row r="36" spans="1:6" ht="15" customHeight="1">
      <c r="A36" s="25">
        <v>43871</v>
      </c>
      <c r="B36" s="26">
        <v>5</v>
      </c>
      <c r="C36" s="22"/>
      <c r="D36" s="22"/>
      <c r="E36" s="83"/>
      <c r="F36" s="83"/>
    </row>
    <row r="37" spans="1:6" ht="15" customHeight="1">
      <c r="A37" s="25">
        <v>43872</v>
      </c>
      <c r="B37" s="26">
        <v>5</v>
      </c>
      <c r="C37" s="22"/>
      <c r="D37" s="22"/>
      <c r="E37" s="83"/>
      <c r="F37" s="83"/>
    </row>
    <row r="38" spans="1:6" ht="15" customHeight="1">
      <c r="A38" s="25">
        <v>43873</v>
      </c>
      <c r="B38" s="26">
        <v>5</v>
      </c>
      <c r="C38" s="22"/>
      <c r="D38" s="22"/>
      <c r="E38" s="83"/>
      <c r="F38" s="83"/>
    </row>
    <row r="39" spans="1:6" ht="15" customHeight="1">
      <c r="A39" s="25">
        <v>43874</v>
      </c>
      <c r="B39" s="26">
        <v>5</v>
      </c>
      <c r="C39" s="22"/>
      <c r="D39" s="22"/>
      <c r="E39" s="83"/>
      <c r="F39" s="83"/>
    </row>
    <row r="40" spans="1:6" ht="15" customHeight="1">
      <c r="A40" s="25">
        <v>43875</v>
      </c>
      <c r="B40" s="26">
        <v>5</v>
      </c>
      <c r="C40" s="22"/>
      <c r="D40" s="22"/>
      <c r="E40" s="83"/>
      <c r="F40" s="83"/>
    </row>
    <row r="41" spans="1:6" ht="15" customHeight="1">
      <c r="A41" s="25">
        <v>43876</v>
      </c>
      <c r="B41" s="26">
        <v>5</v>
      </c>
      <c r="C41" s="22"/>
      <c r="D41" s="22"/>
      <c r="E41" s="83"/>
      <c r="F41" s="83"/>
    </row>
    <row r="42" spans="1:6" ht="15" customHeight="1">
      <c r="A42" s="25">
        <v>43877</v>
      </c>
      <c r="B42" s="26">
        <v>5</v>
      </c>
      <c r="C42" s="22"/>
      <c r="D42" s="22"/>
      <c r="E42" s="83"/>
      <c r="F42" s="87"/>
    </row>
    <row r="43" spans="1:6" ht="15" customHeight="1">
      <c r="A43" s="25">
        <v>43878</v>
      </c>
      <c r="B43" s="26">
        <v>6</v>
      </c>
      <c r="C43" s="22"/>
      <c r="D43" s="22"/>
      <c r="E43" s="83"/>
      <c r="F43" s="85"/>
    </row>
    <row r="44" spans="1:6" ht="15" customHeight="1">
      <c r="A44" s="25">
        <v>43879</v>
      </c>
      <c r="B44" s="26">
        <v>6</v>
      </c>
      <c r="C44" s="22"/>
      <c r="D44" s="22"/>
      <c r="E44" s="83"/>
      <c r="F44" s="85"/>
    </row>
    <row r="45" spans="1:6" ht="15" customHeight="1">
      <c r="A45" s="25">
        <v>43880</v>
      </c>
      <c r="B45" s="26">
        <v>6</v>
      </c>
      <c r="C45" s="22"/>
      <c r="D45" s="22"/>
      <c r="E45" s="83"/>
      <c r="F45" s="83"/>
    </row>
    <row r="46" spans="1:6" ht="15" customHeight="1">
      <c r="A46" s="25">
        <v>43881</v>
      </c>
      <c r="B46" s="26">
        <v>6</v>
      </c>
      <c r="C46" s="22"/>
      <c r="D46" s="22"/>
      <c r="E46" s="83"/>
      <c r="F46" s="85"/>
    </row>
    <row r="47" spans="1:6" ht="15" customHeight="1">
      <c r="A47" s="25">
        <v>43882</v>
      </c>
      <c r="B47" s="26">
        <v>6</v>
      </c>
      <c r="C47" s="22"/>
      <c r="D47" s="22"/>
      <c r="E47" s="83"/>
      <c r="F47" s="83"/>
    </row>
    <row r="48" spans="1:6" ht="15" customHeight="1">
      <c r="A48" s="25">
        <v>43883</v>
      </c>
      <c r="B48" s="26">
        <v>6</v>
      </c>
      <c r="C48" s="22"/>
      <c r="D48" s="22"/>
      <c r="E48" s="83"/>
      <c r="F48" s="83"/>
    </row>
    <row r="49" spans="1:6" ht="14.5">
      <c r="A49" s="25">
        <v>43884</v>
      </c>
      <c r="B49" s="26">
        <v>6</v>
      </c>
      <c r="C49" s="22"/>
      <c r="D49" s="22"/>
      <c r="E49" s="83"/>
      <c r="F49" s="83"/>
    </row>
    <row r="50" spans="1:6" ht="14.5">
      <c r="A50" s="25">
        <v>43885</v>
      </c>
      <c r="B50" s="26">
        <v>7</v>
      </c>
      <c r="C50" s="22"/>
      <c r="D50" s="22"/>
      <c r="E50" s="83"/>
      <c r="F50" s="83"/>
    </row>
    <row r="51" spans="1:6" ht="14.5">
      <c r="A51" s="25">
        <v>43886</v>
      </c>
      <c r="B51" s="26">
        <v>7</v>
      </c>
      <c r="C51" s="22"/>
      <c r="D51" s="22"/>
      <c r="E51" s="83"/>
      <c r="F51" s="83"/>
    </row>
    <row r="52" spans="1:6" ht="14.5">
      <c r="A52" s="25">
        <v>43887</v>
      </c>
      <c r="B52" s="26">
        <v>7</v>
      </c>
      <c r="C52" s="22"/>
      <c r="D52" s="22"/>
      <c r="E52" s="83"/>
      <c r="F52" s="83"/>
    </row>
    <row r="53" spans="1:6" ht="14.5">
      <c r="A53" s="25">
        <v>43888</v>
      </c>
      <c r="B53" s="26">
        <v>7</v>
      </c>
      <c r="C53" s="22"/>
      <c r="D53" s="22"/>
      <c r="E53" s="83"/>
      <c r="F53" s="83"/>
    </row>
    <row r="54" spans="1:6" ht="14.5">
      <c r="A54" s="25">
        <v>43889</v>
      </c>
      <c r="B54" s="26">
        <v>7</v>
      </c>
      <c r="C54" s="22"/>
      <c r="D54" s="22"/>
      <c r="E54" s="83"/>
      <c r="F54" s="83"/>
    </row>
    <row r="55" spans="1:6" ht="14.5">
      <c r="A55" s="25">
        <v>43890</v>
      </c>
      <c r="B55" s="26">
        <v>7</v>
      </c>
      <c r="C55" s="22"/>
      <c r="D55" s="22"/>
      <c r="E55" s="83"/>
      <c r="F55" s="83"/>
    </row>
    <row r="56" spans="1:6" ht="14.5">
      <c r="A56" s="25">
        <v>43891</v>
      </c>
      <c r="B56" s="26">
        <v>7</v>
      </c>
      <c r="C56" s="22"/>
      <c r="D56" s="22"/>
      <c r="E56" s="83"/>
      <c r="F56" s="83"/>
    </row>
    <row r="57" spans="1:6" ht="14.5">
      <c r="A57" s="25">
        <v>43892</v>
      </c>
      <c r="B57" s="26">
        <v>8</v>
      </c>
      <c r="C57" s="22"/>
      <c r="D57" s="22"/>
      <c r="E57" s="83"/>
      <c r="F57" s="83"/>
    </row>
    <row r="58" spans="1:6" ht="14.5">
      <c r="A58" s="25">
        <v>43893</v>
      </c>
      <c r="B58" s="26">
        <v>8</v>
      </c>
      <c r="C58" s="22"/>
      <c r="D58" s="22"/>
      <c r="E58" s="83"/>
      <c r="F58" s="83"/>
    </row>
    <row r="59" spans="1:6" ht="14.5">
      <c r="A59" s="25">
        <v>43894</v>
      </c>
      <c r="B59" s="26">
        <v>8</v>
      </c>
      <c r="C59" s="22"/>
      <c r="D59" s="22"/>
      <c r="E59" s="83"/>
      <c r="F59" s="83"/>
    </row>
    <row r="60" spans="1:6" ht="14.5">
      <c r="A60" s="25">
        <v>43895</v>
      </c>
      <c r="B60" s="26">
        <v>8</v>
      </c>
      <c r="C60" s="22"/>
      <c r="D60" s="22"/>
      <c r="E60" s="83"/>
      <c r="F60" s="83"/>
    </row>
    <row r="61" spans="1:6" ht="14.5">
      <c r="A61" s="25">
        <v>43896</v>
      </c>
      <c r="B61" s="26">
        <v>8</v>
      </c>
      <c r="C61" s="22"/>
      <c r="D61" s="22"/>
      <c r="E61" s="83"/>
      <c r="F61" s="83"/>
    </row>
    <row r="62" spans="1:6" ht="14.5">
      <c r="A62" s="25">
        <v>43897</v>
      </c>
      <c r="B62" s="26">
        <v>8</v>
      </c>
      <c r="C62" s="22"/>
      <c r="D62" s="22"/>
      <c r="E62" s="83"/>
      <c r="F62" s="83"/>
    </row>
    <row r="63" spans="1:6" ht="14.5">
      <c r="A63" s="25">
        <v>43898</v>
      </c>
      <c r="B63" s="26">
        <v>8</v>
      </c>
      <c r="C63" s="22"/>
      <c r="D63" s="22"/>
      <c r="E63" s="83"/>
      <c r="F63" s="83"/>
    </row>
    <row r="64" spans="1:6" ht="14.5">
      <c r="A64" s="25">
        <v>43899</v>
      </c>
      <c r="B64" s="26">
        <v>9</v>
      </c>
      <c r="C64" s="22"/>
      <c r="D64" s="22"/>
      <c r="E64" s="83"/>
      <c r="F64" s="83"/>
    </row>
    <row r="65" spans="1:6" ht="14.5">
      <c r="A65" s="25">
        <v>43900</v>
      </c>
      <c r="B65" s="26">
        <v>9</v>
      </c>
      <c r="C65" s="22"/>
      <c r="D65" s="22"/>
      <c r="E65" s="83"/>
      <c r="F65" s="83"/>
    </row>
    <row r="66" spans="1:6" ht="14.5">
      <c r="A66" s="25">
        <v>43901</v>
      </c>
      <c r="B66" s="26">
        <v>9</v>
      </c>
      <c r="C66" s="22"/>
      <c r="D66" s="22"/>
      <c r="E66" s="83"/>
      <c r="F66" s="83"/>
    </row>
    <row r="67" spans="1:6" ht="14.5">
      <c r="A67" s="25">
        <v>43902</v>
      </c>
      <c r="B67" s="26">
        <v>9</v>
      </c>
      <c r="C67" s="22"/>
      <c r="D67" s="22"/>
      <c r="E67" s="83"/>
      <c r="F67" s="83"/>
    </row>
    <row r="68" spans="1:6" ht="14.5">
      <c r="A68" s="25">
        <v>43903</v>
      </c>
      <c r="B68" s="26">
        <v>9</v>
      </c>
      <c r="C68" s="22"/>
      <c r="D68" s="22"/>
      <c r="E68" s="83"/>
      <c r="F68" s="83"/>
    </row>
    <row r="69" spans="1:6" ht="14.5">
      <c r="A69" s="25">
        <v>43904</v>
      </c>
      <c r="B69" s="26">
        <v>9</v>
      </c>
      <c r="C69" s="22"/>
      <c r="D69" s="22"/>
      <c r="E69" s="83"/>
      <c r="F69" s="83"/>
    </row>
    <row r="70" spans="1:6" ht="14.5">
      <c r="A70" s="25">
        <v>43905</v>
      </c>
      <c r="B70" s="26">
        <v>9</v>
      </c>
      <c r="C70" s="22"/>
      <c r="D70" s="22"/>
      <c r="E70" s="83"/>
      <c r="F70" s="83"/>
    </row>
    <row r="71" spans="1:6" ht="14.5">
      <c r="A71" s="25">
        <v>43906</v>
      </c>
      <c r="B71" s="26">
        <v>10</v>
      </c>
      <c r="C71" s="22"/>
      <c r="D71" s="22"/>
      <c r="E71" s="83"/>
      <c r="F71" s="83"/>
    </row>
    <row r="72" spans="1:6" ht="14.5">
      <c r="A72" s="25">
        <v>43907</v>
      </c>
      <c r="B72" s="26">
        <v>10</v>
      </c>
      <c r="C72" s="22"/>
      <c r="D72" s="22"/>
      <c r="E72" s="83"/>
      <c r="F72" s="83"/>
    </row>
    <row r="73" spans="1:6" ht="14.5">
      <c r="A73" s="25">
        <v>43908</v>
      </c>
      <c r="B73" s="26">
        <v>10</v>
      </c>
      <c r="C73" s="22"/>
      <c r="D73" s="22"/>
      <c r="E73" s="83"/>
      <c r="F73" s="83"/>
    </row>
    <row r="74" spans="1:6" ht="14.5">
      <c r="A74" s="25">
        <v>43909</v>
      </c>
      <c r="B74" s="26">
        <v>10</v>
      </c>
      <c r="C74" s="22"/>
      <c r="D74" s="22"/>
      <c r="E74" s="83"/>
      <c r="F74" s="83"/>
    </row>
    <row r="75" spans="1:6" ht="14.5">
      <c r="A75" s="25">
        <v>43910</v>
      </c>
      <c r="B75" s="26">
        <v>10</v>
      </c>
      <c r="C75" s="22"/>
      <c r="D75" s="22"/>
      <c r="E75" s="83"/>
      <c r="F75" s="83"/>
    </row>
    <row r="76" spans="1:6" ht="14.5">
      <c r="A76" s="25">
        <v>43911</v>
      </c>
      <c r="B76" s="26">
        <v>10</v>
      </c>
      <c r="C76" s="22"/>
      <c r="D76" s="22"/>
      <c r="E76" s="83"/>
      <c r="F76" s="83"/>
    </row>
    <row r="77" spans="1:6" ht="14.5">
      <c r="A77" s="25">
        <v>43912</v>
      </c>
      <c r="B77" s="26">
        <v>10</v>
      </c>
      <c r="C77" s="22"/>
      <c r="D77" s="22"/>
      <c r="E77" s="83"/>
      <c r="F77" s="83"/>
    </row>
    <row r="78" spans="1:6" ht="14.5">
      <c r="A78" s="25">
        <v>43913</v>
      </c>
      <c r="B78" s="26">
        <v>11</v>
      </c>
      <c r="C78" s="22"/>
      <c r="D78" s="22"/>
      <c r="E78" s="83"/>
      <c r="F78" s="83"/>
    </row>
    <row r="79" spans="1:6" ht="14.5">
      <c r="A79" s="25">
        <v>43914</v>
      </c>
      <c r="B79" s="26">
        <v>11</v>
      </c>
      <c r="C79" s="22"/>
      <c r="D79" s="22"/>
      <c r="E79" s="83"/>
      <c r="F79" s="83"/>
    </row>
    <row r="80" spans="1:6" ht="14.5">
      <c r="A80" s="25">
        <v>43915</v>
      </c>
      <c r="B80" s="26">
        <v>11</v>
      </c>
      <c r="C80" s="22"/>
      <c r="D80" s="22"/>
      <c r="E80" s="83"/>
      <c r="F80" s="83"/>
    </row>
    <row r="81" spans="1:6" ht="14.5">
      <c r="A81" s="25">
        <v>43916</v>
      </c>
      <c r="B81" s="26">
        <v>11</v>
      </c>
      <c r="C81" s="22"/>
      <c r="D81" s="22"/>
      <c r="E81" s="83"/>
      <c r="F81" s="83"/>
    </row>
    <row r="82" spans="1:6" ht="14.5">
      <c r="A82" s="25">
        <v>43917</v>
      </c>
      <c r="B82" s="26">
        <v>11</v>
      </c>
      <c r="C82" s="22"/>
      <c r="D82" s="22"/>
      <c r="E82" s="83"/>
      <c r="F82" s="83"/>
    </row>
    <row r="83" spans="1:6" ht="14.5">
      <c r="A83" s="25">
        <v>43918</v>
      </c>
      <c r="B83" s="26">
        <v>11</v>
      </c>
      <c r="C83" s="22"/>
      <c r="D83" s="22"/>
      <c r="E83" s="83"/>
      <c r="F83" s="83"/>
    </row>
    <row r="84" spans="1:6" ht="14.5">
      <c r="A84" s="25">
        <v>43919</v>
      </c>
      <c r="B84" s="26">
        <v>11</v>
      </c>
      <c r="C84" s="22"/>
      <c r="D84" s="22"/>
      <c r="E84" s="83"/>
      <c r="F84" s="83"/>
    </row>
    <row r="85" spans="1:6" ht="14.5">
      <c r="A85" s="25">
        <v>43920</v>
      </c>
      <c r="B85" s="26">
        <v>12</v>
      </c>
      <c r="C85" s="22"/>
      <c r="D85" s="22"/>
      <c r="E85" s="83"/>
      <c r="F85" s="83"/>
    </row>
    <row r="86" spans="1:6" ht="14.5">
      <c r="A86" s="25">
        <v>43921</v>
      </c>
      <c r="B86" s="26">
        <v>12</v>
      </c>
      <c r="C86" s="22"/>
      <c r="D86" s="22"/>
      <c r="E86" s="83"/>
      <c r="F86" s="83"/>
    </row>
    <row r="87" spans="1:6" ht="14.5">
      <c r="A87" s="25">
        <v>43922</v>
      </c>
      <c r="B87" s="26">
        <v>12</v>
      </c>
      <c r="C87" s="22"/>
      <c r="D87" s="22"/>
      <c r="E87" s="83"/>
      <c r="F87" s="83"/>
    </row>
    <row r="88" spans="1:6" ht="14.5">
      <c r="A88" s="25">
        <v>43923</v>
      </c>
      <c r="B88" s="26">
        <v>12</v>
      </c>
      <c r="C88" s="22"/>
      <c r="D88" s="22"/>
      <c r="E88" s="83"/>
      <c r="F88" s="83"/>
    </row>
    <row r="89" spans="1:6" ht="14.5">
      <c r="A89" s="25">
        <v>43924</v>
      </c>
      <c r="B89" s="26">
        <v>12</v>
      </c>
      <c r="C89" s="22"/>
      <c r="D89" s="22"/>
      <c r="E89" s="83"/>
      <c r="F89" s="83"/>
    </row>
    <row r="90" spans="1:6" ht="14.5">
      <c r="A90" s="25">
        <v>43925</v>
      </c>
      <c r="B90" s="26">
        <v>12</v>
      </c>
      <c r="C90" s="22"/>
      <c r="D90" s="22"/>
      <c r="E90" s="83"/>
      <c r="F90" s="83"/>
    </row>
    <row r="91" spans="1:6" ht="14.5">
      <c r="A91" s="25">
        <v>43926</v>
      </c>
      <c r="B91" s="26">
        <v>12</v>
      </c>
      <c r="C91" s="22"/>
      <c r="D91" s="22"/>
      <c r="E91" s="83"/>
      <c r="F91" s="83"/>
    </row>
    <row r="92" spans="1:6" ht="14.5">
      <c r="A92" s="25">
        <v>43927</v>
      </c>
      <c r="B92" s="26">
        <v>13</v>
      </c>
      <c r="C92" s="22"/>
      <c r="D92" s="22"/>
      <c r="E92" s="83"/>
      <c r="F92" s="83"/>
    </row>
    <row r="93" spans="1:6" ht="14.5">
      <c r="A93" s="25">
        <v>43928</v>
      </c>
      <c r="B93" s="26">
        <v>13</v>
      </c>
      <c r="C93" s="22"/>
      <c r="D93" s="22"/>
      <c r="E93" s="83"/>
      <c r="F93" s="83"/>
    </row>
    <row r="94" spans="1:6" ht="14.5">
      <c r="A94" s="25">
        <v>43929</v>
      </c>
      <c r="B94" s="26">
        <v>13</v>
      </c>
      <c r="C94" s="22"/>
      <c r="D94" s="22"/>
      <c r="E94" s="83"/>
      <c r="F94" s="83"/>
    </row>
    <row r="95" spans="1:6" ht="14.5">
      <c r="A95" s="25">
        <v>43930</v>
      </c>
      <c r="B95" s="26">
        <v>13</v>
      </c>
      <c r="C95" s="22"/>
      <c r="D95" s="22"/>
      <c r="E95" s="83"/>
      <c r="F95" s="83"/>
    </row>
    <row r="96" spans="1:6" ht="14.5">
      <c r="A96" s="25">
        <v>43931</v>
      </c>
      <c r="B96" s="26">
        <v>13</v>
      </c>
      <c r="C96" s="22"/>
      <c r="D96" s="22"/>
      <c r="E96" s="83"/>
      <c r="F96" s="83"/>
    </row>
    <row r="97" spans="1:6" ht="14.5">
      <c r="A97" s="25">
        <v>43932</v>
      </c>
      <c r="B97" s="26">
        <v>13</v>
      </c>
      <c r="C97" s="22"/>
      <c r="D97" s="22"/>
      <c r="E97" s="83"/>
      <c r="F97" s="83"/>
    </row>
    <row r="98" spans="1:6" ht="14.5">
      <c r="A98" s="25">
        <v>43933</v>
      </c>
      <c r="B98" s="26">
        <v>13</v>
      </c>
      <c r="C98" s="22"/>
      <c r="D98" s="22"/>
      <c r="E98" s="83"/>
      <c r="F98" s="83"/>
    </row>
    <row r="99" spans="1:6" ht="14.5">
      <c r="A99" s="25">
        <v>43934</v>
      </c>
      <c r="B99" s="26">
        <v>14</v>
      </c>
      <c r="C99" s="22"/>
      <c r="D99" s="22"/>
      <c r="E99" s="83"/>
      <c r="F99" s="83"/>
    </row>
    <row r="100" spans="1:6" ht="14.5">
      <c r="A100" s="25">
        <v>43935</v>
      </c>
      <c r="B100" s="26">
        <v>14</v>
      </c>
      <c r="C100" s="22"/>
      <c r="D100" s="22"/>
      <c r="E100" s="83"/>
      <c r="F100" s="83"/>
    </row>
    <row r="101" spans="1:6" ht="14.5">
      <c r="A101" s="25">
        <v>43936</v>
      </c>
      <c r="B101" s="26">
        <v>14</v>
      </c>
      <c r="C101" s="22"/>
      <c r="D101" s="22"/>
      <c r="E101" s="83"/>
      <c r="F101" s="83"/>
    </row>
    <row r="102" spans="1:6" ht="14.5">
      <c r="A102" s="25">
        <v>43937</v>
      </c>
      <c r="B102" s="26">
        <v>14</v>
      </c>
      <c r="C102" s="22"/>
      <c r="D102" s="22"/>
      <c r="E102" s="83"/>
      <c r="F102" s="83"/>
    </row>
    <row r="103" spans="1:6" ht="14.5">
      <c r="A103" s="25">
        <v>43938</v>
      </c>
      <c r="B103" s="26">
        <v>14</v>
      </c>
      <c r="C103" s="22"/>
      <c r="D103" s="22"/>
      <c r="E103" s="83"/>
      <c r="F103" s="83"/>
    </row>
    <row r="104" spans="1:6" ht="14.5">
      <c r="A104" s="25">
        <v>43939</v>
      </c>
      <c r="B104" s="26">
        <v>14</v>
      </c>
      <c r="C104" s="22"/>
      <c r="D104" s="22"/>
      <c r="E104" s="83"/>
      <c r="F104" s="83"/>
    </row>
    <row r="105" spans="1:6" ht="14.5">
      <c r="A105" s="25">
        <v>43940</v>
      </c>
      <c r="B105" s="26">
        <v>14</v>
      </c>
      <c r="C105" s="22"/>
      <c r="D105" s="22"/>
      <c r="E105" s="83"/>
      <c r="F105" s="83"/>
    </row>
    <row r="106" spans="1:6" ht="14.5">
      <c r="A106" s="25">
        <v>43941</v>
      </c>
      <c r="B106" s="26">
        <v>15</v>
      </c>
      <c r="C106" s="22"/>
      <c r="D106" s="22"/>
      <c r="E106" s="83"/>
      <c r="F106" s="83"/>
    </row>
    <row r="107" spans="1:6" ht="14.5">
      <c r="A107" s="25">
        <v>43942</v>
      </c>
      <c r="B107" s="26">
        <v>15</v>
      </c>
      <c r="C107" s="22"/>
      <c r="D107" s="22"/>
      <c r="E107" s="83"/>
      <c r="F107" s="83"/>
    </row>
    <row r="108" spans="1:6" ht="14.5">
      <c r="A108" s="25">
        <v>43943</v>
      </c>
      <c r="B108" s="26">
        <v>15</v>
      </c>
      <c r="C108" s="22"/>
      <c r="D108" s="22"/>
      <c r="E108" s="83"/>
      <c r="F108" s="83"/>
    </row>
    <row r="109" spans="1:6" ht="14.5">
      <c r="A109" s="25">
        <v>43944</v>
      </c>
      <c r="B109" s="26">
        <v>15</v>
      </c>
      <c r="C109" s="22"/>
      <c r="D109" s="22"/>
      <c r="E109" s="83"/>
      <c r="F109" s="83"/>
    </row>
    <row r="110" spans="1:6" ht="14.5">
      <c r="A110" s="25">
        <v>43945</v>
      </c>
      <c r="B110" s="26">
        <v>15</v>
      </c>
      <c r="C110" s="22"/>
      <c r="D110" s="22"/>
      <c r="E110" s="83"/>
      <c r="F110" s="83"/>
    </row>
    <row r="111" spans="1:6" ht="14.5">
      <c r="A111" s="25">
        <v>43946</v>
      </c>
      <c r="B111" s="26">
        <v>15</v>
      </c>
      <c r="C111" s="22"/>
      <c r="D111" s="22"/>
      <c r="E111" s="83"/>
      <c r="F111" s="83"/>
    </row>
    <row r="112" spans="1:6" ht="14.5">
      <c r="A112" s="25">
        <v>43947</v>
      </c>
      <c r="B112" s="26">
        <v>15</v>
      </c>
      <c r="C112" s="22"/>
      <c r="D112" s="22"/>
      <c r="E112" s="83"/>
      <c r="F112" s="83"/>
    </row>
    <row r="113" spans="1:7" ht="14.5">
      <c r="A113" s="25">
        <v>43948</v>
      </c>
      <c r="B113" s="26">
        <v>16</v>
      </c>
      <c r="C113" s="22"/>
      <c r="D113" s="22"/>
      <c r="E113" s="83"/>
      <c r="F113" s="83"/>
    </row>
    <row r="114" spans="1:7" ht="14.5">
      <c r="A114" s="25">
        <v>43949</v>
      </c>
      <c r="B114" s="26">
        <v>16</v>
      </c>
      <c r="C114" s="22"/>
      <c r="D114" s="22"/>
      <c r="E114" s="83"/>
      <c r="F114" s="83"/>
    </row>
    <row r="115" spans="1:7" ht="14.5">
      <c r="A115" s="25">
        <v>43950</v>
      </c>
      <c r="B115" s="26">
        <v>16</v>
      </c>
      <c r="C115" s="22"/>
      <c r="D115" s="22"/>
      <c r="E115" s="83"/>
      <c r="F115" s="83"/>
    </row>
    <row r="116" spans="1:7" ht="14.5">
      <c r="A116" s="25">
        <v>43951</v>
      </c>
      <c r="B116" s="26">
        <v>16</v>
      </c>
      <c r="C116" s="22"/>
      <c r="D116" s="22"/>
      <c r="E116" s="83"/>
      <c r="F116" s="83"/>
    </row>
    <row r="117" spans="1:7" ht="14.5">
      <c r="A117" s="25">
        <v>43952</v>
      </c>
      <c r="B117" s="26">
        <v>16</v>
      </c>
      <c r="C117" s="22"/>
      <c r="D117" s="22"/>
      <c r="E117" s="83"/>
      <c r="F117" s="83"/>
    </row>
    <row r="118" spans="1:7" ht="14.5">
      <c r="A118" s="25">
        <v>43953</v>
      </c>
      <c r="B118" s="26">
        <v>16</v>
      </c>
      <c r="C118" s="22"/>
      <c r="D118" s="22"/>
      <c r="E118" s="83"/>
      <c r="F118" s="83"/>
    </row>
    <row r="119" spans="1:7" ht="14.5">
      <c r="A119" s="25">
        <v>43954</v>
      </c>
      <c r="B119" s="26">
        <v>16</v>
      </c>
      <c r="C119" s="22"/>
      <c r="D119" s="22"/>
      <c r="E119" s="83"/>
      <c r="F119" s="83"/>
    </row>
    <row r="120" spans="1:7" ht="14.5">
      <c r="A120" s="25">
        <v>43955</v>
      </c>
      <c r="B120" s="26">
        <v>17</v>
      </c>
      <c r="C120" s="22"/>
      <c r="D120" s="22"/>
      <c r="E120" s="83"/>
      <c r="F120" s="83"/>
    </row>
    <row r="121" spans="1:7" ht="14.5">
      <c r="A121" s="25">
        <v>43956</v>
      </c>
      <c r="B121" s="26">
        <v>17</v>
      </c>
      <c r="C121" s="22"/>
      <c r="D121" s="22"/>
      <c r="E121" s="83"/>
      <c r="F121" s="83"/>
    </row>
    <row r="122" spans="1:7" ht="14.5">
      <c r="A122" s="25">
        <v>43957</v>
      </c>
      <c r="B122" s="26">
        <v>17</v>
      </c>
      <c r="C122" s="22"/>
      <c r="D122" s="22"/>
      <c r="E122" s="83"/>
      <c r="F122" s="83"/>
    </row>
    <row r="123" spans="1:7" ht="14.5">
      <c r="A123" s="25">
        <v>43958</v>
      </c>
      <c r="B123" s="26">
        <v>17</v>
      </c>
      <c r="C123" s="22"/>
      <c r="D123" s="22"/>
      <c r="E123" s="83"/>
      <c r="F123" s="83"/>
      <c r="G123" s="70"/>
    </row>
    <row r="124" spans="1:7" ht="14.5">
      <c r="A124" s="25">
        <v>43959</v>
      </c>
      <c r="B124" s="26">
        <v>17</v>
      </c>
      <c r="C124" s="22"/>
      <c r="D124" s="22"/>
      <c r="E124" s="83"/>
      <c r="F124" s="83"/>
    </row>
    <row r="125" spans="1:7" ht="14.5">
      <c r="A125" s="25">
        <v>43960</v>
      </c>
      <c r="B125" s="26">
        <v>17</v>
      </c>
      <c r="C125" s="22"/>
      <c r="D125" s="22"/>
      <c r="E125" s="83"/>
      <c r="F125" s="83"/>
    </row>
    <row r="126" spans="1:7" ht="14.5">
      <c r="A126" s="25">
        <v>43961</v>
      </c>
      <c r="B126" s="26">
        <v>17</v>
      </c>
      <c r="C126" s="22"/>
      <c r="D126" s="22"/>
      <c r="E126" s="83"/>
      <c r="F126" s="83"/>
    </row>
    <row r="127" spans="1:7" ht="14.5">
      <c r="A127" s="25">
        <v>43962</v>
      </c>
      <c r="B127" s="26">
        <v>18</v>
      </c>
      <c r="C127" s="22"/>
      <c r="D127" s="22"/>
      <c r="E127" s="83"/>
      <c r="F127" s="83"/>
    </row>
    <row r="128" spans="1:7" ht="14.5">
      <c r="A128" s="25">
        <v>43963</v>
      </c>
      <c r="B128" s="26">
        <v>18</v>
      </c>
      <c r="C128" s="22"/>
      <c r="D128" s="22"/>
      <c r="E128" s="83"/>
      <c r="F128" s="83"/>
    </row>
    <row r="129" spans="1:6" ht="14.5">
      <c r="A129" s="25">
        <v>43964</v>
      </c>
      <c r="B129" s="26">
        <v>18</v>
      </c>
      <c r="C129" s="22"/>
      <c r="D129" s="22"/>
      <c r="E129" s="83"/>
      <c r="F129" s="83"/>
    </row>
    <row r="130" spans="1:6" ht="14.5">
      <c r="A130" s="25">
        <v>43965</v>
      </c>
      <c r="B130" s="26">
        <v>18</v>
      </c>
      <c r="C130" s="22"/>
      <c r="D130" s="22"/>
      <c r="E130" s="83"/>
      <c r="F130" s="83"/>
    </row>
    <row r="131" spans="1:6" ht="14.5">
      <c r="A131" s="25">
        <v>43966</v>
      </c>
      <c r="B131" s="26">
        <v>18</v>
      </c>
      <c r="C131" s="22"/>
      <c r="D131" s="22"/>
      <c r="E131" s="83"/>
      <c r="F131" s="83"/>
    </row>
    <row r="132" spans="1:6" ht="14.5">
      <c r="A132" s="25">
        <v>43967</v>
      </c>
      <c r="B132" s="26">
        <v>18</v>
      </c>
      <c r="C132" s="22"/>
      <c r="D132" s="22"/>
      <c r="E132" s="83"/>
      <c r="F132" s="83"/>
    </row>
    <row r="133" spans="1:6" ht="14.5">
      <c r="A133" s="25">
        <v>43968</v>
      </c>
      <c r="B133" s="26">
        <v>18</v>
      </c>
      <c r="C133" s="22"/>
      <c r="D133" s="22"/>
      <c r="E133" s="83"/>
      <c r="F133" s="83"/>
    </row>
    <row r="134" spans="1:6" ht="14.5">
      <c r="A134" s="25">
        <v>43969</v>
      </c>
      <c r="B134" s="26">
        <v>19</v>
      </c>
      <c r="C134" s="22"/>
      <c r="D134" s="22"/>
      <c r="E134" s="83"/>
      <c r="F134" s="83"/>
    </row>
    <row r="135" spans="1:6" ht="14.5">
      <c r="A135" s="25">
        <v>43970</v>
      </c>
      <c r="B135" s="26">
        <v>19</v>
      </c>
      <c r="C135" s="22"/>
      <c r="D135" s="22"/>
      <c r="E135" s="83"/>
      <c r="F135" s="83"/>
    </row>
    <row r="136" spans="1:6" ht="14.5">
      <c r="A136" s="25">
        <v>43971</v>
      </c>
      <c r="B136" s="26">
        <v>19</v>
      </c>
      <c r="C136" s="22"/>
      <c r="D136" s="22"/>
      <c r="E136" s="83"/>
      <c r="F136" s="83"/>
    </row>
    <row r="137" spans="1:6" ht="14.5">
      <c r="A137" s="25">
        <v>43972</v>
      </c>
      <c r="B137" s="26">
        <v>19</v>
      </c>
      <c r="C137" s="22"/>
      <c r="D137" s="22"/>
      <c r="E137" s="83"/>
      <c r="F137" s="83"/>
    </row>
    <row r="138" spans="1:6" ht="14.5">
      <c r="A138" s="25">
        <v>43973</v>
      </c>
      <c r="B138" s="26">
        <v>19</v>
      </c>
      <c r="C138" s="22"/>
      <c r="D138" s="22"/>
      <c r="E138" s="83"/>
      <c r="F138" s="83"/>
    </row>
    <row r="139" spans="1:6" ht="14.5">
      <c r="A139" s="25">
        <v>43974</v>
      </c>
      <c r="B139" s="26">
        <v>19</v>
      </c>
      <c r="C139" s="22"/>
      <c r="D139" s="22"/>
      <c r="E139" s="83"/>
      <c r="F139" s="83"/>
    </row>
    <row r="140" spans="1:6" ht="14.5">
      <c r="A140" s="25">
        <v>43975</v>
      </c>
      <c r="B140" s="26">
        <v>19</v>
      </c>
      <c r="C140" s="22"/>
      <c r="D140" s="22"/>
      <c r="E140" s="83"/>
      <c r="F140" s="83"/>
    </row>
    <row r="141" spans="1:6" ht="14.5">
      <c r="A141" s="25">
        <v>43976</v>
      </c>
      <c r="B141" s="26">
        <v>20</v>
      </c>
      <c r="C141" s="22"/>
      <c r="D141" s="22"/>
      <c r="E141" s="83"/>
      <c r="F141" s="83"/>
    </row>
    <row r="142" spans="1:6" ht="14.5">
      <c r="A142" s="25">
        <v>43977</v>
      </c>
      <c r="B142" s="26">
        <v>20</v>
      </c>
      <c r="C142" s="22"/>
      <c r="D142" s="22"/>
      <c r="E142" s="83"/>
      <c r="F142" s="83"/>
    </row>
    <row r="143" spans="1:6" ht="14.5">
      <c r="A143" s="25">
        <v>43978</v>
      </c>
      <c r="B143" s="26">
        <v>20</v>
      </c>
      <c r="C143" s="22"/>
      <c r="D143" s="22"/>
      <c r="E143" s="83"/>
      <c r="F143" s="83"/>
    </row>
    <row r="144" spans="1:6" ht="14.5">
      <c r="A144" s="25">
        <v>43979</v>
      </c>
      <c r="B144" s="26">
        <v>20</v>
      </c>
      <c r="C144" s="22"/>
      <c r="D144" s="22"/>
      <c r="E144" s="83"/>
      <c r="F144" s="83"/>
    </row>
    <row r="145" spans="1:6" ht="14.5">
      <c r="A145" s="25">
        <v>43980</v>
      </c>
      <c r="B145" s="26">
        <v>20</v>
      </c>
      <c r="C145" s="22"/>
      <c r="D145" s="22"/>
      <c r="E145" s="83"/>
      <c r="F145" s="83"/>
    </row>
    <row r="146" spans="1:6" ht="14.5">
      <c r="A146" s="25">
        <v>43981</v>
      </c>
      <c r="B146" s="26">
        <v>20</v>
      </c>
      <c r="C146" s="22"/>
      <c r="D146" s="22"/>
      <c r="E146" s="83"/>
      <c r="F146" s="83"/>
    </row>
    <row r="147" spans="1:6" ht="14.5">
      <c r="A147" s="25">
        <v>43982</v>
      </c>
      <c r="B147" s="26">
        <v>20</v>
      </c>
      <c r="C147" s="22"/>
      <c r="D147" s="22"/>
      <c r="E147" s="83"/>
      <c r="F147" s="83"/>
    </row>
    <row r="148" spans="1:6" ht="14.5">
      <c r="A148" s="25">
        <v>43983</v>
      </c>
      <c r="B148" s="26">
        <v>21</v>
      </c>
      <c r="C148" s="22"/>
      <c r="D148" s="22"/>
      <c r="E148" s="83"/>
      <c r="F148" s="83"/>
    </row>
    <row r="149" spans="1:6" ht="14.5">
      <c r="A149" s="25">
        <v>43984</v>
      </c>
      <c r="B149" s="26">
        <v>21</v>
      </c>
      <c r="C149" s="22"/>
      <c r="D149" s="22"/>
      <c r="E149" s="83"/>
      <c r="F149" s="83"/>
    </row>
    <row r="150" spans="1:6" ht="14.5">
      <c r="A150" s="25">
        <v>43985</v>
      </c>
      <c r="B150" s="26">
        <v>21</v>
      </c>
      <c r="C150" s="22"/>
      <c r="D150" s="22"/>
      <c r="E150" s="83"/>
      <c r="F150" s="83"/>
    </row>
    <row r="151" spans="1:6" ht="14.5">
      <c r="A151" s="25">
        <v>43986</v>
      </c>
      <c r="B151" s="26">
        <v>21</v>
      </c>
      <c r="C151" s="22"/>
      <c r="D151" s="22"/>
      <c r="E151" s="83"/>
      <c r="F151" s="83"/>
    </row>
    <row r="152" spans="1:6" ht="14.5">
      <c r="A152" s="25">
        <v>43987</v>
      </c>
      <c r="B152" s="26">
        <v>21</v>
      </c>
      <c r="C152" s="22"/>
      <c r="D152" s="22"/>
      <c r="E152" s="83"/>
      <c r="F152" s="83"/>
    </row>
    <row r="153" spans="1:6" ht="14.5">
      <c r="A153" s="25">
        <v>43988</v>
      </c>
      <c r="B153" s="26">
        <v>21</v>
      </c>
      <c r="C153" s="22"/>
      <c r="D153" s="22"/>
      <c r="E153" s="83"/>
      <c r="F153" s="83"/>
    </row>
    <row r="154" spans="1:6" ht="14.5">
      <c r="A154" s="25">
        <v>43989</v>
      </c>
      <c r="B154" s="26">
        <v>21</v>
      </c>
      <c r="C154" s="22"/>
      <c r="D154" s="22"/>
      <c r="E154" s="83"/>
      <c r="F154" s="83"/>
    </row>
    <row r="155" spans="1:6" ht="14.5">
      <c r="A155" s="25">
        <v>43990</v>
      </c>
      <c r="B155" s="26">
        <v>22</v>
      </c>
      <c r="C155" s="22"/>
      <c r="D155" s="22"/>
      <c r="E155" s="83"/>
      <c r="F155" s="83"/>
    </row>
    <row r="156" spans="1:6" ht="14.5">
      <c r="A156" s="25">
        <v>43991</v>
      </c>
      <c r="B156" s="26">
        <v>22</v>
      </c>
      <c r="C156" s="22"/>
      <c r="D156" s="22"/>
      <c r="E156" s="83"/>
      <c r="F156" s="83"/>
    </row>
    <row r="157" spans="1:6" ht="14.5">
      <c r="A157" s="25">
        <v>43992</v>
      </c>
      <c r="B157" s="26">
        <v>22</v>
      </c>
      <c r="C157" s="22"/>
      <c r="D157" s="22"/>
      <c r="E157" s="83"/>
      <c r="F157" s="83"/>
    </row>
    <row r="158" spans="1:6" ht="14.5">
      <c r="A158" s="25">
        <v>43993</v>
      </c>
      <c r="B158" s="26">
        <v>22</v>
      </c>
      <c r="C158" s="22"/>
      <c r="D158" s="22"/>
      <c r="E158" s="83"/>
      <c r="F158" s="83"/>
    </row>
    <row r="159" spans="1:6" ht="14.5">
      <c r="A159" s="25">
        <v>43994</v>
      </c>
      <c r="B159" s="26">
        <v>22</v>
      </c>
      <c r="C159" s="22"/>
      <c r="D159" s="22"/>
      <c r="E159" s="83"/>
      <c r="F159" s="83"/>
    </row>
    <row r="160" spans="1:6" ht="14.5">
      <c r="A160" s="25">
        <v>43995</v>
      </c>
      <c r="B160" s="26">
        <v>22</v>
      </c>
      <c r="C160" s="22"/>
      <c r="D160" s="22"/>
      <c r="E160" s="83"/>
      <c r="F160" s="83"/>
    </row>
    <row r="161" spans="1:6" ht="14.5">
      <c r="A161" s="25">
        <v>43996</v>
      </c>
      <c r="B161" s="26">
        <v>22</v>
      </c>
      <c r="C161" s="22"/>
      <c r="D161" s="22"/>
      <c r="E161" s="83"/>
      <c r="F161" s="83"/>
    </row>
    <row r="162" spans="1:6" ht="14.5">
      <c r="A162" s="25">
        <v>43997</v>
      </c>
      <c r="B162" s="26">
        <v>23</v>
      </c>
      <c r="C162" s="22"/>
      <c r="D162" s="22"/>
      <c r="E162" s="83"/>
      <c r="F162" s="83"/>
    </row>
    <row r="163" spans="1:6" ht="14.5">
      <c r="A163" s="25">
        <v>43998</v>
      </c>
      <c r="B163" s="26">
        <v>23</v>
      </c>
      <c r="C163" s="22"/>
      <c r="D163" s="22"/>
      <c r="E163" s="83"/>
      <c r="F163" s="83"/>
    </row>
    <row r="164" spans="1:6" ht="14.5">
      <c r="A164" s="25">
        <v>43999</v>
      </c>
      <c r="B164" s="26">
        <v>23</v>
      </c>
      <c r="C164" s="22"/>
      <c r="D164" s="22"/>
      <c r="E164" s="83"/>
      <c r="F164" s="83"/>
    </row>
    <row r="165" spans="1:6" ht="14.5">
      <c r="A165" s="25">
        <v>44000</v>
      </c>
      <c r="B165" s="26">
        <v>23</v>
      </c>
      <c r="C165" s="22"/>
      <c r="D165" s="22"/>
      <c r="E165" s="83"/>
      <c r="F165" s="83"/>
    </row>
    <row r="166" spans="1:6" ht="14.5">
      <c r="A166" s="25">
        <v>44001</v>
      </c>
      <c r="B166" s="26">
        <v>23</v>
      </c>
      <c r="C166" s="22"/>
      <c r="D166" s="22"/>
      <c r="E166" s="83"/>
      <c r="F166" s="83"/>
    </row>
    <row r="167" spans="1:6" ht="14.5">
      <c r="A167" s="25">
        <v>44002</v>
      </c>
      <c r="B167" s="26">
        <v>23</v>
      </c>
      <c r="C167" s="22"/>
      <c r="D167" s="22"/>
      <c r="E167" s="83"/>
      <c r="F167" s="83"/>
    </row>
    <row r="168" spans="1:6" ht="14.5">
      <c r="A168" s="25">
        <v>44003</v>
      </c>
      <c r="B168" s="26">
        <v>23</v>
      </c>
      <c r="C168" s="22"/>
      <c r="D168" s="22"/>
      <c r="E168" s="83"/>
      <c r="F168" s="83"/>
    </row>
    <row r="169" spans="1:6" ht="14.5">
      <c r="A169" s="25">
        <v>44004</v>
      </c>
      <c r="B169" s="26">
        <v>24</v>
      </c>
      <c r="C169" s="22"/>
      <c r="D169" s="22"/>
      <c r="E169" s="83"/>
      <c r="F169" s="83"/>
    </row>
    <row r="170" spans="1:6" ht="14.5">
      <c r="A170" s="25">
        <v>44005</v>
      </c>
      <c r="B170" s="26">
        <v>24</v>
      </c>
      <c r="C170" s="22"/>
      <c r="D170" s="22"/>
      <c r="E170" s="83"/>
      <c r="F170" s="83"/>
    </row>
    <row r="171" spans="1:6" ht="14.5">
      <c r="A171" s="25">
        <v>44006</v>
      </c>
      <c r="B171" s="26">
        <v>24</v>
      </c>
      <c r="C171" s="22"/>
      <c r="D171" s="22"/>
      <c r="E171" s="83"/>
      <c r="F171" s="83"/>
    </row>
    <row r="172" spans="1:6" ht="14.5">
      <c r="A172" s="25">
        <v>44007</v>
      </c>
      <c r="B172" s="26">
        <v>24</v>
      </c>
      <c r="C172" s="22"/>
      <c r="D172" s="22"/>
      <c r="E172" s="83"/>
      <c r="F172" s="83"/>
    </row>
    <row r="173" spans="1:6" ht="14.5">
      <c r="A173" s="25">
        <v>44008</v>
      </c>
      <c r="B173" s="26">
        <v>24</v>
      </c>
      <c r="C173" s="22"/>
      <c r="D173" s="22"/>
      <c r="E173" s="83"/>
      <c r="F173" s="83"/>
    </row>
    <row r="174" spans="1:6" ht="14.5">
      <c r="A174" s="25">
        <v>44009</v>
      </c>
      <c r="B174" s="26">
        <v>24</v>
      </c>
      <c r="C174" s="22"/>
      <c r="D174" s="22"/>
      <c r="E174" s="83"/>
      <c r="F174" s="83"/>
    </row>
    <row r="175" spans="1:6" ht="14.5">
      <c r="A175" s="25">
        <v>44010</v>
      </c>
      <c r="B175" s="26">
        <v>24</v>
      </c>
      <c r="C175" s="22"/>
      <c r="D175" s="22"/>
      <c r="E175" s="83"/>
      <c r="F175" s="83"/>
    </row>
    <row r="176" spans="1:6" ht="14.5">
      <c r="A176" s="25">
        <v>44011</v>
      </c>
      <c r="B176" s="26">
        <v>25</v>
      </c>
      <c r="C176" s="22"/>
      <c r="D176" s="22"/>
      <c r="E176" s="83"/>
      <c r="F176" s="83"/>
    </row>
    <row r="177" spans="1:6" ht="14.5">
      <c r="A177" s="25">
        <v>44012</v>
      </c>
      <c r="B177" s="26">
        <v>25</v>
      </c>
      <c r="C177" s="22"/>
      <c r="D177" s="22"/>
      <c r="E177" s="83"/>
      <c r="F177" s="83"/>
    </row>
    <row r="178" spans="1:6" ht="14.5">
      <c r="A178" s="25">
        <v>44013</v>
      </c>
      <c r="B178" s="26">
        <v>25</v>
      </c>
      <c r="C178" s="22"/>
      <c r="D178" s="22"/>
      <c r="E178" s="83"/>
      <c r="F178" s="83"/>
    </row>
    <row r="179" spans="1:6" ht="14.5">
      <c r="A179" s="25">
        <v>44014</v>
      </c>
      <c r="B179" s="26">
        <v>25</v>
      </c>
      <c r="C179" s="22"/>
      <c r="D179" s="22"/>
      <c r="E179" s="83"/>
      <c r="F179" s="83"/>
    </row>
    <row r="180" spans="1:6" ht="14.5">
      <c r="A180" s="25">
        <v>44015</v>
      </c>
      <c r="B180" s="26">
        <v>25</v>
      </c>
      <c r="C180" s="22"/>
      <c r="D180" s="22"/>
      <c r="E180" s="83"/>
      <c r="F180" s="83"/>
    </row>
    <row r="181" spans="1:6" ht="14.5">
      <c r="A181" s="25">
        <v>44016</v>
      </c>
      <c r="B181" s="26">
        <v>25</v>
      </c>
      <c r="C181" s="22"/>
      <c r="D181" s="22"/>
      <c r="E181" s="83"/>
      <c r="F181" s="83"/>
    </row>
    <row r="182" spans="1:6" ht="14.5">
      <c r="A182" s="25">
        <v>44017</v>
      </c>
      <c r="B182" s="26">
        <v>25</v>
      </c>
      <c r="C182" s="22"/>
      <c r="D182" s="22"/>
      <c r="E182" s="83"/>
      <c r="F182" s="83"/>
    </row>
    <row r="183" spans="1:6" ht="14.5">
      <c r="A183" s="25">
        <v>44018</v>
      </c>
      <c r="B183" s="26">
        <v>26</v>
      </c>
      <c r="C183" s="22"/>
      <c r="D183" s="22"/>
      <c r="E183" s="83"/>
      <c r="F183" s="83"/>
    </row>
    <row r="184" spans="1:6" ht="14.5">
      <c r="A184" s="25">
        <v>44019</v>
      </c>
      <c r="B184" s="26">
        <v>26</v>
      </c>
      <c r="C184" s="22"/>
      <c r="D184" s="22"/>
      <c r="E184" s="88"/>
      <c r="F184" s="83"/>
    </row>
    <row r="185" spans="1:6" ht="14.5">
      <c r="A185" s="25">
        <v>44020</v>
      </c>
      <c r="B185" s="26">
        <v>26</v>
      </c>
      <c r="C185" s="22"/>
      <c r="D185" s="22"/>
      <c r="E185" s="88"/>
      <c r="F185" s="83"/>
    </row>
    <row r="186" spans="1:6" ht="14.5">
      <c r="A186" s="25">
        <v>44021</v>
      </c>
      <c r="B186" s="26">
        <v>26</v>
      </c>
      <c r="C186" s="22"/>
      <c r="D186" s="22"/>
      <c r="E186" s="88"/>
      <c r="F186" s="83"/>
    </row>
    <row r="187" spans="1:6" ht="14.5">
      <c r="A187" s="25">
        <v>44022</v>
      </c>
      <c r="B187" s="26">
        <v>26</v>
      </c>
      <c r="C187" s="22"/>
      <c r="D187" s="22"/>
      <c r="E187" s="88"/>
      <c r="F187" s="83"/>
    </row>
    <row r="188" spans="1:6" ht="14.5">
      <c r="A188" s="25">
        <v>44023</v>
      </c>
      <c r="B188" s="26">
        <v>26</v>
      </c>
      <c r="C188" s="22"/>
      <c r="D188" s="22"/>
      <c r="E188" s="88"/>
      <c r="F188" s="83"/>
    </row>
    <row r="189" spans="1:6" ht="14.5">
      <c r="A189" s="25">
        <v>44024</v>
      </c>
      <c r="B189" s="26">
        <v>26</v>
      </c>
      <c r="C189" s="22"/>
      <c r="D189" s="22"/>
      <c r="E189" s="88"/>
      <c r="F189" s="83"/>
    </row>
    <row r="190" spans="1:6" ht="14.5">
      <c r="A190" s="25">
        <v>44025</v>
      </c>
      <c r="B190" s="26">
        <v>27</v>
      </c>
      <c r="C190" s="22"/>
      <c r="D190" s="22"/>
      <c r="E190" s="88"/>
      <c r="F190" s="83"/>
    </row>
    <row r="191" spans="1:6" ht="14.5">
      <c r="A191" s="25">
        <v>44026</v>
      </c>
      <c r="B191" s="26">
        <v>27</v>
      </c>
      <c r="C191" s="22"/>
      <c r="D191" s="22"/>
      <c r="E191" s="83"/>
      <c r="F191" s="83"/>
    </row>
    <row r="192" spans="1:6" ht="14.5">
      <c r="A192" s="25">
        <v>44027</v>
      </c>
      <c r="B192" s="26">
        <v>27</v>
      </c>
      <c r="C192" s="22"/>
      <c r="D192" s="22"/>
      <c r="E192" s="83"/>
      <c r="F192" s="83"/>
    </row>
    <row r="193" spans="1:6" ht="14.5">
      <c r="A193" s="25">
        <v>44028</v>
      </c>
      <c r="B193" s="26">
        <v>27</v>
      </c>
      <c r="C193" s="22"/>
      <c r="D193" s="22"/>
      <c r="E193" s="83"/>
      <c r="F193" s="83"/>
    </row>
    <row r="194" spans="1:6" ht="14.5">
      <c r="A194" s="25">
        <v>44029</v>
      </c>
      <c r="B194" s="26">
        <v>27</v>
      </c>
      <c r="C194" s="22"/>
      <c r="D194" s="22"/>
      <c r="E194" s="83"/>
      <c r="F194" s="83"/>
    </row>
    <row r="195" spans="1:6" ht="14.5">
      <c r="A195" s="25">
        <v>44030</v>
      </c>
      <c r="B195" s="26">
        <v>27</v>
      </c>
      <c r="C195" s="22"/>
      <c r="D195" s="22"/>
      <c r="E195" s="83"/>
      <c r="F195" s="83"/>
    </row>
    <row r="196" spans="1:6" ht="14.5">
      <c r="A196" s="25">
        <v>44031</v>
      </c>
      <c r="B196" s="26">
        <v>27</v>
      </c>
      <c r="C196" s="22"/>
      <c r="D196" s="22"/>
      <c r="E196" s="83"/>
      <c r="F196" s="83"/>
    </row>
    <row r="197" spans="1:6" ht="14.5">
      <c r="A197" s="25">
        <v>44032</v>
      </c>
      <c r="B197" s="26">
        <v>28</v>
      </c>
      <c r="C197" s="22"/>
      <c r="D197" s="22"/>
      <c r="E197" s="83"/>
      <c r="F197" s="83"/>
    </row>
    <row r="198" spans="1:6" ht="14.5">
      <c r="A198" s="25">
        <v>44033</v>
      </c>
      <c r="B198" s="26">
        <v>28</v>
      </c>
      <c r="C198" s="22"/>
      <c r="D198" s="22"/>
      <c r="E198" s="83"/>
      <c r="F198" s="83"/>
    </row>
    <row r="199" spans="1:6" ht="14.5">
      <c r="A199" s="25">
        <v>44034</v>
      </c>
      <c r="B199" s="26">
        <v>28</v>
      </c>
      <c r="C199" s="22"/>
      <c r="D199" s="22"/>
      <c r="E199" s="83"/>
      <c r="F199" s="83"/>
    </row>
    <row r="200" spans="1:6" ht="14.5">
      <c r="A200" s="25">
        <v>44035</v>
      </c>
      <c r="B200" s="26">
        <v>28</v>
      </c>
      <c r="C200" s="22"/>
      <c r="D200" s="22"/>
      <c r="E200" s="83"/>
      <c r="F200" s="83"/>
    </row>
    <row r="201" spans="1:6" ht="14.5">
      <c r="A201" s="25">
        <v>44036</v>
      </c>
      <c r="B201" s="26">
        <v>28</v>
      </c>
      <c r="C201" s="22"/>
      <c r="D201" s="22"/>
      <c r="E201" s="83"/>
      <c r="F201" s="83"/>
    </row>
    <row r="202" spans="1:6" ht="14.5">
      <c r="A202" s="25">
        <v>44037</v>
      </c>
      <c r="B202" s="26">
        <v>28</v>
      </c>
      <c r="C202" s="22"/>
      <c r="D202" s="22"/>
      <c r="E202" s="83"/>
      <c r="F202" s="83"/>
    </row>
    <row r="203" spans="1:6" ht="14.5">
      <c r="A203" s="25">
        <v>44038</v>
      </c>
      <c r="B203" s="26">
        <v>28</v>
      </c>
      <c r="C203" s="22"/>
      <c r="D203" s="22"/>
      <c r="E203" s="83"/>
      <c r="F203" s="83"/>
    </row>
    <row r="204" spans="1:6" ht="14.5">
      <c r="A204" s="25">
        <v>44039</v>
      </c>
      <c r="B204" s="26">
        <v>29</v>
      </c>
      <c r="C204" s="22"/>
      <c r="D204" s="22"/>
      <c r="E204" s="83"/>
      <c r="F204" s="83"/>
    </row>
    <row r="205" spans="1:6" ht="14.5">
      <c r="A205" s="25">
        <v>44040</v>
      </c>
      <c r="B205" s="26">
        <v>29</v>
      </c>
      <c r="C205" s="22"/>
      <c r="D205" s="22"/>
      <c r="E205" s="83"/>
      <c r="F205" s="83"/>
    </row>
    <row r="206" spans="1:6" ht="14.5">
      <c r="A206" s="25">
        <v>44041</v>
      </c>
      <c r="B206" s="26">
        <v>29</v>
      </c>
      <c r="C206" s="22"/>
      <c r="D206" s="22"/>
      <c r="E206" s="86"/>
      <c r="F206" s="83"/>
    </row>
    <row r="207" spans="1:6" ht="14.5">
      <c r="A207" s="25">
        <v>44042</v>
      </c>
      <c r="B207" s="26">
        <v>29</v>
      </c>
      <c r="C207" s="22"/>
      <c r="D207" s="22"/>
      <c r="E207" s="83"/>
      <c r="F207" s="83"/>
    </row>
    <row r="208" spans="1:6" ht="14.5">
      <c r="A208" s="25">
        <v>44043</v>
      </c>
      <c r="B208" s="26">
        <v>29</v>
      </c>
      <c r="C208" s="22"/>
      <c r="D208" s="22"/>
      <c r="E208" s="83"/>
      <c r="F208" s="83"/>
    </row>
    <row r="209" spans="1:6" ht="14.5">
      <c r="A209" s="25">
        <v>44044</v>
      </c>
      <c r="B209" s="26">
        <v>29</v>
      </c>
      <c r="C209" s="22"/>
      <c r="D209" s="22"/>
      <c r="E209" s="83"/>
      <c r="F209" s="83"/>
    </row>
    <row r="210" spans="1:6" ht="14.5">
      <c r="A210" s="25">
        <v>44045</v>
      </c>
      <c r="B210" s="26">
        <v>29</v>
      </c>
      <c r="C210" s="22"/>
      <c r="D210" s="22"/>
      <c r="E210" s="83"/>
      <c r="F210" s="83"/>
    </row>
    <row r="211" spans="1:6" ht="14.5">
      <c r="A211" s="25">
        <v>44046</v>
      </c>
      <c r="B211" s="26">
        <v>30</v>
      </c>
      <c r="C211" s="22"/>
      <c r="D211" s="22"/>
      <c r="E211" s="83"/>
      <c r="F211" s="83"/>
    </row>
    <row r="212" spans="1:6" ht="14.5">
      <c r="A212" s="25">
        <v>44047</v>
      </c>
      <c r="B212" s="26">
        <v>30</v>
      </c>
      <c r="C212" s="22"/>
      <c r="D212" s="22"/>
      <c r="E212" s="83"/>
      <c r="F212" s="83"/>
    </row>
    <row r="213" spans="1:6" ht="14.5">
      <c r="A213" s="25">
        <v>44048</v>
      </c>
      <c r="B213" s="26">
        <v>30</v>
      </c>
      <c r="C213" s="22"/>
      <c r="D213" s="22"/>
      <c r="E213" s="86"/>
      <c r="F213" s="83"/>
    </row>
    <row r="214" spans="1:6" ht="14.5">
      <c r="A214" s="25">
        <v>44049</v>
      </c>
      <c r="B214" s="26">
        <v>30</v>
      </c>
      <c r="C214" s="22"/>
      <c r="D214" s="22"/>
      <c r="E214" s="83"/>
      <c r="F214" s="83"/>
    </row>
    <row r="215" spans="1:6" ht="14.5">
      <c r="A215" s="25">
        <v>44050</v>
      </c>
      <c r="B215" s="26">
        <v>30</v>
      </c>
      <c r="C215" s="22"/>
      <c r="D215" s="22"/>
      <c r="E215" s="83"/>
      <c r="F215" s="83"/>
    </row>
    <row r="216" spans="1:6" ht="14.5">
      <c r="A216" s="25">
        <v>44051</v>
      </c>
      <c r="B216" s="26">
        <v>30</v>
      </c>
      <c r="C216" s="22"/>
      <c r="D216" s="22"/>
      <c r="E216" s="83"/>
      <c r="F216" s="83"/>
    </row>
    <row r="217" spans="1:6" ht="14.5">
      <c r="A217" s="25">
        <v>44052</v>
      </c>
      <c r="B217" s="26">
        <v>30</v>
      </c>
      <c r="C217" s="22"/>
      <c r="D217" s="22"/>
      <c r="E217" s="86"/>
      <c r="F217" s="83"/>
    </row>
    <row r="218" spans="1:6" ht="14.5">
      <c r="A218" s="25">
        <v>44053</v>
      </c>
      <c r="B218" s="26">
        <v>31</v>
      </c>
      <c r="C218" s="22"/>
      <c r="D218" s="22"/>
      <c r="E218" s="86"/>
      <c r="F218" s="83"/>
    </row>
    <row r="219" spans="1:6" ht="14.5">
      <c r="A219" s="25">
        <v>44054</v>
      </c>
      <c r="B219" s="26">
        <v>31</v>
      </c>
      <c r="C219" s="22"/>
      <c r="D219" s="22"/>
      <c r="E219" s="83"/>
      <c r="F219" s="83"/>
    </row>
    <row r="220" spans="1:6" ht="14.5">
      <c r="A220" s="25">
        <v>44055</v>
      </c>
      <c r="B220" s="26">
        <v>31</v>
      </c>
      <c r="C220" s="22"/>
      <c r="D220" s="22"/>
      <c r="E220" s="83"/>
      <c r="F220" s="83"/>
    </row>
    <row r="221" spans="1:6" ht="14.5">
      <c r="A221" s="25">
        <v>44056</v>
      </c>
      <c r="B221" s="26">
        <v>31</v>
      </c>
      <c r="C221" s="22"/>
      <c r="D221" s="22"/>
      <c r="E221" s="83"/>
      <c r="F221" s="83"/>
    </row>
    <row r="222" spans="1:6" ht="14.5">
      <c r="A222" s="25">
        <v>44057</v>
      </c>
      <c r="B222" s="26">
        <v>31</v>
      </c>
      <c r="C222" s="22"/>
      <c r="D222" s="22"/>
      <c r="E222" s="83"/>
      <c r="F222" s="83"/>
    </row>
    <row r="223" spans="1:6" ht="14.5">
      <c r="A223" s="25">
        <v>44058</v>
      </c>
      <c r="B223" s="26">
        <v>31</v>
      </c>
      <c r="C223" s="22"/>
      <c r="D223" s="22"/>
      <c r="E223" s="83"/>
      <c r="F223" s="83"/>
    </row>
    <row r="224" spans="1:6" ht="14.5">
      <c r="A224" s="25">
        <v>44059</v>
      </c>
      <c r="B224" s="26">
        <v>31</v>
      </c>
      <c r="C224" s="22"/>
      <c r="D224" s="22"/>
      <c r="E224" s="83"/>
      <c r="F224" s="83"/>
    </row>
    <row r="225" spans="1:7" ht="14.5">
      <c r="A225" s="25">
        <v>44060</v>
      </c>
      <c r="B225" s="26">
        <v>32</v>
      </c>
      <c r="C225" s="22"/>
      <c r="D225" s="22"/>
      <c r="E225" s="83"/>
      <c r="F225" s="83"/>
    </row>
    <row r="226" spans="1:7" ht="14.5">
      <c r="A226" s="25">
        <v>44061</v>
      </c>
      <c r="B226" s="26">
        <v>32</v>
      </c>
      <c r="C226" s="22"/>
      <c r="D226" s="22"/>
      <c r="E226" s="83"/>
      <c r="F226" s="83"/>
    </row>
    <row r="227" spans="1:7" ht="14.5">
      <c r="A227" s="25">
        <v>44062</v>
      </c>
      <c r="B227" s="26">
        <v>32</v>
      </c>
      <c r="C227" s="22"/>
      <c r="D227" s="22"/>
      <c r="E227" s="83"/>
      <c r="F227" s="83"/>
    </row>
    <row r="228" spans="1:7" ht="14.5">
      <c r="A228" s="25">
        <v>44063</v>
      </c>
      <c r="B228" s="26">
        <v>32</v>
      </c>
      <c r="C228" s="22"/>
      <c r="D228" s="22"/>
      <c r="E228" s="83"/>
      <c r="F228" s="83"/>
    </row>
    <row r="229" spans="1:7" ht="14.5">
      <c r="A229" s="25">
        <v>44064</v>
      </c>
      <c r="B229" s="26">
        <v>32</v>
      </c>
      <c r="C229" s="22"/>
      <c r="D229" s="22"/>
      <c r="E229" s="83"/>
      <c r="F229" s="83"/>
    </row>
    <row r="230" spans="1:7" ht="14.5">
      <c r="A230" s="25">
        <v>44065</v>
      </c>
      <c r="B230" s="26">
        <v>32</v>
      </c>
      <c r="C230" s="22"/>
      <c r="D230" s="22"/>
      <c r="E230" s="83"/>
      <c r="F230" s="83"/>
    </row>
    <row r="231" spans="1:7" ht="14.5">
      <c r="A231" s="25">
        <v>44066</v>
      </c>
      <c r="B231" s="26">
        <v>32</v>
      </c>
      <c r="C231" s="22"/>
      <c r="D231" s="22"/>
      <c r="E231" s="83"/>
      <c r="F231" s="83"/>
    </row>
    <row r="232" spans="1:7" ht="14.5">
      <c r="A232" s="25">
        <v>44067</v>
      </c>
      <c r="B232" s="26">
        <v>33</v>
      </c>
      <c r="C232" s="22"/>
      <c r="D232" s="22"/>
      <c r="E232" s="83"/>
      <c r="F232" s="83"/>
      <c r="G232" s="70"/>
    </row>
    <row r="233" spans="1:7" ht="14.5">
      <c r="A233" s="25">
        <v>44068</v>
      </c>
      <c r="B233" s="26">
        <v>33</v>
      </c>
      <c r="C233" s="22"/>
      <c r="D233" s="22"/>
      <c r="E233" s="83"/>
      <c r="F233" s="83"/>
    </row>
    <row r="234" spans="1:7" ht="14.5">
      <c r="A234" s="25">
        <v>44069</v>
      </c>
      <c r="B234" s="26">
        <v>33</v>
      </c>
      <c r="C234" s="22"/>
      <c r="D234" s="22"/>
      <c r="E234" s="83"/>
      <c r="F234" s="83"/>
    </row>
    <row r="235" spans="1:7" ht="14.5">
      <c r="A235" s="25">
        <v>44070</v>
      </c>
      <c r="B235" s="26">
        <v>33</v>
      </c>
      <c r="C235" s="22"/>
      <c r="D235" s="22"/>
      <c r="E235" s="83"/>
      <c r="F235" s="83"/>
    </row>
    <row r="236" spans="1:7" ht="14.5">
      <c r="A236" s="25">
        <v>44071</v>
      </c>
      <c r="B236" s="26">
        <v>33</v>
      </c>
      <c r="C236" s="22"/>
      <c r="D236" s="22"/>
      <c r="E236" s="83"/>
      <c r="F236" s="83"/>
    </row>
    <row r="237" spans="1:7" ht="14.5">
      <c r="A237" s="25">
        <v>44072</v>
      </c>
      <c r="B237" s="26">
        <v>33</v>
      </c>
      <c r="C237" s="22"/>
      <c r="D237" s="22"/>
      <c r="E237" s="83"/>
      <c r="F237" s="83"/>
    </row>
    <row r="238" spans="1:7" ht="14.5">
      <c r="A238" s="25">
        <v>44073</v>
      </c>
      <c r="B238" s="26">
        <v>33</v>
      </c>
      <c r="C238" s="22"/>
      <c r="D238" s="22"/>
      <c r="E238" s="83"/>
      <c r="F238" s="83"/>
    </row>
    <row r="239" spans="1:7" ht="14.5">
      <c r="A239" s="25">
        <v>44074</v>
      </c>
      <c r="B239" s="26">
        <v>34</v>
      </c>
      <c r="C239" s="22"/>
      <c r="D239" s="22"/>
      <c r="E239" s="83"/>
      <c r="F239" s="83"/>
    </row>
    <row r="240" spans="1:7" ht="14.5">
      <c r="A240" s="25">
        <v>44075</v>
      </c>
      <c r="B240" s="26">
        <v>34</v>
      </c>
      <c r="C240" s="22"/>
      <c r="D240" s="22"/>
      <c r="E240" s="83"/>
      <c r="F240" s="83"/>
    </row>
    <row r="241" spans="1:6" ht="14.5">
      <c r="A241" s="25">
        <v>44076</v>
      </c>
      <c r="B241" s="26">
        <v>34</v>
      </c>
      <c r="C241" s="22"/>
      <c r="D241" s="22">
        <v>1</v>
      </c>
      <c r="E241" s="83"/>
      <c r="F241" s="83"/>
    </row>
    <row r="242" spans="1:6" ht="14.5">
      <c r="A242" s="25">
        <v>44077</v>
      </c>
      <c r="B242" s="26">
        <v>34</v>
      </c>
      <c r="C242" s="22"/>
      <c r="D242" s="22"/>
      <c r="E242" s="83"/>
      <c r="F242" s="83"/>
    </row>
    <row r="243" spans="1:6" ht="14.5">
      <c r="A243" s="25">
        <v>44078</v>
      </c>
      <c r="B243" s="26">
        <v>34</v>
      </c>
      <c r="C243" s="22"/>
      <c r="D243" s="22"/>
      <c r="E243" s="83"/>
      <c r="F243" s="83"/>
    </row>
    <row r="244" spans="1:6" ht="14.5">
      <c r="A244" s="25">
        <v>44079</v>
      </c>
      <c r="B244" s="26">
        <v>34</v>
      </c>
      <c r="C244" s="22"/>
      <c r="D244" s="22"/>
      <c r="E244" s="83"/>
      <c r="F244" s="83"/>
    </row>
    <row r="245" spans="1:6" ht="14.5">
      <c r="A245" s="25">
        <v>44080</v>
      </c>
      <c r="B245" s="26">
        <v>34</v>
      </c>
      <c r="C245" s="22"/>
      <c r="D245" s="22"/>
      <c r="E245" s="83"/>
      <c r="F245" s="83"/>
    </row>
    <row r="246" spans="1:6" ht="14.5">
      <c r="A246" s="25">
        <v>44081</v>
      </c>
      <c r="B246" s="26">
        <v>35</v>
      </c>
      <c r="C246" s="22"/>
      <c r="D246" s="22"/>
      <c r="E246" s="83"/>
      <c r="F246" s="83"/>
    </row>
    <row r="247" spans="1:6" ht="14.5">
      <c r="A247" s="25">
        <v>44082</v>
      </c>
      <c r="B247" s="26">
        <v>35</v>
      </c>
      <c r="C247" s="22"/>
      <c r="D247" s="22"/>
      <c r="E247" s="83"/>
      <c r="F247" s="83"/>
    </row>
    <row r="248" spans="1:6" ht="14.5">
      <c r="A248" s="25">
        <v>44083</v>
      </c>
      <c r="B248" s="26">
        <v>35</v>
      </c>
      <c r="C248" s="22"/>
      <c r="D248" s="22"/>
      <c r="E248" s="83"/>
      <c r="F248" s="83"/>
    </row>
    <row r="249" spans="1:6" ht="14.5">
      <c r="A249" s="25">
        <v>44084</v>
      </c>
      <c r="B249" s="26">
        <v>35</v>
      </c>
      <c r="C249" s="22"/>
      <c r="D249" s="22"/>
      <c r="E249" s="83"/>
      <c r="F249" s="83"/>
    </row>
    <row r="250" spans="1:6" ht="14.5">
      <c r="A250" s="25">
        <v>44085</v>
      </c>
      <c r="B250" s="26">
        <v>35</v>
      </c>
      <c r="C250" s="22"/>
      <c r="D250" s="22"/>
      <c r="E250" s="83"/>
      <c r="F250" s="83"/>
    </row>
    <row r="251" spans="1:6" ht="14.5">
      <c r="A251" s="25">
        <v>44086</v>
      </c>
      <c r="B251" s="26">
        <v>35</v>
      </c>
      <c r="C251" s="22"/>
      <c r="D251" s="22"/>
      <c r="E251" s="83"/>
      <c r="F251" s="83"/>
    </row>
    <row r="252" spans="1:6" ht="14.5">
      <c r="A252" s="25">
        <v>44087</v>
      </c>
      <c r="B252" s="26">
        <v>35</v>
      </c>
      <c r="C252" s="22"/>
      <c r="D252" s="22"/>
      <c r="E252" s="83"/>
      <c r="F252" s="83"/>
    </row>
    <row r="253" spans="1:6" ht="14.5">
      <c r="A253" s="25">
        <v>44088</v>
      </c>
      <c r="B253" s="26">
        <v>36</v>
      </c>
      <c r="C253" s="22"/>
      <c r="D253" s="22"/>
      <c r="E253" s="83"/>
      <c r="F253" s="83"/>
    </row>
    <row r="254" spans="1:6" ht="14.5">
      <c r="A254" s="25">
        <v>44089</v>
      </c>
      <c r="B254" s="26">
        <v>36</v>
      </c>
      <c r="C254" s="22"/>
      <c r="D254" s="22"/>
      <c r="E254" s="83"/>
      <c r="F254" s="83"/>
    </row>
    <row r="255" spans="1:6" ht="14.5">
      <c r="A255" s="25">
        <v>44090</v>
      </c>
      <c r="B255" s="26">
        <v>36</v>
      </c>
      <c r="C255" s="22"/>
      <c r="D255" s="22"/>
      <c r="E255" s="83"/>
      <c r="F255" s="83"/>
    </row>
    <row r="256" spans="1:6" ht="14.5">
      <c r="A256" s="25">
        <v>44091</v>
      </c>
      <c r="B256" s="26">
        <v>36</v>
      </c>
      <c r="C256" s="22"/>
      <c r="D256" s="22"/>
      <c r="E256" s="83"/>
      <c r="F256" s="83"/>
    </row>
    <row r="257" spans="1:6" ht="14.5">
      <c r="A257" s="25">
        <v>44092</v>
      </c>
      <c r="B257" s="26">
        <v>36</v>
      </c>
      <c r="C257" s="22"/>
      <c r="D257" s="22"/>
      <c r="E257" s="83"/>
      <c r="F257" s="83"/>
    </row>
    <row r="258" spans="1:6" ht="14.5">
      <c r="A258" s="25">
        <v>44093</v>
      </c>
      <c r="B258" s="26">
        <v>36</v>
      </c>
      <c r="C258" s="22"/>
      <c r="D258" s="22"/>
      <c r="E258" s="83"/>
      <c r="F258" s="83"/>
    </row>
    <row r="259" spans="1:6" ht="14.5">
      <c r="A259" s="25">
        <v>44094</v>
      </c>
      <c r="B259" s="26">
        <v>36</v>
      </c>
      <c r="C259" s="22"/>
      <c r="D259" s="22"/>
      <c r="E259" s="83"/>
      <c r="F259" s="83"/>
    </row>
    <row r="260" spans="1:6" ht="14.5">
      <c r="A260" s="25">
        <v>44095</v>
      </c>
      <c r="B260" s="26">
        <v>37</v>
      </c>
      <c r="C260" s="22"/>
      <c r="D260" s="22"/>
      <c r="E260" s="83"/>
      <c r="F260" s="83"/>
    </row>
    <row r="261" spans="1:6" ht="14.5">
      <c r="A261" s="25">
        <v>44096</v>
      </c>
      <c r="B261" s="26">
        <v>37</v>
      </c>
      <c r="C261" s="22"/>
      <c r="D261" s="22"/>
      <c r="E261" s="83"/>
      <c r="F261" s="83"/>
    </row>
    <row r="262" spans="1:6" ht="14.5">
      <c r="A262" s="25">
        <v>44097</v>
      </c>
      <c r="B262" s="26">
        <v>37</v>
      </c>
      <c r="C262" s="22"/>
      <c r="D262" s="22"/>
      <c r="E262" s="83"/>
      <c r="F262" s="83"/>
    </row>
    <row r="263" spans="1:6" ht="14.5">
      <c r="A263" s="25">
        <v>44098</v>
      </c>
      <c r="B263" s="26">
        <v>37</v>
      </c>
      <c r="C263" s="22"/>
      <c r="D263" s="22"/>
      <c r="E263" s="83"/>
      <c r="F263" s="83"/>
    </row>
    <row r="264" spans="1:6" ht="14.5">
      <c r="A264" s="25">
        <v>44099</v>
      </c>
      <c r="B264" s="26">
        <v>37</v>
      </c>
      <c r="C264" s="22"/>
      <c r="D264" s="22"/>
      <c r="E264" s="83"/>
      <c r="F264" s="83"/>
    </row>
    <row r="265" spans="1:6" ht="14.5">
      <c r="A265" s="25">
        <v>44100</v>
      </c>
      <c r="B265" s="26">
        <v>37</v>
      </c>
      <c r="C265" s="22"/>
      <c r="D265" s="22"/>
      <c r="E265" s="83"/>
      <c r="F265" s="83"/>
    </row>
    <row r="266" spans="1:6" ht="14.5">
      <c r="A266" s="25">
        <v>44101</v>
      </c>
      <c r="B266" s="26">
        <v>37</v>
      </c>
      <c r="C266" s="22"/>
      <c r="D266" s="22"/>
      <c r="E266" s="83"/>
      <c r="F266" s="83"/>
    </row>
    <row r="267" spans="1:6" ht="14.5">
      <c r="A267" s="25">
        <v>44102</v>
      </c>
      <c r="B267" s="26">
        <v>38</v>
      </c>
      <c r="C267" s="22"/>
      <c r="D267" s="22"/>
      <c r="E267" s="83"/>
      <c r="F267" s="83"/>
    </row>
    <row r="268" spans="1:6" ht="14.5">
      <c r="A268" s="25">
        <v>44103</v>
      </c>
      <c r="B268" s="26">
        <v>38</v>
      </c>
      <c r="C268" s="22"/>
      <c r="D268" s="22"/>
      <c r="E268" s="83"/>
      <c r="F268" s="83"/>
    </row>
    <row r="269" spans="1:6" ht="14.5">
      <c r="A269" s="25">
        <v>44104</v>
      </c>
      <c r="B269" s="26">
        <v>38</v>
      </c>
      <c r="C269" s="22"/>
      <c r="D269" s="22"/>
      <c r="E269" s="83"/>
      <c r="F269" s="83"/>
    </row>
    <row r="270" spans="1:6" ht="14.5">
      <c r="A270" s="25">
        <v>44105</v>
      </c>
      <c r="B270" s="26">
        <v>38</v>
      </c>
      <c r="C270" s="22"/>
      <c r="D270" s="22"/>
      <c r="E270" s="86"/>
      <c r="F270" s="83"/>
    </row>
    <row r="271" spans="1:6" ht="14.5">
      <c r="A271" s="25">
        <v>44106</v>
      </c>
      <c r="B271" s="26">
        <v>38</v>
      </c>
      <c r="C271" s="22"/>
      <c r="D271" s="22"/>
      <c r="E271" s="83"/>
      <c r="F271" s="83"/>
    </row>
    <row r="272" spans="1:6" ht="14.5">
      <c r="A272" s="25">
        <v>44107</v>
      </c>
      <c r="B272" s="26">
        <v>38</v>
      </c>
      <c r="C272" s="22"/>
      <c r="D272" s="22"/>
      <c r="E272" s="83"/>
      <c r="F272" s="83"/>
    </row>
    <row r="273" spans="1:6" ht="14.5">
      <c r="A273" s="25">
        <v>44108</v>
      </c>
      <c r="B273" s="26">
        <v>38</v>
      </c>
      <c r="C273" s="22"/>
      <c r="D273" s="22"/>
      <c r="E273" s="83"/>
      <c r="F273" s="83"/>
    </row>
    <row r="274" spans="1:6" ht="14.5">
      <c r="A274" s="25">
        <v>44109</v>
      </c>
      <c r="B274" s="26">
        <v>39</v>
      </c>
      <c r="C274" s="22"/>
      <c r="D274" s="22"/>
      <c r="E274" s="83"/>
      <c r="F274" s="83"/>
    </row>
    <row r="275" spans="1:6" ht="14.5">
      <c r="A275" s="25">
        <v>44110</v>
      </c>
      <c r="B275" s="26">
        <v>39</v>
      </c>
      <c r="C275" s="22"/>
      <c r="D275" s="22"/>
      <c r="E275" s="83"/>
      <c r="F275" s="83"/>
    </row>
    <row r="276" spans="1:6" ht="14.5">
      <c r="A276" s="25">
        <v>44111</v>
      </c>
      <c r="B276" s="26">
        <v>39</v>
      </c>
      <c r="C276" s="22"/>
      <c r="D276" s="22"/>
      <c r="E276" s="83"/>
      <c r="F276" s="83"/>
    </row>
    <row r="277" spans="1:6" ht="14.5">
      <c r="A277" s="25">
        <v>44112</v>
      </c>
      <c r="B277" s="26">
        <v>39</v>
      </c>
      <c r="C277" s="22"/>
      <c r="D277" s="22"/>
      <c r="E277" s="83"/>
      <c r="F277" s="83"/>
    </row>
    <row r="278" spans="1:6" ht="14.5">
      <c r="A278" s="25">
        <v>44113</v>
      </c>
      <c r="B278" s="26">
        <v>39</v>
      </c>
      <c r="C278" s="22"/>
      <c r="D278" s="22"/>
      <c r="E278" s="83"/>
      <c r="F278" s="83"/>
    </row>
    <row r="279" spans="1:6" ht="14.5">
      <c r="A279" s="25">
        <v>44114</v>
      </c>
      <c r="B279" s="26">
        <v>39</v>
      </c>
      <c r="C279" s="22"/>
      <c r="D279" s="22"/>
      <c r="E279" s="83"/>
      <c r="F279" s="83"/>
    </row>
    <row r="280" spans="1:6" ht="14.5">
      <c r="A280" s="25">
        <v>44115</v>
      </c>
      <c r="B280" s="26">
        <v>39</v>
      </c>
      <c r="C280" s="22"/>
      <c r="D280" s="22"/>
      <c r="E280" s="83"/>
      <c r="F280" s="83"/>
    </row>
    <row r="281" spans="1:6" ht="14.5">
      <c r="A281" s="25">
        <v>44116</v>
      </c>
      <c r="B281" s="26">
        <v>40</v>
      </c>
      <c r="C281" s="22"/>
      <c r="D281" s="22"/>
      <c r="E281" s="83"/>
      <c r="F281" s="83"/>
    </row>
    <row r="282" spans="1:6" ht="14.5">
      <c r="A282" s="25">
        <v>44117</v>
      </c>
      <c r="B282" s="26">
        <v>40</v>
      </c>
      <c r="C282" s="22"/>
      <c r="D282" s="22"/>
      <c r="E282" s="83"/>
      <c r="F282" s="83"/>
    </row>
    <row r="283" spans="1:6" ht="14.5">
      <c r="A283" s="25">
        <v>44118</v>
      </c>
      <c r="B283" s="26">
        <v>40</v>
      </c>
      <c r="C283" s="22"/>
      <c r="D283" s="22"/>
      <c r="E283" s="83"/>
      <c r="F283" s="83"/>
    </row>
    <row r="284" spans="1:6" ht="14.5">
      <c r="A284" s="25">
        <v>44119</v>
      </c>
      <c r="B284" s="26">
        <v>40</v>
      </c>
      <c r="C284" s="22"/>
      <c r="D284" s="22"/>
      <c r="E284" s="83"/>
      <c r="F284" s="83"/>
    </row>
    <row r="285" spans="1:6" ht="14.5">
      <c r="A285" s="25">
        <v>44120</v>
      </c>
      <c r="B285" s="26">
        <v>40</v>
      </c>
      <c r="C285" s="22"/>
      <c r="D285" s="22"/>
      <c r="E285" s="83"/>
      <c r="F285" s="83"/>
    </row>
    <row r="286" spans="1:6" ht="14.5">
      <c r="A286" s="25">
        <v>44121</v>
      </c>
      <c r="B286" s="26">
        <v>40</v>
      </c>
      <c r="C286" s="22"/>
      <c r="D286" s="22"/>
      <c r="E286" s="83"/>
      <c r="F286" s="83"/>
    </row>
    <row r="287" spans="1:6" ht="14.5">
      <c r="A287" s="25">
        <v>44122</v>
      </c>
      <c r="B287" s="26">
        <v>40</v>
      </c>
      <c r="C287" s="22"/>
      <c r="D287" s="22"/>
      <c r="E287" s="83"/>
      <c r="F287" s="83"/>
    </row>
    <row r="288" spans="1:6" ht="14.5">
      <c r="A288" s="25">
        <v>44123</v>
      </c>
      <c r="B288" s="26">
        <v>41</v>
      </c>
      <c r="C288" s="22"/>
      <c r="D288" s="22"/>
      <c r="E288" s="83"/>
      <c r="F288" s="83"/>
    </row>
    <row r="289" spans="1:6" ht="14.5">
      <c r="A289" s="25">
        <v>44124</v>
      </c>
      <c r="B289" s="26">
        <v>41</v>
      </c>
      <c r="C289" s="22"/>
      <c r="D289" s="22"/>
      <c r="E289" s="86"/>
      <c r="F289" s="83"/>
    </row>
    <row r="290" spans="1:6" ht="14.5">
      <c r="A290" s="25">
        <v>44125</v>
      </c>
      <c r="B290" s="26">
        <v>41</v>
      </c>
      <c r="C290" s="22"/>
      <c r="D290" s="22"/>
      <c r="E290" s="83"/>
      <c r="F290" s="83"/>
    </row>
    <row r="291" spans="1:6" ht="14.5">
      <c r="A291" s="25">
        <v>44126</v>
      </c>
      <c r="B291" s="26">
        <v>41</v>
      </c>
      <c r="C291" s="22"/>
      <c r="D291" s="22"/>
      <c r="E291" s="83"/>
      <c r="F291" s="83"/>
    </row>
    <row r="292" spans="1:6" ht="14.5">
      <c r="A292" s="25">
        <v>44127</v>
      </c>
      <c r="B292" s="26">
        <v>41</v>
      </c>
      <c r="C292" s="22"/>
      <c r="D292" s="22"/>
      <c r="E292" s="83"/>
      <c r="F292" s="83"/>
    </row>
    <row r="293" spans="1:6" ht="14.5">
      <c r="A293" s="25">
        <v>44128</v>
      </c>
      <c r="B293" s="26">
        <v>41</v>
      </c>
      <c r="C293" s="22"/>
      <c r="D293" s="22"/>
      <c r="E293" s="83"/>
      <c r="F293" s="83"/>
    </row>
    <row r="294" spans="1:6" ht="14.5">
      <c r="A294" s="25">
        <v>44129</v>
      </c>
      <c r="B294" s="26">
        <v>41</v>
      </c>
      <c r="C294" s="22"/>
      <c r="D294" s="22"/>
      <c r="E294" s="83"/>
      <c r="F294" s="83"/>
    </row>
    <row r="295" spans="1:6" ht="14.5">
      <c r="A295" s="25">
        <v>44130</v>
      </c>
      <c r="B295" s="26">
        <v>42</v>
      </c>
      <c r="C295" s="22"/>
      <c r="D295" s="22"/>
      <c r="E295" s="83"/>
      <c r="F295" s="83"/>
    </row>
    <row r="296" spans="1:6" ht="14.5">
      <c r="A296" s="25">
        <v>44131</v>
      </c>
      <c r="B296" s="26">
        <v>42</v>
      </c>
      <c r="C296" s="22"/>
      <c r="D296" s="22"/>
      <c r="E296" s="83"/>
      <c r="F296" s="83"/>
    </row>
    <row r="297" spans="1:6" ht="14.5">
      <c r="A297" s="25">
        <v>44132</v>
      </c>
      <c r="B297" s="26">
        <v>42</v>
      </c>
      <c r="C297" s="22"/>
      <c r="D297" s="22"/>
      <c r="E297" s="83"/>
      <c r="F297" s="83"/>
    </row>
    <row r="298" spans="1:6" ht="14.5">
      <c r="A298" s="25">
        <v>44133</v>
      </c>
      <c r="B298" s="26">
        <v>42</v>
      </c>
      <c r="C298" s="22"/>
      <c r="D298" s="22"/>
      <c r="E298" s="83"/>
      <c r="F298" s="83"/>
    </row>
    <row r="299" spans="1:6" ht="14.5">
      <c r="A299" s="25">
        <v>44134</v>
      </c>
      <c r="B299" s="26">
        <v>42</v>
      </c>
      <c r="C299" s="22"/>
      <c r="D299" s="22"/>
      <c r="E299" s="83"/>
      <c r="F299" s="83"/>
    </row>
    <row r="300" spans="1:6" ht="14.5">
      <c r="A300" s="25">
        <v>44135</v>
      </c>
      <c r="B300" s="26">
        <v>42</v>
      </c>
      <c r="C300" s="22"/>
      <c r="D300" s="22"/>
      <c r="E300" s="83"/>
      <c r="F300" s="83"/>
    </row>
    <row r="301" spans="1:6" ht="14.5">
      <c r="A301" s="25">
        <v>44136</v>
      </c>
      <c r="B301" s="26">
        <v>42</v>
      </c>
      <c r="C301" s="22"/>
      <c r="D301" s="22"/>
      <c r="E301" s="83"/>
      <c r="F301" s="83"/>
    </row>
    <row r="302" spans="1:6" ht="14.5">
      <c r="A302" s="25">
        <v>44137</v>
      </c>
      <c r="B302" s="26">
        <v>43</v>
      </c>
      <c r="C302" s="22"/>
      <c r="D302" s="22"/>
      <c r="E302" s="83"/>
      <c r="F302" s="83"/>
    </row>
    <row r="303" spans="1:6" ht="14.5">
      <c r="A303" s="25">
        <v>44138</v>
      </c>
      <c r="B303" s="26">
        <v>43</v>
      </c>
      <c r="C303" s="22"/>
      <c r="D303" s="22"/>
      <c r="E303" s="86"/>
      <c r="F303" s="83"/>
    </row>
    <row r="304" spans="1:6" ht="14.5">
      <c r="A304" s="25">
        <v>44139</v>
      </c>
      <c r="B304" s="26">
        <v>43</v>
      </c>
      <c r="C304" s="22"/>
      <c r="D304" s="22"/>
      <c r="E304" s="83"/>
      <c r="F304" s="83"/>
    </row>
    <row r="305" spans="1:6" ht="14.5">
      <c r="A305" s="25">
        <v>44140</v>
      </c>
      <c r="B305" s="26">
        <v>43</v>
      </c>
      <c r="C305" s="22"/>
      <c r="D305" s="22"/>
      <c r="E305" s="83"/>
      <c r="F305" s="83"/>
    </row>
    <row r="306" spans="1:6" ht="14.5">
      <c r="A306" s="25">
        <v>44141</v>
      </c>
      <c r="B306" s="26">
        <v>43</v>
      </c>
      <c r="C306" s="22"/>
      <c r="D306" s="22"/>
      <c r="E306" s="83"/>
      <c r="F306" s="83"/>
    </row>
    <row r="307" spans="1:6" ht="14.5">
      <c r="A307" s="25">
        <v>44142</v>
      </c>
      <c r="B307" s="26">
        <v>43</v>
      </c>
      <c r="C307" s="22">
        <v>1</v>
      </c>
      <c r="D307" s="22"/>
      <c r="E307" s="89" t="s">
        <v>346</v>
      </c>
      <c r="F307" s="83"/>
    </row>
    <row r="308" spans="1:6" ht="14.5">
      <c r="A308" s="25">
        <v>44143</v>
      </c>
      <c r="B308" s="26">
        <v>43</v>
      </c>
      <c r="C308" s="22"/>
      <c r="D308" s="22"/>
      <c r="E308" s="83"/>
      <c r="F308" s="83"/>
    </row>
    <row r="309" spans="1:6" ht="14.5">
      <c r="A309" s="25">
        <v>44144</v>
      </c>
      <c r="B309" s="26">
        <v>44</v>
      </c>
      <c r="C309" s="22"/>
      <c r="D309" s="22"/>
      <c r="E309" s="83"/>
      <c r="F309" s="83"/>
    </row>
    <row r="310" spans="1:6" ht="14.5">
      <c r="A310" s="25">
        <v>44145</v>
      </c>
      <c r="B310" s="26">
        <v>44</v>
      </c>
      <c r="C310" s="22"/>
      <c r="D310" s="22"/>
      <c r="E310" s="83"/>
      <c r="F310" s="83"/>
    </row>
    <row r="311" spans="1:6" ht="14.5">
      <c r="A311" s="25">
        <v>44146</v>
      </c>
      <c r="B311" s="26">
        <v>44</v>
      </c>
      <c r="C311" s="22"/>
      <c r="D311" s="22"/>
      <c r="E311" s="83"/>
      <c r="F311" s="83"/>
    </row>
    <row r="312" spans="1:6" ht="14.5">
      <c r="A312" s="25">
        <v>44147</v>
      </c>
      <c r="B312" s="26">
        <v>44</v>
      </c>
      <c r="C312" s="22"/>
      <c r="D312" s="22"/>
      <c r="E312" s="83"/>
      <c r="F312" s="83"/>
    </row>
    <row r="313" spans="1:6" ht="14.5">
      <c r="A313" s="25">
        <v>44148</v>
      </c>
      <c r="B313" s="26">
        <v>44</v>
      </c>
      <c r="C313" s="22"/>
      <c r="D313" s="22"/>
      <c r="E313" s="83"/>
      <c r="F313" s="83"/>
    </row>
    <row r="314" spans="1:6" ht="14.5">
      <c r="A314" s="25">
        <v>44149</v>
      </c>
      <c r="B314" s="26">
        <v>44</v>
      </c>
      <c r="C314" s="22"/>
      <c r="D314" s="22"/>
      <c r="E314" s="83"/>
      <c r="F314" s="83"/>
    </row>
    <row r="315" spans="1:6" ht="14.5">
      <c r="A315" s="25">
        <v>44150</v>
      </c>
      <c r="B315" s="26">
        <v>44</v>
      </c>
      <c r="C315" s="22"/>
      <c r="D315" s="22"/>
      <c r="E315" s="83"/>
      <c r="F315" s="83"/>
    </row>
    <row r="316" spans="1:6" ht="14.5">
      <c r="A316" s="25">
        <v>44151</v>
      </c>
      <c r="B316" s="26">
        <v>45</v>
      </c>
      <c r="C316" s="22">
        <v>2</v>
      </c>
      <c r="D316" s="22"/>
      <c r="E316" s="89" t="s">
        <v>346</v>
      </c>
      <c r="F316" s="83"/>
    </row>
    <row r="317" spans="1:6" ht="14.5">
      <c r="A317" s="25">
        <v>44152</v>
      </c>
      <c r="B317" s="26">
        <v>45</v>
      </c>
      <c r="C317" s="22"/>
      <c r="D317" s="22"/>
      <c r="E317" s="86"/>
      <c r="F317" s="83"/>
    </row>
    <row r="318" spans="1:6" ht="14.5">
      <c r="A318" s="25">
        <v>44153</v>
      </c>
      <c r="B318" s="26">
        <v>45</v>
      </c>
      <c r="C318" s="22"/>
      <c r="D318" s="22"/>
      <c r="E318" s="83"/>
      <c r="F318" s="83"/>
    </row>
    <row r="319" spans="1:6" ht="14.5">
      <c r="A319" s="25">
        <v>44154</v>
      </c>
      <c r="B319" s="26">
        <v>45</v>
      </c>
      <c r="C319" s="22"/>
      <c r="D319" s="22"/>
      <c r="E319" s="83"/>
      <c r="F319" s="83"/>
    </row>
    <row r="320" spans="1:6" ht="14.5">
      <c r="A320" s="25">
        <v>44155</v>
      </c>
      <c r="B320" s="26">
        <v>45</v>
      </c>
      <c r="C320" s="22"/>
      <c r="D320" s="22"/>
      <c r="E320" s="83"/>
      <c r="F320" s="83"/>
    </row>
    <row r="321" spans="1:6" ht="14.5">
      <c r="A321" s="25">
        <v>44156</v>
      </c>
      <c r="B321" s="26">
        <v>45</v>
      </c>
      <c r="C321" s="22"/>
      <c r="D321" s="22"/>
      <c r="E321" s="83"/>
      <c r="F321" s="83"/>
    </row>
    <row r="322" spans="1:6" ht="14.5">
      <c r="A322" s="25">
        <v>44157</v>
      </c>
      <c r="B322" s="26">
        <v>45</v>
      </c>
      <c r="C322" s="22"/>
      <c r="D322" s="22"/>
      <c r="E322" s="83"/>
      <c r="F322" s="83"/>
    </row>
    <row r="323" spans="1:6" ht="14.5">
      <c r="A323" s="25">
        <v>44158</v>
      </c>
      <c r="B323" s="26">
        <v>46</v>
      </c>
      <c r="C323" s="22">
        <v>1</v>
      </c>
      <c r="D323" s="22"/>
      <c r="E323" s="83" t="s">
        <v>345</v>
      </c>
      <c r="F323" s="83"/>
    </row>
    <row r="324" spans="1:6" ht="14.5">
      <c r="A324" s="25">
        <v>44159</v>
      </c>
      <c r="B324" s="26">
        <v>46</v>
      </c>
      <c r="C324" s="22"/>
      <c r="D324" s="22"/>
      <c r="E324" s="83"/>
      <c r="F324" s="83"/>
    </row>
    <row r="325" spans="1:6" ht="14.5">
      <c r="A325" s="25">
        <v>44160</v>
      </c>
      <c r="B325" s="26">
        <v>46</v>
      </c>
      <c r="C325" s="22"/>
      <c r="D325" s="22"/>
      <c r="E325" s="83"/>
      <c r="F325" s="83"/>
    </row>
    <row r="326" spans="1:6" ht="14.5">
      <c r="A326" s="25">
        <v>44161</v>
      </c>
      <c r="B326" s="26">
        <v>46</v>
      </c>
      <c r="C326" s="22">
        <v>1</v>
      </c>
      <c r="D326" s="22">
        <v>1</v>
      </c>
      <c r="E326" s="83" t="s">
        <v>345</v>
      </c>
      <c r="F326" s="83" t="s">
        <v>345</v>
      </c>
    </row>
    <row r="327" spans="1:6" ht="14.5">
      <c r="A327" s="25">
        <v>44162</v>
      </c>
      <c r="B327" s="26">
        <v>46</v>
      </c>
      <c r="C327" s="22">
        <v>1</v>
      </c>
      <c r="D327" s="22"/>
      <c r="E327" s="83" t="s">
        <v>345</v>
      </c>
      <c r="F327" s="83"/>
    </row>
    <row r="328" spans="1:6" ht="14.5">
      <c r="A328" s="25">
        <v>44163</v>
      </c>
      <c r="B328" s="26">
        <v>46</v>
      </c>
      <c r="C328" s="22"/>
      <c r="D328" s="22"/>
      <c r="E328" s="86"/>
      <c r="F328" s="83"/>
    </row>
    <row r="329" spans="1:6" ht="14.5">
      <c r="A329" s="25">
        <v>44164</v>
      </c>
      <c r="B329" s="26">
        <v>46</v>
      </c>
      <c r="C329" s="22"/>
      <c r="D329" s="22"/>
      <c r="E329" s="83"/>
      <c r="F329" s="83"/>
    </row>
    <row r="330" spans="1:6" ht="14.5">
      <c r="A330" s="25">
        <v>44165</v>
      </c>
      <c r="B330" s="26">
        <v>47</v>
      </c>
      <c r="C330" s="22"/>
      <c r="D330" s="22"/>
      <c r="E330" s="83"/>
      <c r="F330" s="83"/>
    </row>
    <row r="331" spans="1:6" ht="14.5">
      <c r="A331" s="25">
        <v>44166</v>
      </c>
      <c r="B331" s="26">
        <v>47</v>
      </c>
      <c r="C331" s="22">
        <v>1</v>
      </c>
      <c r="D331" s="22"/>
      <c r="E331" s="83" t="s">
        <v>345</v>
      </c>
      <c r="F331" s="83"/>
    </row>
    <row r="332" spans="1:6" ht="14.5">
      <c r="A332" s="25">
        <v>44167</v>
      </c>
      <c r="B332" s="26">
        <v>47</v>
      </c>
      <c r="C332" s="22"/>
      <c r="D332" s="22"/>
      <c r="E332" s="86"/>
      <c r="F332" s="83"/>
    </row>
    <row r="333" spans="1:6" ht="14.5">
      <c r="A333" s="25">
        <v>44168</v>
      </c>
      <c r="B333" s="26">
        <v>47</v>
      </c>
      <c r="C333" s="22">
        <v>2</v>
      </c>
      <c r="D333" s="22"/>
      <c r="E333" s="83" t="s">
        <v>347</v>
      </c>
      <c r="F333" s="83"/>
    </row>
    <row r="334" spans="1:6" ht="14.5">
      <c r="A334" s="25">
        <v>44169</v>
      </c>
      <c r="B334" s="26">
        <v>47</v>
      </c>
      <c r="C334" s="22"/>
      <c r="D334" s="22"/>
      <c r="E334" s="86"/>
      <c r="F334" s="83"/>
    </row>
    <row r="335" spans="1:6" ht="14.5">
      <c r="A335" s="25">
        <v>44170</v>
      </c>
      <c r="B335" s="26">
        <v>47</v>
      </c>
      <c r="C335" s="22"/>
      <c r="D335" s="22"/>
      <c r="E335" s="83"/>
      <c r="F335" s="83"/>
    </row>
    <row r="336" spans="1:6" ht="14.5">
      <c r="A336" s="25">
        <v>44171</v>
      </c>
      <c r="B336" s="26">
        <v>47</v>
      </c>
      <c r="C336" s="22"/>
      <c r="D336" s="22"/>
      <c r="E336" s="83"/>
      <c r="F336" s="83"/>
    </row>
    <row r="337" spans="1:6" ht="14.5">
      <c r="A337" s="25">
        <v>44172</v>
      </c>
      <c r="B337" s="26">
        <v>48</v>
      </c>
      <c r="C337" s="22">
        <v>1</v>
      </c>
      <c r="D337" s="22"/>
      <c r="E337" s="83" t="s">
        <v>345</v>
      </c>
      <c r="F337" s="83"/>
    </row>
    <row r="338" spans="1:6" ht="14.5">
      <c r="A338" s="25">
        <v>44173</v>
      </c>
      <c r="B338" s="26">
        <v>48</v>
      </c>
      <c r="C338" s="22"/>
      <c r="D338" s="22"/>
      <c r="E338" s="83"/>
      <c r="F338" s="83"/>
    </row>
    <row r="339" spans="1:6" ht="14.5">
      <c r="A339" s="25">
        <v>44174</v>
      </c>
      <c r="B339" s="26">
        <v>48</v>
      </c>
      <c r="C339" s="22"/>
      <c r="D339" s="22"/>
      <c r="E339" s="83"/>
      <c r="F339" s="83"/>
    </row>
    <row r="340" spans="1:6" ht="14.5">
      <c r="A340" s="25">
        <v>44175</v>
      </c>
      <c r="B340" s="26">
        <v>48</v>
      </c>
      <c r="C340" s="22">
        <v>1</v>
      </c>
      <c r="D340" s="22"/>
      <c r="E340" s="89" t="s">
        <v>346</v>
      </c>
      <c r="F340" s="83"/>
    </row>
    <row r="341" spans="1:6" ht="14.5">
      <c r="A341" s="25">
        <v>44176</v>
      </c>
      <c r="B341" s="26">
        <v>48</v>
      </c>
      <c r="C341" s="22"/>
      <c r="D341" s="22"/>
      <c r="E341" s="83"/>
      <c r="F341" s="83"/>
    </row>
    <row r="342" spans="1:6" ht="14.5">
      <c r="A342" s="25">
        <v>44177</v>
      </c>
      <c r="B342" s="26">
        <v>48</v>
      </c>
      <c r="C342" s="22"/>
      <c r="D342" s="22"/>
      <c r="E342" s="83"/>
      <c r="F342" s="83"/>
    </row>
    <row r="343" spans="1:6" ht="14.5">
      <c r="A343" s="25">
        <v>44178</v>
      </c>
      <c r="B343" s="26">
        <v>48</v>
      </c>
      <c r="C343" s="22"/>
      <c r="D343" s="22"/>
      <c r="E343" s="83"/>
      <c r="F343" s="83"/>
    </row>
    <row r="344" spans="1:6" ht="14.5">
      <c r="A344" s="25">
        <v>44179</v>
      </c>
      <c r="B344" s="26">
        <v>49</v>
      </c>
      <c r="C344" s="22">
        <v>1</v>
      </c>
      <c r="D344" s="22"/>
      <c r="E344" s="83" t="s">
        <v>345</v>
      </c>
      <c r="F344" s="83"/>
    </row>
    <row r="345" spans="1:6" ht="14.5">
      <c r="A345" s="25">
        <v>44180</v>
      </c>
      <c r="B345" s="26">
        <v>49</v>
      </c>
      <c r="C345" s="22"/>
      <c r="D345" s="22"/>
      <c r="E345" s="83"/>
      <c r="F345" s="83"/>
    </row>
    <row r="346" spans="1:6" ht="14.5">
      <c r="A346" s="25">
        <v>44181</v>
      </c>
      <c r="B346" s="26">
        <v>49</v>
      </c>
      <c r="C346" s="22">
        <v>1</v>
      </c>
      <c r="D346" s="22"/>
      <c r="E346" s="83" t="s">
        <v>345</v>
      </c>
      <c r="F346" s="83"/>
    </row>
    <row r="347" spans="1:6" ht="14.5">
      <c r="A347" s="25">
        <v>44182</v>
      </c>
      <c r="B347" s="26">
        <v>49</v>
      </c>
      <c r="C347" s="22"/>
      <c r="D347" s="22"/>
      <c r="E347" s="83"/>
      <c r="F347" s="83"/>
    </row>
    <row r="348" spans="1:6" ht="14.5">
      <c r="A348" s="25">
        <v>44183</v>
      </c>
      <c r="B348" s="26">
        <v>49</v>
      </c>
      <c r="C348" s="22"/>
      <c r="D348" s="22"/>
      <c r="E348" s="83"/>
      <c r="F348" s="83"/>
    </row>
    <row r="349" spans="1:6" ht="14.5">
      <c r="A349" s="25">
        <v>44184</v>
      </c>
      <c r="B349" s="26">
        <v>49</v>
      </c>
      <c r="C349" s="22"/>
      <c r="D349" s="22"/>
      <c r="E349" s="83"/>
      <c r="F349" s="83"/>
    </row>
    <row r="350" spans="1:6" ht="14.5">
      <c r="A350" s="25">
        <v>44185</v>
      </c>
      <c r="B350" s="26">
        <v>49</v>
      </c>
      <c r="C350" s="22"/>
      <c r="D350" s="22"/>
      <c r="E350" s="83"/>
      <c r="F350" s="83"/>
    </row>
    <row r="351" spans="1:6" ht="14.5">
      <c r="A351" s="25">
        <v>44186</v>
      </c>
      <c r="B351" s="26">
        <v>50</v>
      </c>
      <c r="C351" s="22">
        <v>1</v>
      </c>
      <c r="D351" s="22"/>
      <c r="E351" s="83" t="s">
        <v>345</v>
      </c>
      <c r="F351" s="83"/>
    </row>
    <row r="352" spans="1:6" ht="14.5">
      <c r="A352" s="25">
        <v>44187</v>
      </c>
      <c r="B352" s="26">
        <v>50</v>
      </c>
      <c r="C352" s="22">
        <v>2</v>
      </c>
      <c r="D352" s="22"/>
      <c r="E352" s="83" t="s">
        <v>347</v>
      </c>
      <c r="F352" s="83"/>
    </row>
    <row r="353" spans="1:7" ht="14.5">
      <c r="A353" s="25">
        <v>44188</v>
      </c>
      <c r="B353" s="26">
        <v>50</v>
      </c>
      <c r="C353" s="22"/>
      <c r="D353" s="22"/>
      <c r="E353" s="86"/>
      <c r="F353" s="83"/>
    </row>
    <row r="354" spans="1:7" ht="14.5">
      <c r="A354" s="25">
        <v>44189</v>
      </c>
      <c r="B354" s="26">
        <v>50</v>
      </c>
      <c r="C354" s="22">
        <v>1</v>
      </c>
      <c r="D354" s="22"/>
      <c r="E354" s="89" t="s">
        <v>346</v>
      </c>
      <c r="F354" s="83"/>
    </row>
    <row r="355" spans="1:7" ht="14.5">
      <c r="A355" s="25">
        <v>44190</v>
      </c>
      <c r="B355" s="26">
        <v>50</v>
      </c>
      <c r="C355" s="22">
        <f t="shared" ref="C355:C365" si="0">9/11</f>
        <v>0.81818181818181823</v>
      </c>
      <c r="D355" s="22"/>
      <c r="E355" s="83" t="s">
        <v>347</v>
      </c>
      <c r="F355" s="83"/>
    </row>
    <row r="356" spans="1:7" ht="14.5">
      <c r="A356" s="25">
        <v>44191</v>
      </c>
      <c r="B356" s="26">
        <v>50</v>
      </c>
      <c r="C356" s="22">
        <f t="shared" si="0"/>
        <v>0.81818181818181823</v>
      </c>
      <c r="D356" s="22"/>
      <c r="E356" s="83" t="s">
        <v>347</v>
      </c>
      <c r="F356" s="83"/>
    </row>
    <row r="357" spans="1:7" ht="14.5">
      <c r="A357" s="25">
        <v>44192</v>
      </c>
      <c r="B357" s="26">
        <v>50</v>
      </c>
      <c r="C357" s="22">
        <f t="shared" si="0"/>
        <v>0.81818181818181823</v>
      </c>
      <c r="D357" s="22"/>
      <c r="E357" s="83" t="s">
        <v>347</v>
      </c>
      <c r="F357" s="83"/>
    </row>
    <row r="358" spans="1:7" ht="14.5">
      <c r="A358" s="25">
        <v>44193</v>
      </c>
      <c r="B358" s="26">
        <v>51</v>
      </c>
      <c r="C358" s="22">
        <f t="shared" si="0"/>
        <v>0.81818181818181823</v>
      </c>
      <c r="D358" s="22"/>
      <c r="E358" s="83" t="s">
        <v>347</v>
      </c>
      <c r="F358" s="83"/>
    </row>
    <row r="359" spans="1:7" ht="14.5">
      <c r="A359" s="25">
        <v>44194</v>
      </c>
      <c r="B359" s="26">
        <v>51</v>
      </c>
      <c r="C359" s="22">
        <f t="shared" si="0"/>
        <v>0.81818181818181823</v>
      </c>
      <c r="D359" s="22"/>
      <c r="E359" s="83" t="s">
        <v>347</v>
      </c>
      <c r="F359" s="83"/>
    </row>
    <row r="360" spans="1:7" ht="14.5">
      <c r="A360" s="25">
        <v>44195</v>
      </c>
      <c r="B360" s="26">
        <v>51</v>
      </c>
      <c r="C360" s="22">
        <f t="shared" si="0"/>
        <v>0.81818181818181823</v>
      </c>
      <c r="D360" s="22"/>
      <c r="E360" s="83" t="s">
        <v>347</v>
      </c>
      <c r="F360" s="83"/>
    </row>
    <row r="361" spans="1:7" ht="14.5">
      <c r="A361" s="25">
        <v>44196</v>
      </c>
      <c r="B361" s="26">
        <v>51</v>
      </c>
      <c r="C361" s="22">
        <f t="shared" si="0"/>
        <v>0.81818181818181823</v>
      </c>
      <c r="D361" s="22"/>
      <c r="E361" s="83" t="s">
        <v>347</v>
      </c>
      <c r="F361" s="83"/>
    </row>
    <row r="362" spans="1:7" ht="14.5">
      <c r="A362" s="25">
        <v>44197</v>
      </c>
      <c r="B362" s="26">
        <v>51</v>
      </c>
      <c r="C362" s="22">
        <f t="shared" si="0"/>
        <v>0.81818181818181823</v>
      </c>
      <c r="D362" s="22"/>
      <c r="E362" s="83" t="s">
        <v>347</v>
      </c>
      <c r="F362" s="83"/>
    </row>
    <row r="363" spans="1:7" ht="14.5">
      <c r="A363" s="25">
        <v>44198</v>
      </c>
      <c r="B363" s="26">
        <v>51</v>
      </c>
      <c r="C363" s="22">
        <f t="shared" si="0"/>
        <v>0.81818181818181823</v>
      </c>
      <c r="D363" s="22"/>
      <c r="E363" s="83" t="s">
        <v>347</v>
      </c>
      <c r="F363" s="83"/>
    </row>
    <row r="364" spans="1:7" ht="14.5">
      <c r="A364" s="25">
        <v>44199</v>
      </c>
      <c r="B364" s="26">
        <v>51</v>
      </c>
      <c r="C364" s="22">
        <f t="shared" si="0"/>
        <v>0.81818181818181823</v>
      </c>
      <c r="D364" s="22"/>
      <c r="E364" s="83" t="s">
        <v>347</v>
      </c>
      <c r="F364" s="83"/>
    </row>
    <row r="365" spans="1:7" ht="14.5">
      <c r="A365" s="25">
        <v>44200</v>
      </c>
      <c r="B365" s="26">
        <v>1</v>
      </c>
      <c r="C365" s="22">
        <f t="shared" si="0"/>
        <v>0.81818181818181823</v>
      </c>
      <c r="D365" s="22"/>
      <c r="E365" s="83" t="s">
        <v>347</v>
      </c>
      <c r="F365" s="83"/>
    </row>
    <row r="366" spans="1:7" ht="14.5">
      <c r="A366" s="25">
        <v>44201</v>
      </c>
      <c r="B366" s="26">
        <v>1</v>
      </c>
      <c r="C366" s="22"/>
      <c r="D366" s="22"/>
      <c r="E366" s="83"/>
      <c r="F366" s="83"/>
      <c r="G366" s="126"/>
    </row>
    <row r="367" spans="1:7" ht="14.5">
      <c r="A367" s="25">
        <v>44202</v>
      </c>
      <c r="B367" s="26">
        <v>1</v>
      </c>
      <c r="C367" s="22"/>
      <c r="D367" s="22"/>
      <c r="E367" s="83"/>
      <c r="F367" s="83"/>
      <c r="G367" s="126"/>
    </row>
    <row r="368" spans="1:7" ht="14.5">
      <c r="A368" s="25">
        <v>44203</v>
      </c>
      <c r="B368" s="26">
        <v>1</v>
      </c>
      <c r="C368" s="22"/>
      <c r="D368" s="22"/>
      <c r="E368" s="83"/>
      <c r="F368" s="83"/>
      <c r="G368" s="126"/>
    </row>
    <row r="369" spans="1:7" ht="14.5">
      <c r="A369" s="25">
        <v>44204</v>
      </c>
      <c r="B369" s="26">
        <v>1</v>
      </c>
      <c r="C369" s="22"/>
      <c r="D369" s="22"/>
      <c r="E369" s="83"/>
      <c r="F369" s="83"/>
    </row>
    <row r="370" spans="1:7" ht="14.5">
      <c r="A370" s="25">
        <v>44205</v>
      </c>
      <c r="B370" s="26">
        <v>1</v>
      </c>
      <c r="C370" s="22">
        <v>1</v>
      </c>
      <c r="D370" s="22"/>
      <c r="E370" s="83" t="s">
        <v>345</v>
      </c>
      <c r="F370" s="83"/>
      <c r="G370" s="126"/>
    </row>
    <row r="371" spans="1:7" ht="14.5">
      <c r="A371" s="25">
        <v>44206</v>
      </c>
      <c r="B371" s="26">
        <v>1</v>
      </c>
      <c r="C371" s="22">
        <v>1</v>
      </c>
      <c r="D371" s="22"/>
      <c r="E371" s="83" t="s">
        <v>345</v>
      </c>
      <c r="F371" s="83"/>
      <c r="G371" s="126"/>
    </row>
    <row r="372" spans="1:7" ht="14.5">
      <c r="A372" s="25">
        <v>44207</v>
      </c>
      <c r="B372" s="26">
        <v>2</v>
      </c>
      <c r="C372" s="22">
        <v>1</v>
      </c>
      <c r="D372" s="22"/>
      <c r="E372" s="83" t="s">
        <v>345</v>
      </c>
      <c r="F372" s="83"/>
    </row>
    <row r="373" spans="1:7" ht="14.5">
      <c r="A373" s="25">
        <v>44208</v>
      </c>
      <c r="B373" s="26">
        <v>2</v>
      </c>
      <c r="C373" s="22"/>
      <c r="D373" s="22"/>
      <c r="E373" s="83"/>
      <c r="F373" s="83"/>
    </row>
    <row r="374" spans="1:7" ht="14.5">
      <c r="A374" s="25">
        <v>44209</v>
      </c>
      <c r="B374" s="26">
        <v>2</v>
      </c>
      <c r="C374" s="22">
        <v>1</v>
      </c>
      <c r="D374" s="22"/>
      <c r="E374" s="83" t="s">
        <v>345</v>
      </c>
      <c r="F374" s="86"/>
    </row>
    <row r="375" spans="1:7" ht="14.5">
      <c r="A375" s="25">
        <v>44210</v>
      </c>
      <c r="B375" s="26">
        <v>2</v>
      </c>
      <c r="C375" s="22"/>
      <c r="D375" s="22"/>
      <c r="E375" s="83"/>
      <c r="F375" s="83"/>
    </row>
    <row r="376" spans="1:7" ht="14.5">
      <c r="A376" s="25">
        <v>44211</v>
      </c>
      <c r="B376" s="26">
        <v>2</v>
      </c>
      <c r="C376" s="22">
        <v>1</v>
      </c>
      <c r="D376" s="22"/>
      <c r="E376" s="83" t="s">
        <v>345</v>
      </c>
      <c r="F376" s="83"/>
      <c r="G376" s="126"/>
    </row>
    <row r="377" spans="1:7" ht="14.5">
      <c r="A377" s="25">
        <v>44212</v>
      </c>
      <c r="B377" s="26">
        <v>2</v>
      </c>
      <c r="C377" s="22">
        <v>1</v>
      </c>
      <c r="D377" s="22"/>
      <c r="E377" s="83" t="s">
        <v>345</v>
      </c>
      <c r="F377" s="83"/>
      <c r="G377" s="126"/>
    </row>
    <row r="378" spans="1:7" ht="14.5">
      <c r="A378" s="25">
        <v>44213</v>
      </c>
      <c r="B378" s="26">
        <v>2</v>
      </c>
      <c r="C378" s="22"/>
      <c r="D378" s="22">
        <v>1</v>
      </c>
      <c r="E378" s="90"/>
      <c r="F378" s="83" t="s">
        <v>348</v>
      </c>
    </row>
    <row r="379" spans="1:7" ht="14.5">
      <c r="A379" s="25">
        <v>44214</v>
      </c>
      <c r="B379" s="26">
        <v>3</v>
      </c>
      <c r="C379" s="22">
        <f t="shared" ref="C379:C383" si="1">3/5</f>
        <v>0.6</v>
      </c>
      <c r="D379" s="22"/>
      <c r="E379" s="83" t="s">
        <v>345</v>
      </c>
      <c r="F379" s="83"/>
    </row>
    <row r="380" spans="1:7" ht="14.5">
      <c r="A380" s="25">
        <v>44215</v>
      </c>
      <c r="B380" s="26">
        <v>3</v>
      </c>
      <c r="C380" s="22">
        <f t="shared" si="1"/>
        <v>0.6</v>
      </c>
      <c r="D380" s="22"/>
      <c r="E380" s="83" t="s">
        <v>345</v>
      </c>
      <c r="F380" s="83"/>
    </row>
    <row r="381" spans="1:7" ht="14.5">
      <c r="A381" s="25">
        <v>44216</v>
      </c>
      <c r="B381" s="26">
        <v>3</v>
      </c>
      <c r="C381" s="22">
        <f t="shared" si="1"/>
        <v>0.6</v>
      </c>
      <c r="D381" s="22"/>
      <c r="E381" s="83" t="s">
        <v>345</v>
      </c>
      <c r="F381" s="83"/>
    </row>
    <row r="382" spans="1:7" ht="14.5">
      <c r="A382" s="25">
        <v>44217</v>
      </c>
      <c r="B382" s="26">
        <v>3</v>
      </c>
      <c r="C382" s="22">
        <f t="shared" si="1"/>
        <v>0.6</v>
      </c>
      <c r="D382" s="22"/>
      <c r="E382" s="83" t="s">
        <v>345</v>
      </c>
      <c r="F382" s="83"/>
    </row>
    <row r="383" spans="1:7" ht="14.5">
      <c r="A383" s="25">
        <v>44218</v>
      </c>
      <c r="B383" s="26">
        <v>3</v>
      </c>
      <c r="C383" s="22">
        <f t="shared" si="1"/>
        <v>0.6</v>
      </c>
      <c r="D383" s="22"/>
      <c r="E383" s="83" t="s">
        <v>345</v>
      </c>
      <c r="F383" s="83"/>
    </row>
    <row r="384" spans="1:7" ht="14.5">
      <c r="A384" s="25">
        <v>44219</v>
      </c>
      <c r="B384" s="26">
        <v>3</v>
      </c>
      <c r="C384" s="22"/>
      <c r="D384" s="22"/>
      <c r="E384" s="86"/>
      <c r="F384" s="83"/>
    </row>
    <row r="385" spans="1:7" ht="14.5">
      <c r="A385" s="25">
        <v>44220</v>
      </c>
      <c r="B385" s="26">
        <v>3</v>
      </c>
      <c r="C385" s="22"/>
      <c r="D385" s="22"/>
      <c r="E385" s="83"/>
      <c r="F385" s="83"/>
    </row>
    <row r="386" spans="1:7" ht="14.5">
      <c r="A386" s="25">
        <v>44221</v>
      </c>
      <c r="B386" s="26">
        <v>4</v>
      </c>
      <c r="C386" s="22">
        <f t="shared" ref="C386:C388" si="2">2/3</f>
        <v>0.66666666666666663</v>
      </c>
      <c r="D386" s="22"/>
      <c r="E386" s="83" t="s">
        <v>345</v>
      </c>
      <c r="F386" s="83"/>
    </row>
    <row r="387" spans="1:7" ht="14.5">
      <c r="A387" s="25">
        <v>44222</v>
      </c>
      <c r="B387" s="26">
        <v>4</v>
      </c>
      <c r="C387" s="22">
        <f t="shared" si="2"/>
        <v>0.66666666666666663</v>
      </c>
      <c r="D387" s="22"/>
      <c r="E387" s="83" t="s">
        <v>345</v>
      </c>
      <c r="F387" s="83"/>
    </row>
    <row r="388" spans="1:7" ht="14.5">
      <c r="A388" s="25">
        <v>44223</v>
      </c>
      <c r="B388" s="26">
        <v>4</v>
      </c>
      <c r="C388" s="22">
        <f t="shared" si="2"/>
        <v>0.66666666666666663</v>
      </c>
      <c r="D388" s="22"/>
      <c r="E388" s="83" t="s">
        <v>345</v>
      </c>
      <c r="F388" s="83"/>
    </row>
    <row r="389" spans="1:7" ht="14.5">
      <c r="A389" s="25">
        <v>44224</v>
      </c>
      <c r="B389" s="26">
        <v>4</v>
      </c>
      <c r="C389" s="22">
        <f t="shared" ref="C389:C400" si="3">2/12</f>
        <v>0.16666666666666666</v>
      </c>
      <c r="D389" s="22"/>
      <c r="E389" s="83" t="s">
        <v>345</v>
      </c>
      <c r="F389" s="83"/>
    </row>
    <row r="390" spans="1:7" ht="14.5">
      <c r="A390" s="25">
        <v>44225</v>
      </c>
      <c r="B390" s="26">
        <v>4</v>
      </c>
      <c r="C390" s="22">
        <f t="shared" si="3"/>
        <v>0.16666666666666666</v>
      </c>
      <c r="D390" s="22"/>
      <c r="E390" s="83" t="s">
        <v>345</v>
      </c>
      <c r="F390" s="83"/>
    </row>
    <row r="391" spans="1:7" ht="14.5">
      <c r="A391" s="25">
        <v>44226</v>
      </c>
      <c r="B391" s="26">
        <v>4</v>
      </c>
      <c r="C391" s="22">
        <f t="shared" si="3"/>
        <v>0.16666666666666666</v>
      </c>
      <c r="D391" s="22"/>
      <c r="E391" s="83" t="s">
        <v>345</v>
      </c>
      <c r="F391" s="83"/>
    </row>
    <row r="392" spans="1:7" ht="14.5">
      <c r="A392" s="25">
        <v>44227</v>
      </c>
      <c r="B392" s="26">
        <v>4</v>
      </c>
      <c r="C392" s="22">
        <f t="shared" si="3"/>
        <v>0.16666666666666666</v>
      </c>
      <c r="D392" s="22"/>
      <c r="E392" s="83" t="s">
        <v>345</v>
      </c>
      <c r="F392" s="83"/>
    </row>
    <row r="393" spans="1:7" ht="14.5">
      <c r="A393" s="25">
        <v>44228</v>
      </c>
      <c r="B393" s="26">
        <v>5</v>
      </c>
      <c r="C393" s="22">
        <f t="shared" si="3"/>
        <v>0.16666666666666666</v>
      </c>
      <c r="D393" s="22"/>
      <c r="E393" s="83" t="s">
        <v>345</v>
      </c>
      <c r="F393" s="83"/>
    </row>
    <row r="394" spans="1:7" ht="14.5">
      <c r="A394" s="25">
        <v>44229</v>
      </c>
      <c r="B394" s="26">
        <v>5</v>
      </c>
      <c r="C394" s="22">
        <f t="shared" si="3"/>
        <v>0.16666666666666666</v>
      </c>
      <c r="D394" s="22"/>
      <c r="E394" s="83" t="s">
        <v>345</v>
      </c>
      <c r="F394" s="83"/>
    </row>
    <row r="395" spans="1:7" ht="14.5">
      <c r="A395" s="25">
        <v>44230</v>
      </c>
      <c r="B395" s="26">
        <v>5</v>
      </c>
      <c r="C395" s="22">
        <f t="shared" si="3"/>
        <v>0.16666666666666666</v>
      </c>
      <c r="D395" s="22"/>
      <c r="E395" s="83" t="s">
        <v>345</v>
      </c>
      <c r="F395" s="83"/>
    </row>
    <row r="396" spans="1:7" ht="14.5">
      <c r="A396" s="25">
        <v>44231</v>
      </c>
      <c r="B396" s="26">
        <v>5</v>
      </c>
      <c r="C396" s="22">
        <f t="shared" si="3"/>
        <v>0.16666666666666666</v>
      </c>
      <c r="D396" s="22"/>
      <c r="E396" s="83" t="s">
        <v>345</v>
      </c>
      <c r="F396" s="83"/>
    </row>
    <row r="397" spans="1:7" ht="15.5">
      <c r="A397" s="25">
        <v>44232</v>
      </c>
      <c r="B397" s="26">
        <v>5</v>
      </c>
      <c r="C397" s="22">
        <f t="shared" si="3"/>
        <v>0.16666666666666666</v>
      </c>
      <c r="D397" s="22"/>
      <c r="E397" s="83" t="s">
        <v>345</v>
      </c>
      <c r="F397" s="83"/>
      <c r="G397" s="77"/>
    </row>
    <row r="398" spans="1:7" ht="14.5">
      <c r="A398" s="25">
        <v>44233</v>
      </c>
      <c r="B398" s="26">
        <v>5</v>
      </c>
      <c r="C398" s="22">
        <f t="shared" si="3"/>
        <v>0.16666666666666666</v>
      </c>
      <c r="D398" s="22"/>
      <c r="E398" s="83" t="s">
        <v>345</v>
      </c>
      <c r="F398" s="83"/>
    </row>
    <row r="399" spans="1:7" ht="14.5">
      <c r="A399" s="25">
        <v>44234</v>
      </c>
      <c r="B399" s="26">
        <v>5</v>
      </c>
      <c r="C399" s="22">
        <f t="shared" si="3"/>
        <v>0.16666666666666666</v>
      </c>
      <c r="D399" s="22"/>
      <c r="E399" s="83" t="s">
        <v>345</v>
      </c>
      <c r="F399" s="83"/>
    </row>
    <row r="400" spans="1:7" ht="14.5">
      <c r="A400" s="25">
        <v>44235</v>
      </c>
      <c r="B400" s="26">
        <v>6</v>
      </c>
      <c r="C400" s="22">
        <f t="shared" si="3"/>
        <v>0.16666666666666666</v>
      </c>
      <c r="D400" s="22"/>
      <c r="E400" s="83" t="s">
        <v>345</v>
      </c>
      <c r="F400" s="83"/>
    </row>
    <row r="401" spans="1:6" ht="14.5">
      <c r="A401" s="25">
        <v>44236</v>
      </c>
      <c r="B401" s="26">
        <v>6</v>
      </c>
      <c r="C401" s="22"/>
      <c r="D401" s="22"/>
      <c r="E401" s="83"/>
      <c r="F401" s="83"/>
    </row>
    <row r="402" spans="1:6" ht="14.5">
      <c r="A402" s="25">
        <v>44237</v>
      </c>
      <c r="B402" s="26">
        <v>6</v>
      </c>
      <c r="C402" s="22"/>
      <c r="D402" s="22"/>
      <c r="E402" s="83"/>
      <c r="F402" s="83"/>
    </row>
    <row r="403" spans="1:6" ht="14.5">
      <c r="A403" s="25">
        <v>44238</v>
      </c>
      <c r="B403" s="26">
        <v>6</v>
      </c>
      <c r="C403" s="22"/>
      <c r="D403" s="22"/>
      <c r="E403" s="83"/>
      <c r="F403" s="83"/>
    </row>
    <row r="404" spans="1:6" ht="14.5">
      <c r="A404" s="25">
        <v>44239</v>
      </c>
      <c r="B404" s="26">
        <v>6</v>
      </c>
      <c r="C404" s="22"/>
      <c r="D404" s="22"/>
      <c r="E404" s="83"/>
      <c r="F404" s="83"/>
    </row>
    <row r="405" spans="1:6" ht="14.5">
      <c r="A405" s="25">
        <v>44240</v>
      </c>
      <c r="B405" s="26">
        <v>6</v>
      </c>
      <c r="C405" s="22"/>
      <c r="D405" s="22"/>
      <c r="E405" s="83"/>
      <c r="F405" s="83"/>
    </row>
    <row r="406" spans="1:6" ht="14.5">
      <c r="A406" s="25">
        <v>44241</v>
      </c>
      <c r="B406" s="26">
        <v>6</v>
      </c>
      <c r="C406" s="22"/>
      <c r="D406" s="22"/>
      <c r="E406" s="83"/>
      <c r="F406" s="83"/>
    </row>
    <row r="407" spans="1:6" ht="14.5">
      <c r="A407" s="25">
        <v>44242</v>
      </c>
      <c r="B407" s="26">
        <v>7</v>
      </c>
      <c r="C407" s="22"/>
      <c r="D407" s="22"/>
      <c r="E407" s="83"/>
      <c r="F407" s="83"/>
    </row>
    <row r="408" spans="1:6" ht="14.5">
      <c r="A408" s="25">
        <v>44243</v>
      </c>
      <c r="B408" s="26">
        <v>7</v>
      </c>
      <c r="C408" s="22"/>
      <c r="D408" s="22"/>
      <c r="E408" s="83"/>
      <c r="F408" s="83"/>
    </row>
    <row r="409" spans="1:6" ht="14.5">
      <c r="A409" s="25">
        <v>44244</v>
      </c>
      <c r="B409" s="26">
        <v>7</v>
      </c>
      <c r="C409" s="22"/>
      <c r="D409" s="22"/>
      <c r="E409" s="83"/>
      <c r="F409" s="86"/>
    </row>
    <row r="410" spans="1:6" ht="14.5">
      <c r="A410" s="25">
        <v>44245</v>
      </c>
      <c r="B410" s="26">
        <v>7</v>
      </c>
      <c r="C410" s="22"/>
      <c r="D410" s="22"/>
      <c r="E410" s="83"/>
      <c r="F410" s="83"/>
    </row>
    <row r="411" spans="1:6" ht="14.5">
      <c r="A411" s="25">
        <v>44246</v>
      </c>
      <c r="B411" s="26">
        <v>7</v>
      </c>
      <c r="C411" s="22"/>
      <c r="D411" s="22"/>
      <c r="E411" s="83"/>
      <c r="F411" s="83"/>
    </row>
    <row r="412" spans="1:6" ht="14.5">
      <c r="A412" s="25">
        <v>44247</v>
      </c>
      <c r="B412" s="26">
        <v>7</v>
      </c>
      <c r="C412" s="22"/>
      <c r="D412" s="22"/>
      <c r="E412" s="83"/>
      <c r="F412" s="83"/>
    </row>
    <row r="413" spans="1:6" ht="14.5">
      <c r="A413" s="25">
        <v>44248</v>
      </c>
      <c r="B413" s="26">
        <v>7</v>
      </c>
      <c r="C413" s="22"/>
      <c r="D413" s="22"/>
      <c r="E413" s="83"/>
      <c r="F413" s="83"/>
    </row>
    <row r="414" spans="1:6" ht="14.5">
      <c r="A414" s="25">
        <v>44249</v>
      </c>
      <c r="B414" s="26">
        <v>8</v>
      </c>
      <c r="C414" s="22"/>
      <c r="D414" s="22"/>
      <c r="E414" s="83"/>
      <c r="F414" s="83"/>
    </row>
    <row r="415" spans="1:6" ht="14.5">
      <c r="A415" s="25">
        <v>44250</v>
      </c>
      <c r="B415" s="26">
        <v>8</v>
      </c>
      <c r="C415" s="22"/>
      <c r="D415" s="22"/>
      <c r="E415" s="83"/>
      <c r="F415" s="83"/>
    </row>
    <row r="416" spans="1:6" ht="14.5">
      <c r="A416" s="25">
        <v>44251</v>
      </c>
      <c r="B416" s="26">
        <v>8</v>
      </c>
      <c r="C416" s="22"/>
      <c r="D416" s="22"/>
      <c r="E416" s="83"/>
      <c r="F416" s="83"/>
    </row>
    <row r="417" spans="1:6" ht="14.5">
      <c r="A417" s="25">
        <v>44252</v>
      </c>
      <c r="B417" s="26">
        <v>8</v>
      </c>
      <c r="C417" s="22"/>
      <c r="D417" s="22"/>
      <c r="E417" s="83"/>
      <c r="F417" s="83"/>
    </row>
    <row r="418" spans="1:6" ht="14.5">
      <c r="A418" s="25">
        <v>44253</v>
      </c>
      <c r="B418" s="26">
        <v>8</v>
      </c>
      <c r="C418" s="22"/>
      <c r="D418" s="22"/>
      <c r="E418" s="83"/>
      <c r="F418" s="83"/>
    </row>
    <row r="419" spans="1:6" ht="14.5">
      <c r="A419" s="25">
        <v>44254</v>
      </c>
      <c r="B419" s="26">
        <v>8</v>
      </c>
      <c r="C419" s="22"/>
      <c r="D419" s="22"/>
      <c r="E419" s="83"/>
      <c r="F419" s="83"/>
    </row>
    <row r="420" spans="1:6" ht="14.5">
      <c r="A420" s="25">
        <v>44255</v>
      </c>
      <c r="B420" s="26">
        <v>8</v>
      </c>
      <c r="C420" s="22"/>
      <c r="D420" s="22"/>
      <c r="E420" s="83"/>
      <c r="F420" s="83"/>
    </row>
    <row r="421" spans="1:6" ht="14.5">
      <c r="A421" s="25">
        <v>44256</v>
      </c>
      <c r="B421" s="26">
        <v>9</v>
      </c>
      <c r="C421" s="22">
        <f t="shared" ref="C421:C435" si="4">1/15</f>
        <v>6.6666666666666666E-2</v>
      </c>
      <c r="D421" s="22"/>
      <c r="E421" s="83" t="s">
        <v>345</v>
      </c>
      <c r="F421" s="83"/>
    </row>
    <row r="422" spans="1:6" ht="14.5">
      <c r="A422" s="25">
        <v>44257</v>
      </c>
      <c r="B422" s="26">
        <v>9</v>
      </c>
      <c r="C422" s="22">
        <f t="shared" si="4"/>
        <v>6.6666666666666666E-2</v>
      </c>
      <c r="D422" s="22"/>
      <c r="E422" s="83" t="s">
        <v>345</v>
      </c>
      <c r="F422" s="83"/>
    </row>
    <row r="423" spans="1:6" ht="14.5">
      <c r="A423" s="25">
        <v>44258</v>
      </c>
      <c r="B423" s="26">
        <v>9</v>
      </c>
      <c r="C423" s="22">
        <f t="shared" si="4"/>
        <v>6.6666666666666666E-2</v>
      </c>
      <c r="D423" s="22"/>
      <c r="E423" s="83" t="s">
        <v>345</v>
      </c>
      <c r="F423" s="83"/>
    </row>
    <row r="424" spans="1:6" ht="14.5">
      <c r="A424" s="25">
        <v>44259</v>
      </c>
      <c r="B424" s="26">
        <v>9</v>
      </c>
      <c r="C424" s="22">
        <f t="shared" si="4"/>
        <v>6.6666666666666666E-2</v>
      </c>
      <c r="D424" s="22"/>
      <c r="E424" s="83" t="s">
        <v>345</v>
      </c>
      <c r="F424" s="83"/>
    </row>
    <row r="425" spans="1:6" ht="14.5">
      <c r="A425" s="25">
        <v>44260</v>
      </c>
      <c r="B425" s="26">
        <v>9</v>
      </c>
      <c r="C425" s="22">
        <f t="shared" si="4"/>
        <v>6.6666666666666666E-2</v>
      </c>
      <c r="D425" s="22"/>
      <c r="E425" s="83" t="s">
        <v>345</v>
      </c>
      <c r="F425" s="83"/>
    </row>
    <row r="426" spans="1:6" ht="14.5">
      <c r="A426" s="25">
        <v>44261</v>
      </c>
      <c r="B426" s="26">
        <v>9</v>
      </c>
      <c r="C426" s="22">
        <f t="shared" si="4"/>
        <v>6.6666666666666666E-2</v>
      </c>
      <c r="D426" s="22"/>
      <c r="E426" s="83" t="s">
        <v>345</v>
      </c>
      <c r="F426" s="83"/>
    </row>
    <row r="427" spans="1:6" ht="14.5">
      <c r="A427" s="25">
        <v>44262</v>
      </c>
      <c r="B427" s="26">
        <v>9</v>
      </c>
      <c r="C427" s="22">
        <f t="shared" si="4"/>
        <v>6.6666666666666666E-2</v>
      </c>
      <c r="D427" s="22"/>
      <c r="E427" s="83" t="s">
        <v>345</v>
      </c>
      <c r="F427" s="83"/>
    </row>
    <row r="428" spans="1:6" ht="14.5">
      <c r="A428" s="25">
        <v>44263</v>
      </c>
      <c r="B428" s="26">
        <v>10</v>
      </c>
      <c r="C428" s="22">
        <f t="shared" si="4"/>
        <v>6.6666666666666666E-2</v>
      </c>
      <c r="D428" s="22"/>
      <c r="E428" s="83" t="s">
        <v>345</v>
      </c>
      <c r="F428" s="83"/>
    </row>
    <row r="429" spans="1:6" ht="14.5">
      <c r="A429" s="25">
        <v>44264</v>
      </c>
      <c r="B429" s="26">
        <v>10</v>
      </c>
      <c r="C429" s="22">
        <f t="shared" si="4"/>
        <v>6.6666666666666666E-2</v>
      </c>
      <c r="D429" s="22"/>
      <c r="E429" s="83" t="s">
        <v>345</v>
      </c>
      <c r="F429" s="83"/>
    </row>
    <row r="430" spans="1:6" ht="14.5">
      <c r="A430" s="25">
        <v>44265</v>
      </c>
      <c r="B430" s="26">
        <v>10</v>
      </c>
      <c r="C430" s="22">
        <f t="shared" si="4"/>
        <v>6.6666666666666666E-2</v>
      </c>
      <c r="D430" s="22"/>
      <c r="E430" s="83" t="s">
        <v>345</v>
      </c>
      <c r="F430" s="83"/>
    </row>
    <row r="431" spans="1:6" ht="14.5">
      <c r="A431" s="25">
        <v>44266</v>
      </c>
      <c r="B431" s="26">
        <v>10</v>
      </c>
      <c r="C431" s="22">
        <f t="shared" si="4"/>
        <v>6.6666666666666666E-2</v>
      </c>
      <c r="D431" s="22"/>
      <c r="E431" s="83" t="s">
        <v>345</v>
      </c>
      <c r="F431" s="83"/>
    </row>
    <row r="432" spans="1:6" ht="14.5">
      <c r="A432" s="25">
        <v>44267</v>
      </c>
      <c r="B432" s="26">
        <v>10</v>
      </c>
      <c r="C432" s="22">
        <f t="shared" si="4"/>
        <v>6.6666666666666666E-2</v>
      </c>
      <c r="D432" s="22"/>
      <c r="E432" s="83" t="s">
        <v>345</v>
      </c>
      <c r="F432" s="83"/>
    </row>
    <row r="433" spans="1:7" ht="14.5">
      <c r="A433" s="25">
        <v>44268</v>
      </c>
      <c r="B433" s="26">
        <v>10</v>
      </c>
      <c r="C433" s="22">
        <f t="shared" si="4"/>
        <v>6.6666666666666666E-2</v>
      </c>
      <c r="D433" s="22"/>
      <c r="E433" s="83" t="s">
        <v>345</v>
      </c>
      <c r="F433" s="83"/>
    </row>
    <row r="434" spans="1:7" ht="14.5">
      <c r="A434" s="25">
        <v>44269</v>
      </c>
      <c r="B434" s="26">
        <v>10</v>
      </c>
      <c r="C434" s="22">
        <f t="shared" si="4"/>
        <v>6.6666666666666666E-2</v>
      </c>
      <c r="D434" s="22"/>
      <c r="E434" s="83" t="s">
        <v>345</v>
      </c>
      <c r="F434" s="83"/>
    </row>
    <row r="435" spans="1:7" ht="14.5">
      <c r="A435" s="25">
        <v>44270</v>
      </c>
      <c r="B435" s="26">
        <v>11</v>
      </c>
      <c r="C435" s="22">
        <f t="shared" si="4"/>
        <v>6.6666666666666666E-2</v>
      </c>
      <c r="D435" s="22"/>
      <c r="E435" s="83" t="s">
        <v>345</v>
      </c>
      <c r="F435" s="83"/>
    </row>
    <row r="436" spans="1:7" ht="14.5">
      <c r="A436" s="25">
        <v>44271</v>
      </c>
      <c r="B436" s="26">
        <v>11</v>
      </c>
      <c r="C436" s="22"/>
      <c r="D436" s="22"/>
      <c r="E436" s="83"/>
      <c r="F436" s="83"/>
    </row>
    <row r="437" spans="1:7" ht="14.5">
      <c r="A437" s="25">
        <v>44272</v>
      </c>
      <c r="B437" s="26">
        <v>11</v>
      </c>
      <c r="C437" s="22"/>
      <c r="D437" s="22"/>
      <c r="E437" s="83"/>
      <c r="F437" s="83"/>
    </row>
    <row r="438" spans="1:7" ht="14.5">
      <c r="A438" s="25">
        <v>44273</v>
      </c>
      <c r="B438" s="26">
        <v>11</v>
      </c>
      <c r="C438" s="22"/>
      <c r="D438" s="22"/>
      <c r="E438" s="83"/>
      <c r="F438" s="83"/>
    </row>
    <row r="439" spans="1:7" ht="14.5">
      <c r="A439" s="25">
        <v>44274</v>
      </c>
      <c r="B439" s="26">
        <v>11</v>
      </c>
      <c r="C439" s="22"/>
      <c r="D439" s="22"/>
      <c r="E439" s="83"/>
      <c r="F439" s="83"/>
    </row>
    <row r="440" spans="1:7" ht="14.5">
      <c r="A440" s="25">
        <v>44275</v>
      </c>
      <c r="B440" s="26">
        <v>11</v>
      </c>
      <c r="C440" s="22"/>
      <c r="D440" s="22"/>
      <c r="E440" s="83"/>
      <c r="F440" s="83"/>
    </row>
    <row r="441" spans="1:7" ht="14.5">
      <c r="A441" s="25">
        <v>44276</v>
      </c>
      <c r="B441" s="26">
        <v>11</v>
      </c>
      <c r="C441" s="22"/>
      <c r="D441" s="22"/>
      <c r="E441" s="83"/>
      <c r="F441" s="83"/>
    </row>
    <row r="442" spans="1:7" ht="14.5">
      <c r="A442" s="25">
        <v>44277</v>
      </c>
      <c r="B442" s="26">
        <v>12</v>
      </c>
      <c r="C442" s="22"/>
      <c r="D442" s="22"/>
      <c r="E442" s="83"/>
      <c r="F442" s="83"/>
    </row>
    <row r="443" spans="1:7" ht="14.5">
      <c r="A443" s="25">
        <v>44278</v>
      </c>
      <c r="B443" s="26">
        <v>12</v>
      </c>
      <c r="C443" s="22"/>
      <c r="D443" s="22"/>
      <c r="E443" s="83"/>
      <c r="F443" s="83"/>
    </row>
    <row r="444" spans="1:7" ht="15.5">
      <c r="A444" s="25">
        <v>44279</v>
      </c>
      <c r="B444" s="26">
        <v>12</v>
      </c>
      <c r="C444" s="22"/>
      <c r="D444" s="22"/>
      <c r="E444" s="83"/>
      <c r="F444" s="83"/>
      <c r="G444" s="77"/>
    </row>
    <row r="445" spans="1:7" ht="14.5">
      <c r="A445" s="25">
        <v>44280</v>
      </c>
      <c r="B445" s="26">
        <v>12</v>
      </c>
      <c r="C445" s="22"/>
      <c r="D445" s="22"/>
      <c r="E445" s="83"/>
      <c r="F445" s="83"/>
    </row>
    <row r="446" spans="1:7" ht="14.5">
      <c r="A446" s="25">
        <v>44281</v>
      </c>
      <c r="B446" s="26">
        <v>12</v>
      </c>
      <c r="C446" s="22"/>
      <c r="D446" s="22"/>
      <c r="E446" s="83"/>
      <c r="F446" s="83"/>
    </row>
    <row r="447" spans="1:7" ht="14.5">
      <c r="A447" s="25">
        <v>44282</v>
      </c>
      <c r="B447" s="26">
        <v>12</v>
      </c>
      <c r="C447" s="22"/>
      <c r="D447" s="22"/>
      <c r="E447" s="83"/>
      <c r="F447" s="83"/>
    </row>
    <row r="448" spans="1:7" ht="14.5">
      <c r="A448" s="25">
        <v>44283</v>
      </c>
      <c r="B448" s="26">
        <v>12</v>
      </c>
      <c r="C448" s="22"/>
      <c r="D448" s="22"/>
      <c r="E448" s="83"/>
      <c r="F448" s="83"/>
    </row>
    <row r="449" spans="1:6" ht="14.5">
      <c r="A449" s="25">
        <v>44284</v>
      </c>
      <c r="B449" s="26">
        <v>13</v>
      </c>
      <c r="C449" s="22"/>
      <c r="D449" s="22"/>
      <c r="E449" s="83"/>
      <c r="F449" s="83"/>
    </row>
    <row r="450" spans="1:6" ht="14.5">
      <c r="A450" s="25">
        <v>44285</v>
      </c>
      <c r="B450" s="26">
        <v>13</v>
      </c>
      <c r="C450" s="22"/>
      <c r="D450" s="22"/>
      <c r="E450" s="83"/>
      <c r="F450" s="83"/>
    </row>
    <row r="451" spans="1:6" ht="14.5">
      <c r="A451" s="25">
        <v>44286</v>
      </c>
      <c r="B451" s="26">
        <v>13</v>
      </c>
      <c r="C451" s="22"/>
      <c r="D451" s="22"/>
      <c r="E451" s="83"/>
      <c r="F451" s="83"/>
    </row>
    <row r="452" spans="1:6" ht="14.5">
      <c r="A452" s="25">
        <v>44287</v>
      </c>
      <c r="B452" s="26">
        <v>13</v>
      </c>
      <c r="C452" s="22">
        <f t="shared" ref="C452:C466" si="5">6/15</f>
        <v>0.4</v>
      </c>
      <c r="D452" s="22"/>
      <c r="E452" s="83" t="s">
        <v>347</v>
      </c>
      <c r="F452" s="83"/>
    </row>
    <row r="453" spans="1:6" ht="14.5">
      <c r="A453" s="25">
        <v>44288</v>
      </c>
      <c r="B453" s="26">
        <v>13</v>
      </c>
      <c r="C453" s="22">
        <f t="shared" si="5"/>
        <v>0.4</v>
      </c>
      <c r="D453" s="22"/>
      <c r="E453" s="83" t="s">
        <v>347</v>
      </c>
      <c r="F453" s="83"/>
    </row>
    <row r="454" spans="1:6" ht="14.5">
      <c r="A454" s="25">
        <v>44289</v>
      </c>
      <c r="B454" s="26">
        <v>13</v>
      </c>
      <c r="C454" s="22">
        <f t="shared" si="5"/>
        <v>0.4</v>
      </c>
      <c r="D454" s="22"/>
      <c r="E454" s="83" t="s">
        <v>347</v>
      </c>
      <c r="F454" s="83"/>
    </row>
    <row r="455" spans="1:6" ht="14.5">
      <c r="A455" s="25">
        <v>44290</v>
      </c>
      <c r="B455" s="26">
        <v>13</v>
      </c>
      <c r="C455" s="22">
        <f t="shared" si="5"/>
        <v>0.4</v>
      </c>
      <c r="D455" s="22"/>
      <c r="E455" s="83" t="s">
        <v>347</v>
      </c>
      <c r="F455" s="83"/>
    </row>
    <row r="456" spans="1:6" ht="14.5">
      <c r="A456" s="25">
        <v>44291</v>
      </c>
      <c r="B456" s="26">
        <v>14</v>
      </c>
      <c r="C456" s="22">
        <f t="shared" si="5"/>
        <v>0.4</v>
      </c>
      <c r="D456" s="22"/>
      <c r="E456" s="83" t="s">
        <v>347</v>
      </c>
      <c r="F456" s="83"/>
    </row>
    <row r="457" spans="1:6" ht="14.5">
      <c r="A457" s="25">
        <v>44292</v>
      </c>
      <c r="B457" s="26">
        <v>14</v>
      </c>
      <c r="C457" s="22">
        <f t="shared" si="5"/>
        <v>0.4</v>
      </c>
      <c r="D457" s="22"/>
      <c r="E457" s="83" t="s">
        <v>347</v>
      </c>
      <c r="F457" s="83"/>
    </row>
    <row r="458" spans="1:6" ht="14.5">
      <c r="A458" s="25">
        <v>44293</v>
      </c>
      <c r="B458" s="26">
        <v>14</v>
      </c>
      <c r="C458" s="22">
        <f t="shared" si="5"/>
        <v>0.4</v>
      </c>
      <c r="D458" s="22"/>
      <c r="E458" s="83" t="s">
        <v>347</v>
      </c>
      <c r="F458" s="83"/>
    </row>
    <row r="459" spans="1:6" ht="14.5">
      <c r="A459" s="25">
        <v>44294</v>
      </c>
      <c r="B459" s="26">
        <v>14</v>
      </c>
      <c r="C459" s="22">
        <f t="shared" si="5"/>
        <v>0.4</v>
      </c>
      <c r="D459" s="22"/>
      <c r="E459" s="83" t="s">
        <v>347</v>
      </c>
      <c r="F459" s="83"/>
    </row>
    <row r="460" spans="1:6" ht="14.5">
      <c r="A460" s="25">
        <v>44295</v>
      </c>
      <c r="B460" s="26">
        <v>14</v>
      </c>
      <c r="C460" s="22">
        <f t="shared" si="5"/>
        <v>0.4</v>
      </c>
      <c r="D460" s="22"/>
      <c r="E460" s="83" t="s">
        <v>347</v>
      </c>
      <c r="F460" s="83"/>
    </row>
    <row r="461" spans="1:6" ht="14.5">
      <c r="A461" s="25">
        <v>44296</v>
      </c>
      <c r="B461" s="26">
        <v>14</v>
      </c>
      <c r="C461" s="22">
        <f t="shared" si="5"/>
        <v>0.4</v>
      </c>
      <c r="D461" s="22"/>
      <c r="E461" s="83" t="s">
        <v>347</v>
      </c>
      <c r="F461" s="83"/>
    </row>
    <row r="462" spans="1:6" ht="14.5">
      <c r="A462" s="25">
        <v>44297</v>
      </c>
      <c r="B462" s="26">
        <v>14</v>
      </c>
      <c r="C462" s="22">
        <f t="shared" si="5"/>
        <v>0.4</v>
      </c>
      <c r="D462" s="22"/>
      <c r="E462" s="83" t="s">
        <v>347</v>
      </c>
      <c r="F462" s="83"/>
    </row>
    <row r="463" spans="1:6" ht="14.5">
      <c r="A463" s="25">
        <v>44298</v>
      </c>
      <c r="B463" s="26">
        <v>15</v>
      </c>
      <c r="C463" s="22">
        <f t="shared" si="5"/>
        <v>0.4</v>
      </c>
      <c r="D463" s="22"/>
      <c r="E463" s="83" t="s">
        <v>347</v>
      </c>
      <c r="F463" s="83"/>
    </row>
    <row r="464" spans="1:6" ht="14.5">
      <c r="A464" s="25">
        <v>44299</v>
      </c>
      <c r="B464" s="26">
        <v>15</v>
      </c>
      <c r="C464" s="22">
        <f t="shared" si="5"/>
        <v>0.4</v>
      </c>
      <c r="D464" s="22"/>
      <c r="E464" s="83" t="s">
        <v>347</v>
      </c>
      <c r="F464" s="83"/>
    </row>
    <row r="465" spans="1:7" ht="14.5">
      <c r="A465" s="25">
        <v>44300</v>
      </c>
      <c r="B465" s="26">
        <v>15</v>
      </c>
      <c r="C465" s="22">
        <f t="shared" si="5"/>
        <v>0.4</v>
      </c>
      <c r="D465" s="22"/>
      <c r="E465" s="83" t="s">
        <v>347</v>
      </c>
      <c r="F465" s="83"/>
    </row>
    <row r="466" spans="1:7" ht="14.5">
      <c r="A466" s="25">
        <v>44301</v>
      </c>
      <c r="B466" s="26">
        <v>15</v>
      </c>
      <c r="C466" s="22">
        <f t="shared" si="5"/>
        <v>0.4</v>
      </c>
      <c r="D466" s="22"/>
      <c r="E466" s="83" t="s">
        <v>347</v>
      </c>
      <c r="F466" s="83"/>
    </row>
    <row r="467" spans="1:7" ht="14.5">
      <c r="A467" s="25">
        <v>44302</v>
      </c>
      <c r="B467" s="26">
        <v>15</v>
      </c>
      <c r="C467" s="22">
        <f t="shared" ref="C467:C476" si="6">10/10</f>
        <v>1</v>
      </c>
      <c r="D467" s="22"/>
      <c r="E467" s="83" t="s">
        <v>347</v>
      </c>
      <c r="F467" s="83"/>
    </row>
    <row r="468" spans="1:7" ht="14.5">
      <c r="A468" s="25">
        <v>44303</v>
      </c>
      <c r="B468" s="26">
        <v>15</v>
      </c>
      <c r="C468" s="22">
        <f t="shared" si="6"/>
        <v>1</v>
      </c>
      <c r="D468" s="22"/>
      <c r="E468" s="83" t="s">
        <v>347</v>
      </c>
      <c r="F468" s="83"/>
    </row>
    <row r="469" spans="1:7" ht="14.5">
      <c r="A469" s="25">
        <v>44304</v>
      </c>
      <c r="B469" s="26">
        <v>15</v>
      </c>
      <c r="C469" s="22">
        <f t="shared" si="6"/>
        <v>1</v>
      </c>
      <c r="D469" s="22"/>
      <c r="E469" s="83" t="s">
        <v>347</v>
      </c>
      <c r="F469" s="83"/>
    </row>
    <row r="470" spans="1:7" ht="14.5">
      <c r="A470" s="25">
        <v>44305</v>
      </c>
      <c r="B470" s="26">
        <v>16</v>
      </c>
      <c r="C470" s="22">
        <f t="shared" si="6"/>
        <v>1</v>
      </c>
      <c r="D470" s="22"/>
      <c r="E470" s="83" t="s">
        <v>347</v>
      </c>
      <c r="F470" s="83"/>
    </row>
    <row r="471" spans="1:7" ht="14.5">
      <c r="A471" s="25">
        <v>44306</v>
      </c>
      <c r="B471" s="26">
        <v>16</v>
      </c>
      <c r="C471" s="22">
        <f t="shared" si="6"/>
        <v>1</v>
      </c>
      <c r="D471" s="22"/>
      <c r="E471" s="83" t="s">
        <v>347</v>
      </c>
      <c r="F471" s="83"/>
      <c r="G471" s="126"/>
    </row>
    <row r="472" spans="1:7" ht="14.5">
      <c r="A472" s="25">
        <v>44307</v>
      </c>
      <c r="B472" s="26">
        <v>16</v>
      </c>
      <c r="C472" s="22">
        <f t="shared" si="6"/>
        <v>1</v>
      </c>
      <c r="D472" s="22"/>
      <c r="E472" s="83" t="s">
        <v>347</v>
      </c>
      <c r="F472" s="83"/>
      <c r="G472" s="126"/>
    </row>
    <row r="473" spans="1:7" ht="14.5">
      <c r="A473" s="25">
        <v>44308</v>
      </c>
      <c r="B473" s="26">
        <v>16</v>
      </c>
      <c r="C473" s="22">
        <f t="shared" si="6"/>
        <v>1</v>
      </c>
      <c r="D473" s="22"/>
      <c r="E473" s="83" t="s">
        <v>347</v>
      </c>
      <c r="F473" s="83"/>
    </row>
    <row r="474" spans="1:7" ht="14.5">
      <c r="A474" s="25">
        <v>44309</v>
      </c>
      <c r="B474" s="26">
        <v>16</v>
      </c>
      <c r="C474" s="22">
        <f t="shared" si="6"/>
        <v>1</v>
      </c>
      <c r="D474" s="22"/>
      <c r="E474" s="83" t="s">
        <v>347</v>
      </c>
      <c r="F474" s="83"/>
    </row>
    <row r="475" spans="1:7" ht="14.5">
      <c r="A475" s="25">
        <v>44310</v>
      </c>
      <c r="B475" s="26">
        <v>16</v>
      </c>
      <c r="C475" s="22">
        <f t="shared" si="6"/>
        <v>1</v>
      </c>
      <c r="D475" s="22"/>
      <c r="E475" s="83" t="s">
        <v>347</v>
      </c>
      <c r="F475" s="83"/>
    </row>
    <row r="476" spans="1:7" ht="14.5">
      <c r="A476" s="25">
        <v>44311</v>
      </c>
      <c r="B476" s="26">
        <v>16</v>
      </c>
      <c r="C476" s="22">
        <f t="shared" si="6"/>
        <v>1</v>
      </c>
      <c r="D476" s="22"/>
      <c r="E476" s="83" t="s">
        <v>347</v>
      </c>
      <c r="F476" s="83"/>
    </row>
    <row r="477" spans="1:7" ht="14.5">
      <c r="A477" s="25">
        <v>44312</v>
      </c>
      <c r="B477" s="26">
        <v>17</v>
      </c>
      <c r="C477" s="22">
        <f t="shared" ref="C477:C487" si="7">13/11</f>
        <v>1.1818181818181819</v>
      </c>
      <c r="D477" s="22"/>
      <c r="E477" s="83" t="s">
        <v>349</v>
      </c>
      <c r="F477" s="83"/>
    </row>
    <row r="478" spans="1:7" ht="14.5">
      <c r="A478" s="25">
        <v>44313</v>
      </c>
      <c r="B478" s="26">
        <v>17</v>
      </c>
      <c r="C478" s="22">
        <f t="shared" si="7"/>
        <v>1.1818181818181819</v>
      </c>
      <c r="D478" s="22"/>
      <c r="E478" s="83" t="s">
        <v>349</v>
      </c>
      <c r="F478" s="83"/>
    </row>
    <row r="479" spans="1:7" ht="14.5">
      <c r="A479" s="25">
        <v>44314</v>
      </c>
      <c r="B479" s="26">
        <v>17</v>
      </c>
      <c r="C479" s="22">
        <f t="shared" si="7"/>
        <v>1.1818181818181819</v>
      </c>
      <c r="D479" s="22"/>
      <c r="E479" s="83" t="s">
        <v>349</v>
      </c>
      <c r="F479" s="83"/>
    </row>
    <row r="480" spans="1:7" ht="14.5">
      <c r="A480" s="25">
        <v>44315</v>
      </c>
      <c r="B480" s="26">
        <v>17</v>
      </c>
      <c r="C480" s="22">
        <f t="shared" si="7"/>
        <v>1.1818181818181819</v>
      </c>
      <c r="D480" s="22"/>
      <c r="E480" s="83" t="s">
        <v>349</v>
      </c>
      <c r="F480" s="83"/>
    </row>
    <row r="481" spans="1:7" ht="14.5">
      <c r="A481" s="25">
        <v>44316</v>
      </c>
      <c r="B481" s="26">
        <v>17</v>
      </c>
      <c r="C481" s="22">
        <f t="shared" si="7"/>
        <v>1.1818181818181819</v>
      </c>
      <c r="D481" s="22"/>
      <c r="E481" s="83" t="s">
        <v>349</v>
      </c>
      <c r="F481" s="83"/>
    </row>
    <row r="482" spans="1:7" ht="15.5">
      <c r="A482" s="25">
        <v>44317</v>
      </c>
      <c r="B482" s="26">
        <v>17</v>
      </c>
      <c r="C482" s="22">
        <f t="shared" si="7"/>
        <v>1.1818181818181819</v>
      </c>
      <c r="D482" s="22"/>
      <c r="E482" s="83" t="s">
        <v>349</v>
      </c>
      <c r="F482" s="83"/>
      <c r="G482" s="77"/>
    </row>
    <row r="483" spans="1:7" ht="14.5">
      <c r="A483" s="25">
        <v>44318</v>
      </c>
      <c r="B483" s="26">
        <v>17</v>
      </c>
      <c r="C483" s="22">
        <f t="shared" si="7"/>
        <v>1.1818181818181819</v>
      </c>
      <c r="D483" s="22"/>
      <c r="E483" s="83" t="s">
        <v>349</v>
      </c>
      <c r="F483" s="83"/>
      <c r="G483" s="17"/>
    </row>
    <row r="484" spans="1:7" ht="14.5">
      <c r="A484" s="25">
        <v>44319</v>
      </c>
      <c r="B484" s="26">
        <v>18</v>
      </c>
      <c r="C484" s="22">
        <f t="shared" si="7"/>
        <v>1.1818181818181819</v>
      </c>
      <c r="D484" s="22"/>
      <c r="E484" s="83" t="s">
        <v>349</v>
      </c>
      <c r="F484" s="83"/>
    </row>
    <row r="485" spans="1:7" ht="14.5">
      <c r="A485" s="25">
        <v>44320</v>
      </c>
      <c r="B485" s="26">
        <v>18</v>
      </c>
      <c r="C485" s="22">
        <f t="shared" si="7"/>
        <v>1.1818181818181819</v>
      </c>
      <c r="D485" s="22"/>
      <c r="E485" s="83" t="s">
        <v>349</v>
      </c>
      <c r="F485" s="83"/>
    </row>
    <row r="486" spans="1:7" ht="14.5">
      <c r="A486" s="25">
        <v>44321</v>
      </c>
      <c r="B486" s="26">
        <v>18</v>
      </c>
      <c r="C486" s="22">
        <f t="shared" si="7"/>
        <v>1.1818181818181819</v>
      </c>
      <c r="D486" s="22"/>
      <c r="E486" s="83" t="s">
        <v>349</v>
      </c>
      <c r="F486" s="83"/>
    </row>
    <row r="487" spans="1:7" ht="14.5">
      <c r="A487" s="25">
        <v>44322</v>
      </c>
      <c r="B487" s="26">
        <v>18</v>
      </c>
      <c r="C487" s="22">
        <f t="shared" si="7"/>
        <v>1.1818181818181819</v>
      </c>
      <c r="D487" s="22"/>
      <c r="E487" s="83" t="s">
        <v>349</v>
      </c>
      <c r="F487" s="83"/>
    </row>
    <row r="488" spans="1:7" ht="14.5">
      <c r="A488" s="25">
        <v>44323</v>
      </c>
      <c r="B488" s="26">
        <v>18</v>
      </c>
      <c r="C488" s="22">
        <f>(21/10)+1+1</f>
        <v>4.0999999999999996</v>
      </c>
      <c r="D488" s="22"/>
      <c r="E488" s="83" t="s">
        <v>347</v>
      </c>
      <c r="F488" s="83"/>
    </row>
    <row r="489" spans="1:7" ht="14.5">
      <c r="A489" s="25">
        <v>44324</v>
      </c>
      <c r="B489" s="26">
        <v>18</v>
      </c>
      <c r="C489" s="22">
        <f t="shared" ref="C489:C493" si="8">21/10</f>
        <v>2.1</v>
      </c>
      <c r="D489" s="22"/>
      <c r="E489" s="83" t="s">
        <v>347</v>
      </c>
      <c r="F489" s="83"/>
    </row>
    <row r="490" spans="1:7" ht="14.5">
      <c r="A490" s="25">
        <v>44325</v>
      </c>
      <c r="B490" s="26">
        <v>18</v>
      </c>
      <c r="C490" s="22">
        <f t="shared" si="8"/>
        <v>2.1</v>
      </c>
      <c r="D490" s="22"/>
      <c r="E490" s="83" t="s">
        <v>347</v>
      </c>
      <c r="F490" s="83"/>
    </row>
    <row r="491" spans="1:7" ht="14.5">
      <c r="A491" s="25">
        <v>44326</v>
      </c>
      <c r="B491" s="26">
        <v>19</v>
      </c>
      <c r="C491" s="22">
        <f t="shared" si="8"/>
        <v>2.1</v>
      </c>
      <c r="D491" s="22"/>
      <c r="E491" s="83" t="s">
        <v>347</v>
      </c>
      <c r="F491" s="83"/>
    </row>
    <row r="492" spans="1:7" ht="14.5">
      <c r="A492" s="25">
        <v>44327</v>
      </c>
      <c r="B492" s="26">
        <v>19</v>
      </c>
      <c r="C492" s="22">
        <f t="shared" si="8"/>
        <v>2.1</v>
      </c>
      <c r="D492" s="22"/>
      <c r="E492" s="83" t="s">
        <v>347</v>
      </c>
      <c r="F492" s="83"/>
    </row>
    <row r="493" spans="1:7" ht="14.5">
      <c r="A493" s="25">
        <v>44328</v>
      </c>
      <c r="B493" s="26">
        <v>19</v>
      </c>
      <c r="C493" s="22">
        <f t="shared" si="8"/>
        <v>2.1</v>
      </c>
      <c r="D493" s="22"/>
      <c r="E493" s="83" t="s">
        <v>347</v>
      </c>
      <c r="F493" s="83"/>
    </row>
    <row r="494" spans="1:7" ht="14.5">
      <c r="A494" s="25">
        <v>44329</v>
      </c>
      <c r="B494" s="26">
        <v>19</v>
      </c>
      <c r="C494" s="22">
        <f>(21/10)+1</f>
        <v>3.1</v>
      </c>
      <c r="D494" s="22"/>
      <c r="E494" s="83" t="s">
        <v>347</v>
      </c>
      <c r="F494" s="83"/>
    </row>
    <row r="495" spans="1:7" ht="14.5">
      <c r="A495" s="25">
        <v>44330</v>
      </c>
      <c r="B495" s="26">
        <v>19</v>
      </c>
      <c r="C495" s="22">
        <f>21/10</f>
        <v>2.1</v>
      </c>
      <c r="D495" s="22"/>
      <c r="E495" s="83" t="s">
        <v>347</v>
      </c>
      <c r="F495" s="83"/>
    </row>
    <row r="496" spans="1:7" ht="14.5">
      <c r="A496" s="25">
        <v>44331</v>
      </c>
      <c r="B496" s="26">
        <v>19</v>
      </c>
      <c r="C496" s="22">
        <f>(21/10)+4</f>
        <v>6.1</v>
      </c>
      <c r="D496" s="22"/>
      <c r="E496" s="83" t="s">
        <v>347</v>
      </c>
      <c r="F496" s="83"/>
      <c r="G496" s="20" t="s">
        <v>351</v>
      </c>
    </row>
    <row r="497" spans="1:7" ht="14.5">
      <c r="A497" s="25">
        <v>44332</v>
      </c>
      <c r="B497" s="26">
        <v>19</v>
      </c>
      <c r="C497" s="22">
        <f>21/10</f>
        <v>2.1</v>
      </c>
      <c r="D497" s="22"/>
      <c r="E497" s="83" t="s">
        <v>347</v>
      </c>
      <c r="F497" s="83"/>
    </row>
    <row r="498" spans="1:7" ht="14.5">
      <c r="A498" s="25">
        <v>44333</v>
      </c>
      <c r="B498" s="26">
        <v>20</v>
      </c>
      <c r="C498" s="22">
        <f t="shared" ref="C498:C499" si="9">19/7</f>
        <v>2.7142857142857144</v>
      </c>
      <c r="D498" s="22"/>
      <c r="E498" s="83" t="s">
        <v>349</v>
      </c>
      <c r="F498" s="83"/>
    </row>
    <row r="499" spans="1:7" ht="14.5">
      <c r="A499" s="25">
        <v>44334</v>
      </c>
      <c r="B499" s="26">
        <v>20</v>
      </c>
      <c r="C499" s="22">
        <f t="shared" si="9"/>
        <v>2.7142857142857144</v>
      </c>
      <c r="D499" s="22"/>
      <c r="E499" s="83" t="s">
        <v>349</v>
      </c>
      <c r="F499" s="83"/>
    </row>
    <row r="500" spans="1:7" ht="14.5">
      <c r="A500" s="25">
        <v>44335</v>
      </c>
      <c r="B500" s="26">
        <v>20</v>
      </c>
      <c r="C500" s="22">
        <f>(19/7)+7</f>
        <v>9.7142857142857153</v>
      </c>
      <c r="D500" s="22"/>
      <c r="E500" s="83" t="s">
        <v>349</v>
      </c>
      <c r="F500" s="83"/>
      <c r="G500" s="20" t="s">
        <v>352</v>
      </c>
    </row>
    <row r="501" spans="1:7" ht="14.5">
      <c r="A501" s="25">
        <v>44336</v>
      </c>
      <c r="B501" s="26">
        <v>20</v>
      </c>
      <c r="C501" s="22">
        <f t="shared" ref="C501:C504" si="10">19/7</f>
        <v>2.7142857142857144</v>
      </c>
      <c r="D501" s="22"/>
      <c r="E501" s="83" t="s">
        <v>349</v>
      </c>
      <c r="F501" s="83"/>
    </row>
    <row r="502" spans="1:7" ht="15.5">
      <c r="A502" s="25">
        <v>44337</v>
      </c>
      <c r="B502" s="26">
        <v>20</v>
      </c>
      <c r="C502" s="22">
        <f t="shared" si="10"/>
        <v>2.7142857142857144</v>
      </c>
      <c r="D502" s="22"/>
      <c r="E502" s="83" t="s">
        <v>349</v>
      </c>
      <c r="F502" s="83"/>
      <c r="G502" s="77"/>
    </row>
    <row r="503" spans="1:7" ht="14.5">
      <c r="A503" s="25">
        <v>44338</v>
      </c>
      <c r="B503" s="26">
        <v>20</v>
      </c>
      <c r="C503" s="22">
        <f t="shared" si="10"/>
        <v>2.7142857142857144</v>
      </c>
      <c r="D503" s="22"/>
      <c r="E503" s="83" t="s">
        <v>349</v>
      </c>
      <c r="F503" s="83"/>
    </row>
    <row r="504" spans="1:7" ht="14.5">
      <c r="A504" s="25">
        <v>44339</v>
      </c>
      <c r="B504" s="26">
        <v>20</v>
      </c>
      <c r="C504" s="22">
        <f t="shared" si="10"/>
        <v>2.7142857142857144</v>
      </c>
      <c r="D504" s="22"/>
      <c r="E504" s="83" t="s">
        <v>349</v>
      </c>
      <c r="F504" s="83"/>
    </row>
    <row r="505" spans="1:7" ht="14.5">
      <c r="A505" s="25">
        <v>44340</v>
      </c>
      <c r="B505" s="26">
        <v>21</v>
      </c>
      <c r="C505" s="22">
        <f t="shared" ref="C505:C512" si="11">18/8</f>
        <v>2.25</v>
      </c>
      <c r="D505" s="22"/>
      <c r="E505" s="83" t="s">
        <v>349</v>
      </c>
      <c r="F505" s="83"/>
    </row>
    <row r="506" spans="1:7" ht="14.5">
      <c r="A506" s="25">
        <v>44341</v>
      </c>
      <c r="B506" s="26">
        <v>21</v>
      </c>
      <c r="C506" s="22">
        <f t="shared" si="11"/>
        <v>2.25</v>
      </c>
      <c r="D506" s="22"/>
      <c r="E506" s="83" t="s">
        <v>349</v>
      </c>
      <c r="F506" s="83"/>
    </row>
    <row r="507" spans="1:7" ht="14.5">
      <c r="A507" s="25">
        <v>44342</v>
      </c>
      <c r="B507" s="26">
        <v>21</v>
      </c>
      <c r="C507" s="22">
        <f t="shared" si="11"/>
        <v>2.25</v>
      </c>
      <c r="D507" s="22"/>
      <c r="E507" s="83" t="s">
        <v>349</v>
      </c>
      <c r="F507" s="83"/>
    </row>
    <row r="508" spans="1:7" ht="14.5">
      <c r="A508" s="25">
        <v>44343</v>
      </c>
      <c r="B508" s="26">
        <v>21</v>
      </c>
      <c r="C508" s="22">
        <f t="shared" si="11"/>
        <v>2.25</v>
      </c>
      <c r="D508" s="22"/>
      <c r="E508" s="83" t="s">
        <v>349</v>
      </c>
      <c r="F508" s="83"/>
    </row>
    <row r="509" spans="1:7" ht="14.5">
      <c r="A509" s="25">
        <v>44344</v>
      </c>
      <c r="B509" s="26">
        <v>21</v>
      </c>
      <c r="C509" s="22">
        <f t="shared" si="11"/>
        <v>2.25</v>
      </c>
      <c r="D509" s="22"/>
      <c r="E509" s="83" t="s">
        <v>349</v>
      </c>
      <c r="F509" s="83"/>
    </row>
    <row r="510" spans="1:7" ht="14.5">
      <c r="A510" s="25">
        <v>44345</v>
      </c>
      <c r="B510" s="26">
        <v>21</v>
      </c>
      <c r="C510" s="22">
        <f t="shared" si="11"/>
        <v>2.25</v>
      </c>
      <c r="D510" s="22"/>
      <c r="E510" s="83" t="s">
        <v>349</v>
      </c>
      <c r="F510" s="83"/>
    </row>
    <row r="511" spans="1:7" ht="14.5">
      <c r="A511" s="25">
        <v>44346</v>
      </c>
      <c r="B511" s="26">
        <v>21</v>
      </c>
      <c r="C511" s="22">
        <f t="shared" si="11"/>
        <v>2.25</v>
      </c>
      <c r="D511" s="22"/>
      <c r="E511" s="83" t="s">
        <v>349</v>
      </c>
      <c r="F511" s="83"/>
    </row>
    <row r="512" spans="1:7" ht="14.5">
      <c r="A512" s="25">
        <v>44347</v>
      </c>
      <c r="B512" s="26">
        <v>22</v>
      </c>
      <c r="C512" s="22">
        <f t="shared" si="11"/>
        <v>2.25</v>
      </c>
      <c r="D512" s="22"/>
      <c r="E512" s="83" t="s">
        <v>349</v>
      </c>
      <c r="F512" s="83"/>
    </row>
    <row r="513" spans="1:6" ht="14.5">
      <c r="A513" s="25">
        <v>44348</v>
      </c>
      <c r="B513" s="26">
        <v>22</v>
      </c>
      <c r="C513" s="22">
        <f t="shared" ref="C513:C519" si="12">4/7</f>
        <v>0.5714285714285714</v>
      </c>
      <c r="D513" s="22"/>
      <c r="E513" s="83" t="s">
        <v>347</v>
      </c>
      <c r="F513" s="83"/>
    </row>
    <row r="514" spans="1:6" ht="14.5">
      <c r="A514" s="25">
        <v>44349</v>
      </c>
      <c r="B514" s="26">
        <v>22</v>
      </c>
      <c r="C514" s="22">
        <f t="shared" si="12"/>
        <v>0.5714285714285714</v>
      </c>
      <c r="D514" s="22"/>
      <c r="E514" s="83" t="s">
        <v>347</v>
      </c>
      <c r="F514" s="83"/>
    </row>
    <row r="515" spans="1:6" ht="14.5">
      <c r="A515" s="25">
        <v>44350</v>
      </c>
      <c r="B515" s="26">
        <v>22</v>
      </c>
      <c r="C515" s="22">
        <f t="shared" si="12"/>
        <v>0.5714285714285714</v>
      </c>
      <c r="D515" s="22"/>
      <c r="E515" s="83" t="s">
        <v>347</v>
      </c>
      <c r="F515" s="83"/>
    </row>
    <row r="516" spans="1:6" ht="14.5">
      <c r="A516" s="25">
        <v>44351</v>
      </c>
      <c r="B516" s="26">
        <v>22</v>
      </c>
      <c r="C516" s="22">
        <f t="shared" si="12"/>
        <v>0.5714285714285714</v>
      </c>
      <c r="D516" s="22"/>
      <c r="E516" s="83" t="s">
        <v>347</v>
      </c>
      <c r="F516" s="83"/>
    </row>
    <row r="517" spans="1:6" ht="14.5">
      <c r="A517" s="25">
        <v>44352</v>
      </c>
      <c r="B517" s="26">
        <v>22</v>
      </c>
      <c r="C517" s="22">
        <f t="shared" si="12"/>
        <v>0.5714285714285714</v>
      </c>
      <c r="D517" s="22"/>
      <c r="E517" s="83" t="s">
        <v>347</v>
      </c>
      <c r="F517" s="83"/>
    </row>
    <row r="518" spans="1:6" ht="14.5">
      <c r="A518" s="25">
        <v>44353</v>
      </c>
      <c r="B518" s="26">
        <v>22</v>
      </c>
      <c r="C518" s="22">
        <f t="shared" si="12"/>
        <v>0.5714285714285714</v>
      </c>
      <c r="D518" s="22"/>
      <c r="E518" s="83" t="s">
        <v>347</v>
      </c>
      <c r="F518" s="83"/>
    </row>
    <row r="519" spans="1:6" ht="14.5">
      <c r="A519" s="25">
        <v>44354</v>
      </c>
      <c r="B519" s="26">
        <v>23</v>
      </c>
      <c r="C519" s="22">
        <f t="shared" si="12"/>
        <v>0.5714285714285714</v>
      </c>
      <c r="D519" s="22"/>
      <c r="E519" s="83" t="s">
        <v>347</v>
      </c>
      <c r="F519" s="83"/>
    </row>
    <row r="520" spans="1:6" ht="14.5">
      <c r="A520" s="25">
        <v>44355</v>
      </c>
      <c r="B520" s="26">
        <v>23</v>
      </c>
      <c r="C520" s="22"/>
      <c r="D520" s="22"/>
      <c r="E520" s="83"/>
      <c r="F520" s="83"/>
    </row>
    <row r="521" spans="1:6" ht="14.5">
      <c r="A521" s="25">
        <v>44356</v>
      </c>
      <c r="B521" s="26">
        <v>23</v>
      </c>
      <c r="C521" s="22"/>
      <c r="D521" s="22"/>
      <c r="E521" s="83"/>
      <c r="F521" s="83"/>
    </row>
    <row r="522" spans="1:6" ht="14.5">
      <c r="A522" s="25">
        <v>44357</v>
      </c>
      <c r="B522" s="26">
        <v>23</v>
      </c>
      <c r="C522" s="22"/>
      <c r="D522" s="22"/>
      <c r="E522" s="83"/>
      <c r="F522" s="83"/>
    </row>
    <row r="523" spans="1:6" ht="14.5">
      <c r="A523" s="25">
        <v>44358</v>
      </c>
      <c r="B523" s="26">
        <v>23</v>
      </c>
      <c r="C523" s="22"/>
      <c r="D523" s="22"/>
      <c r="E523" s="83"/>
      <c r="F523" s="83"/>
    </row>
    <row r="524" spans="1:6" ht="14.5">
      <c r="A524" s="25">
        <v>44359</v>
      </c>
      <c r="B524" s="26">
        <v>23</v>
      </c>
      <c r="C524" s="22"/>
      <c r="D524" s="22"/>
      <c r="E524" s="83"/>
      <c r="F524" s="83"/>
    </row>
    <row r="525" spans="1:6" ht="14.5">
      <c r="A525" s="25">
        <v>44360</v>
      </c>
      <c r="B525" s="26">
        <v>23</v>
      </c>
      <c r="C525" s="22"/>
      <c r="D525" s="22"/>
      <c r="E525" s="83"/>
      <c r="F525" s="83"/>
    </row>
    <row r="526" spans="1:6" ht="14.5">
      <c r="A526" s="25">
        <v>44361</v>
      </c>
      <c r="B526" s="26">
        <v>24</v>
      </c>
      <c r="C526" s="22">
        <f t="shared" ref="C526:C534" si="13">2/9</f>
        <v>0.22222222222222221</v>
      </c>
      <c r="D526" s="22"/>
      <c r="E526" s="83" t="s">
        <v>345</v>
      </c>
      <c r="F526" s="83"/>
    </row>
    <row r="527" spans="1:6" ht="14.5">
      <c r="A527" s="25">
        <v>44362</v>
      </c>
      <c r="B527" s="26">
        <v>24</v>
      </c>
      <c r="C527" s="22">
        <f t="shared" si="13"/>
        <v>0.22222222222222221</v>
      </c>
      <c r="D527" s="22"/>
      <c r="E527" s="83" t="s">
        <v>345</v>
      </c>
      <c r="F527" s="83"/>
    </row>
    <row r="528" spans="1:6" ht="14.5">
      <c r="A528" s="25">
        <v>44363</v>
      </c>
      <c r="B528" s="26">
        <v>24</v>
      </c>
      <c r="C528" s="22">
        <f t="shared" si="13"/>
        <v>0.22222222222222221</v>
      </c>
      <c r="D528" s="22"/>
      <c r="E528" s="83" t="s">
        <v>345</v>
      </c>
      <c r="F528" s="83"/>
    </row>
    <row r="529" spans="1:6" ht="14.5">
      <c r="A529" s="25">
        <v>44364</v>
      </c>
      <c r="B529" s="26">
        <v>24</v>
      </c>
      <c r="C529" s="22">
        <f t="shared" si="13"/>
        <v>0.22222222222222221</v>
      </c>
      <c r="D529" s="22"/>
      <c r="E529" s="83" t="s">
        <v>345</v>
      </c>
      <c r="F529" s="83"/>
    </row>
    <row r="530" spans="1:6" ht="14.5">
      <c r="A530" s="25">
        <v>44365</v>
      </c>
      <c r="B530" s="26">
        <v>24</v>
      </c>
      <c r="C530" s="22">
        <f t="shared" si="13"/>
        <v>0.22222222222222221</v>
      </c>
      <c r="D530" s="22"/>
      <c r="E530" s="83" t="s">
        <v>345</v>
      </c>
      <c r="F530" s="83"/>
    </row>
    <row r="531" spans="1:6" ht="14.5">
      <c r="A531" s="25">
        <v>44366</v>
      </c>
      <c r="B531" s="26">
        <v>24</v>
      </c>
      <c r="C531" s="22">
        <f t="shared" si="13"/>
        <v>0.22222222222222221</v>
      </c>
      <c r="D531" s="22"/>
      <c r="E531" s="83" t="s">
        <v>345</v>
      </c>
      <c r="F531" s="83"/>
    </row>
    <row r="532" spans="1:6" ht="14.5">
      <c r="A532" s="25">
        <v>44367</v>
      </c>
      <c r="B532" s="26">
        <v>24</v>
      </c>
      <c r="C532" s="22">
        <f t="shared" si="13"/>
        <v>0.22222222222222221</v>
      </c>
      <c r="D532" s="22"/>
      <c r="E532" s="83" t="s">
        <v>345</v>
      </c>
      <c r="F532" s="83"/>
    </row>
    <row r="533" spans="1:6" ht="14.5">
      <c r="A533" s="25">
        <v>44368</v>
      </c>
      <c r="B533" s="26">
        <v>25</v>
      </c>
      <c r="C533" s="22">
        <f t="shared" si="13"/>
        <v>0.22222222222222221</v>
      </c>
      <c r="D533" s="22"/>
      <c r="E533" s="83" t="s">
        <v>345</v>
      </c>
      <c r="F533" s="83"/>
    </row>
    <row r="534" spans="1:6" ht="14.5">
      <c r="A534" s="25">
        <v>44369</v>
      </c>
      <c r="B534" s="26">
        <v>25</v>
      </c>
      <c r="C534" s="22">
        <f t="shared" si="13"/>
        <v>0.22222222222222221</v>
      </c>
      <c r="D534" s="22"/>
      <c r="E534" s="83" t="s">
        <v>345</v>
      </c>
      <c r="F534" s="83"/>
    </row>
    <row r="535" spans="1:6" ht="14.5">
      <c r="A535" s="25">
        <v>44370</v>
      </c>
      <c r="B535" s="26">
        <v>25</v>
      </c>
      <c r="C535" s="22">
        <f t="shared" ref="C535:C541" si="14">1/7</f>
        <v>0.14285714285714285</v>
      </c>
      <c r="D535" s="22"/>
      <c r="E535" s="88" t="s">
        <v>346</v>
      </c>
      <c r="F535" s="83"/>
    </row>
    <row r="536" spans="1:6" ht="14.5">
      <c r="A536" s="25">
        <v>44371</v>
      </c>
      <c r="B536" s="26">
        <v>25</v>
      </c>
      <c r="C536" s="22">
        <f t="shared" si="14"/>
        <v>0.14285714285714285</v>
      </c>
      <c r="D536" s="22"/>
      <c r="E536" s="88" t="s">
        <v>346</v>
      </c>
      <c r="F536" s="83"/>
    </row>
    <row r="537" spans="1:6" ht="14.5">
      <c r="A537" s="25">
        <v>44372</v>
      </c>
      <c r="B537" s="26">
        <v>25</v>
      </c>
      <c r="C537" s="22">
        <f t="shared" si="14"/>
        <v>0.14285714285714285</v>
      </c>
      <c r="D537" s="22"/>
      <c r="E537" s="88" t="s">
        <v>346</v>
      </c>
      <c r="F537" s="83"/>
    </row>
    <row r="538" spans="1:6" ht="14.5">
      <c r="A538" s="25">
        <v>44373</v>
      </c>
      <c r="B538" s="26">
        <v>25</v>
      </c>
      <c r="C538" s="22">
        <f t="shared" si="14"/>
        <v>0.14285714285714285</v>
      </c>
      <c r="D538" s="22"/>
      <c r="E538" s="88" t="s">
        <v>346</v>
      </c>
      <c r="F538" s="83"/>
    </row>
    <row r="539" spans="1:6" ht="14.5">
      <c r="A539" s="25">
        <v>44374</v>
      </c>
      <c r="B539" s="26">
        <v>25</v>
      </c>
      <c r="C539" s="22">
        <f t="shared" si="14"/>
        <v>0.14285714285714285</v>
      </c>
      <c r="D539" s="22"/>
      <c r="E539" s="88" t="s">
        <v>346</v>
      </c>
      <c r="F539" s="83"/>
    </row>
    <row r="540" spans="1:6" ht="14.5">
      <c r="A540" s="25">
        <v>44375</v>
      </c>
      <c r="B540" s="26">
        <v>25</v>
      </c>
      <c r="C540" s="22">
        <f t="shared" si="14"/>
        <v>0.14285714285714285</v>
      </c>
      <c r="D540" s="22"/>
      <c r="E540" s="88" t="s">
        <v>346</v>
      </c>
      <c r="F540" s="83"/>
    </row>
    <row r="541" spans="1:6" ht="14.5">
      <c r="A541" s="25">
        <v>44376</v>
      </c>
      <c r="B541" s="26">
        <v>26</v>
      </c>
      <c r="C541" s="22">
        <f t="shared" si="14"/>
        <v>0.14285714285714285</v>
      </c>
      <c r="D541" s="22"/>
      <c r="E541" s="88" t="s">
        <v>346</v>
      </c>
      <c r="F541" s="83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2">
        <v>27</v>
      </c>
      <c r="C547" s="22"/>
      <c r="D547" s="22"/>
      <c r="E547" s="22"/>
      <c r="F547" s="22"/>
    </row>
    <row r="548" spans="1:6" ht="14.5">
      <c r="A548" s="25">
        <v>44383</v>
      </c>
      <c r="B548" s="22">
        <v>27</v>
      </c>
      <c r="C548" s="22"/>
      <c r="D548" s="22"/>
      <c r="E548" s="22"/>
      <c r="F548" s="22"/>
    </row>
    <row r="549" spans="1:6" ht="14.5">
      <c r="A549" s="25">
        <v>44384</v>
      </c>
      <c r="B549" s="22">
        <v>27</v>
      </c>
      <c r="C549" s="22">
        <f t="shared" ref="C549:C555" si="15">3/7</f>
        <v>0.42857142857142855</v>
      </c>
      <c r="D549" s="22"/>
      <c r="E549" s="83" t="s">
        <v>345</v>
      </c>
      <c r="F549" s="22"/>
    </row>
    <row r="550" spans="1:6" ht="14.5">
      <c r="A550" s="25">
        <v>44385</v>
      </c>
      <c r="B550" s="22">
        <v>27</v>
      </c>
      <c r="C550" s="22">
        <f t="shared" si="15"/>
        <v>0.42857142857142855</v>
      </c>
      <c r="D550" s="22"/>
      <c r="E550" s="83" t="s">
        <v>345</v>
      </c>
      <c r="F550" s="22"/>
    </row>
    <row r="551" spans="1:6" ht="14.5">
      <c r="A551" s="25">
        <v>44386</v>
      </c>
      <c r="B551" s="22">
        <v>27</v>
      </c>
      <c r="C551" s="22">
        <f t="shared" si="15"/>
        <v>0.42857142857142855</v>
      </c>
      <c r="D551" s="22"/>
      <c r="E551" s="83" t="s">
        <v>345</v>
      </c>
      <c r="F551" s="22"/>
    </row>
    <row r="552" spans="1:6" ht="14.5">
      <c r="A552" s="25">
        <v>44387</v>
      </c>
      <c r="B552" s="22">
        <v>27</v>
      </c>
      <c r="C552" s="22">
        <f t="shared" si="15"/>
        <v>0.42857142857142855</v>
      </c>
      <c r="D552" s="22"/>
      <c r="E552" s="83" t="s">
        <v>345</v>
      </c>
      <c r="F552" s="22"/>
    </row>
    <row r="553" spans="1:6" ht="14.5">
      <c r="A553" s="25">
        <v>44388</v>
      </c>
      <c r="B553" s="22">
        <v>27</v>
      </c>
      <c r="C553" s="22">
        <f t="shared" si="15"/>
        <v>0.42857142857142855</v>
      </c>
      <c r="D553" s="22"/>
      <c r="E553" s="83" t="s">
        <v>345</v>
      </c>
      <c r="F553" s="22"/>
    </row>
    <row r="554" spans="1:6" ht="14.5">
      <c r="A554" s="25">
        <v>44389</v>
      </c>
      <c r="B554" s="22">
        <v>28</v>
      </c>
      <c r="C554" s="22">
        <f t="shared" si="15"/>
        <v>0.42857142857142855</v>
      </c>
      <c r="D554" s="22"/>
      <c r="E554" s="83" t="s">
        <v>345</v>
      </c>
      <c r="F554" s="22"/>
    </row>
    <row r="555" spans="1:6" ht="14.5">
      <c r="A555" s="25">
        <v>44390</v>
      </c>
      <c r="B555" s="22">
        <v>28</v>
      </c>
      <c r="C555" s="22">
        <f t="shared" si="15"/>
        <v>0.42857142857142855</v>
      </c>
      <c r="D555" s="22"/>
      <c r="E555" s="83" t="s">
        <v>345</v>
      </c>
      <c r="F555" s="22"/>
    </row>
    <row r="556" spans="1:6" ht="14.5">
      <c r="A556" s="25">
        <v>44391</v>
      </c>
      <c r="B556" s="22">
        <v>28</v>
      </c>
      <c r="C556" s="22">
        <f t="shared" ref="C556:C563" si="16">3/8</f>
        <v>0.375</v>
      </c>
      <c r="D556" s="22"/>
      <c r="E556" s="83" t="s">
        <v>347</v>
      </c>
      <c r="F556" s="22"/>
    </row>
    <row r="557" spans="1:6" ht="14.5">
      <c r="A557" s="25">
        <v>44392</v>
      </c>
      <c r="B557" s="22">
        <v>28</v>
      </c>
      <c r="C557" s="22">
        <f t="shared" si="16"/>
        <v>0.375</v>
      </c>
      <c r="D557" s="22"/>
      <c r="E557" s="83" t="s">
        <v>347</v>
      </c>
      <c r="F557" s="22"/>
    </row>
    <row r="558" spans="1:6" ht="14.5">
      <c r="A558" s="25">
        <v>44393</v>
      </c>
      <c r="B558" s="22">
        <v>28</v>
      </c>
      <c r="C558" s="22">
        <f t="shared" si="16"/>
        <v>0.375</v>
      </c>
      <c r="D558" s="22"/>
      <c r="E558" s="83" t="s">
        <v>347</v>
      </c>
      <c r="F558" s="22"/>
    </row>
    <row r="559" spans="1:6" ht="14.5">
      <c r="A559" s="25">
        <v>44394</v>
      </c>
      <c r="B559" s="22">
        <v>28</v>
      </c>
      <c r="C559" s="22">
        <f t="shared" si="16"/>
        <v>0.375</v>
      </c>
      <c r="D559" s="22"/>
      <c r="E559" s="83" t="s">
        <v>347</v>
      </c>
      <c r="F559" s="22"/>
    </row>
    <row r="560" spans="1:6" ht="14.5">
      <c r="A560" s="25">
        <v>44395</v>
      </c>
      <c r="B560" s="22">
        <v>28</v>
      </c>
      <c r="C560" s="22">
        <f t="shared" si="16"/>
        <v>0.375</v>
      </c>
      <c r="D560" s="22"/>
      <c r="E560" s="83" t="s">
        <v>347</v>
      </c>
      <c r="F560" s="22"/>
    </row>
    <row r="561" spans="1:6" ht="14.5">
      <c r="A561" s="25">
        <v>44396</v>
      </c>
      <c r="B561" s="22">
        <v>29</v>
      </c>
      <c r="C561" s="22">
        <f t="shared" si="16"/>
        <v>0.375</v>
      </c>
      <c r="D561" s="22"/>
      <c r="E561" s="83" t="s">
        <v>347</v>
      </c>
      <c r="F561" s="22"/>
    </row>
    <row r="562" spans="1:6" ht="14.5">
      <c r="A562" s="25">
        <v>44397</v>
      </c>
      <c r="B562" s="22">
        <v>29</v>
      </c>
      <c r="C562" s="22">
        <f t="shared" si="16"/>
        <v>0.375</v>
      </c>
      <c r="D562" s="22"/>
      <c r="E562" s="83" t="s">
        <v>347</v>
      </c>
      <c r="F562" s="22"/>
    </row>
    <row r="563" spans="1:6" ht="14.5">
      <c r="A563" s="25">
        <v>44398</v>
      </c>
      <c r="B563" s="22">
        <v>29</v>
      </c>
      <c r="C563" s="22">
        <f t="shared" si="16"/>
        <v>0.375</v>
      </c>
      <c r="D563" s="22"/>
      <c r="E563" s="83" t="s">
        <v>347</v>
      </c>
      <c r="F563" s="22"/>
    </row>
    <row r="564" spans="1:6" ht="14.5">
      <c r="A564" s="25">
        <v>44399</v>
      </c>
      <c r="B564" s="26">
        <v>29</v>
      </c>
      <c r="C564" s="22">
        <f>5/13</f>
        <v>0.38461538461538464</v>
      </c>
      <c r="D564" s="22"/>
      <c r="E564" s="83" t="s">
        <v>347</v>
      </c>
      <c r="F564" s="22"/>
    </row>
    <row r="565" spans="1:6" ht="14.5">
      <c r="A565" s="25">
        <v>44400</v>
      </c>
      <c r="B565" s="26">
        <v>29</v>
      </c>
      <c r="C565" s="22">
        <f t="shared" ref="C565:C576" si="17">5/13</f>
        <v>0.38461538461538464</v>
      </c>
      <c r="D565" s="22"/>
      <c r="E565" s="83" t="s">
        <v>347</v>
      </c>
      <c r="F565" s="22"/>
    </row>
    <row r="566" spans="1:6" ht="14.5">
      <c r="A566" s="25">
        <v>44401</v>
      </c>
      <c r="B566" s="26">
        <v>29</v>
      </c>
      <c r="C566" s="22">
        <f t="shared" si="17"/>
        <v>0.38461538461538464</v>
      </c>
      <c r="D566" s="22"/>
      <c r="E566" s="83" t="s">
        <v>347</v>
      </c>
      <c r="F566" s="22"/>
    </row>
    <row r="567" spans="1:6" ht="14.5">
      <c r="A567" s="25">
        <v>44402</v>
      </c>
      <c r="B567" s="26">
        <v>29</v>
      </c>
      <c r="C567" s="22">
        <f t="shared" si="17"/>
        <v>0.38461538461538464</v>
      </c>
      <c r="D567" s="22"/>
      <c r="E567" s="83" t="s">
        <v>347</v>
      </c>
      <c r="F567" s="22"/>
    </row>
    <row r="568" spans="1:6" ht="14.5">
      <c r="A568" s="25">
        <v>44403</v>
      </c>
      <c r="B568" s="26">
        <v>30</v>
      </c>
      <c r="C568" s="22">
        <f t="shared" si="17"/>
        <v>0.38461538461538464</v>
      </c>
      <c r="D568" s="22"/>
      <c r="E568" s="83" t="s">
        <v>347</v>
      </c>
      <c r="F568" s="22"/>
    </row>
    <row r="569" spans="1:6" ht="14.5">
      <c r="A569" s="25">
        <v>44404</v>
      </c>
      <c r="B569" s="26">
        <v>30</v>
      </c>
      <c r="C569" s="22">
        <f t="shared" si="17"/>
        <v>0.38461538461538464</v>
      </c>
      <c r="D569" s="22"/>
      <c r="E569" s="83" t="s">
        <v>347</v>
      </c>
      <c r="F569" s="22"/>
    </row>
    <row r="570" spans="1:6" ht="14.5">
      <c r="A570" s="25">
        <v>44405</v>
      </c>
      <c r="B570" s="26">
        <v>30</v>
      </c>
      <c r="C570" s="22">
        <f t="shared" si="17"/>
        <v>0.38461538461538464</v>
      </c>
      <c r="D570" s="22"/>
      <c r="E570" s="83" t="s">
        <v>347</v>
      </c>
      <c r="F570" s="22"/>
    </row>
    <row r="571" spans="1:6" ht="14.5">
      <c r="A571" s="28">
        <v>44406</v>
      </c>
      <c r="B571" s="22">
        <v>30</v>
      </c>
      <c r="C571" s="22">
        <f t="shared" si="17"/>
        <v>0.38461538461538464</v>
      </c>
      <c r="D571" s="22"/>
      <c r="E571" s="83" t="s">
        <v>347</v>
      </c>
      <c r="F571" s="22"/>
    </row>
    <row r="572" spans="1:6" ht="14.5">
      <c r="A572" s="28">
        <v>44407</v>
      </c>
      <c r="B572" s="22">
        <v>30</v>
      </c>
      <c r="C572" s="22">
        <f t="shared" si="17"/>
        <v>0.38461538461538464</v>
      </c>
      <c r="D572" s="22"/>
      <c r="E572" s="83" t="s">
        <v>347</v>
      </c>
      <c r="F572" s="22"/>
    </row>
    <row r="573" spans="1:6" ht="14.5">
      <c r="A573" s="28">
        <v>44408</v>
      </c>
      <c r="B573" s="22">
        <v>30</v>
      </c>
      <c r="C573" s="22">
        <f t="shared" si="17"/>
        <v>0.38461538461538464</v>
      </c>
      <c r="D573" s="22"/>
      <c r="E573" s="83" t="s">
        <v>347</v>
      </c>
      <c r="F573" s="22"/>
    </row>
    <row r="574" spans="1:6" ht="14.5">
      <c r="A574" s="28">
        <v>44409</v>
      </c>
      <c r="B574" s="22">
        <v>30</v>
      </c>
      <c r="C574" s="22">
        <f t="shared" si="17"/>
        <v>0.38461538461538464</v>
      </c>
      <c r="D574" s="22"/>
      <c r="E574" s="83" t="s">
        <v>347</v>
      </c>
      <c r="F574" s="22"/>
    </row>
    <row r="575" spans="1:6" ht="14.5">
      <c r="A575" s="28">
        <v>44410</v>
      </c>
      <c r="B575" s="22">
        <v>31</v>
      </c>
      <c r="C575" s="22">
        <f t="shared" si="17"/>
        <v>0.38461538461538464</v>
      </c>
      <c r="D575" s="22"/>
      <c r="E575" s="83" t="s">
        <v>347</v>
      </c>
      <c r="F575" s="22"/>
    </row>
    <row r="576" spans="1:6" ht="14.5">
      <c r="A576" s="28">
        <v>44411</v>
      </c>
      <c r="B576" s="22">
        <v>31</v>
      </c>
      <c r="C576" s="22">
        <f t="shared" si="17"/>
        <v>0.38461538461538464</v>
      </c>
      <c r="D576" s="22"/>
      <c r="E576" s="83" t="s">
        <v>347</v>
      </c>
      <c r="F576" s="22"/>
    </row>
    <row r="577" spans="1:6" ht="14.5">
      <c r="A577" s="28">
        <v>44412</v>
      </c>
      <c r="B577" s="22">
        <v>31</v>
      </c>
      <c r="C577" s="22">
        <f>13/16</f>
        <v>0.8125</v>
      </c>
      <c r="D577" s="22"/>
      <c r="E577" s="83" t="s">
        <v>347</v>
      </c>
      <c r="F577" s="22"/>
    </row>
    <row r="578" spans="1:6" ht="14.5">
      <c r="A578" s="28">
        <v>44413</v>
      </c>
      <c r="B578" s="22">
        <v>31</v>
      </c>
      <c r="C578" s="22">
        <f t="shared" ref="C578:C592" si="18">13/16</f>
        <v>0.8125</v>
      </c>
      <c r="D578" s="22"/>
      <c r="E578" s="83" t="s">
        <v>347</v>
      </c>
      <c r="F578" s="22"/>
    </row>
    <row r="579" spans="1:6" ht="14.5">
      <c r="A579" s="28">
        <v>44414</v>
      </c>
      <c r="B579" s="22">
        <v>31</v>
      </c>
      <c r="C579" s="22">
        <f t="shared" si="18"/>
        <v>0.8125</v>
      </c>
      <c r="D579" s="22"/>
      <c r="E579" s="83" t="s">
        <v>347</v>
      </c>
      <c r="F579" s="22"/>
    </row>
    <row r="580" spans="1:6" ht="14.5">
      <c r="A580" s="28">
        <v>44415</v>
      </c>
      <c r="B580" s="22">
        <v>31</v>
      </c>
      <c r="C580" s="22">
        <f t="shared" si="18"/>
        <v>0.8125</v>
      </c>
      <c r="D580" s="22"/>
      <c r="E580" s="83" t="s">
        <v>347</v>
      </c>
      <c r="F580" s="22"/>
    </row>
    <row r="581" spans="1:6" ht="14.5">
      <c r="A581" s="28">
        <v>44416</v>
      </c>
      <c r="B581" s="22">
        <v>31</v>
      </c>
      <c r="C581" s="22">
        <f t="shared" si="18"/>
        <v>0.8125</v>
      </c>
      <c r="D581" s="22"/>
      <c r="E581" s="83" t="s">
        <v>347</v>
      </c>
      <c r="F581" s="22"/>
    </row>
    <row r="582" spans="1:6" ht="14.5">
      <c r="A582" s="28">
        <v>44417</v>
      </c>
      <c r="B582" s="22">
        <v>32</v>
      </c>
      <c r="C582" s="22">
        <f t="shared" si="18"/>
        <v>0.8125</v>
      </c>
      <c r="D582" s="22"/>
      <c r="E582" s="83" t="s">
        <v>347</v>
      </c>
      <c r="F582" s="22"/>
    </row>
    <row r="583" spans="1:6" ht="14.5">
      <c r="A583" s="28">
        <v>44418</v>
      </c>
      <c r="B583" s="22">
        <v>32</v>
      </c>
      <c r="C583" s="22">
        <f t="shared" si="18"/>
        <v>0.8125</v>
      </c>
      <c r="D583" s="22"/>
      <c r="E583" s="83" t="s">
        <v>347</v>
      </c>
      <c r="F583" s="22"/>
    </row>
    <row r="584" spans="1:6" ht="14.5">
      <c r="A584" s="28">
        <v>44419</v>
      </c>
      <c r="B584" s="22">
        <v>32</v>
      </c>
      <c r="C584" s="22">
        <f t="shared" si="18"/>
        <v>0.8125</v>
      </c>
      <c r="D584" s="22"/>
      <c r="E584" s="83" t="s">
        <v>347</v>
      </c>
      <c r="F584" s="22"/>
    </row>
    <row r="585" spans="1:6" ht="14.5">
      <c r="A585" s="28">
        <v>44420</v>
      </c>
      <c r="B585" s="22">
        <v>32</v>
      </c>
      <c r="C585" s="22">
        <f t="shared" si="18"/>
        <v>0.8125</v>
      </c>
      <c r="D585" s="22"/>
      <c r="E585" s="83" t="s">
        <v>347</v>
      </c>
      <c r="F585" s="22"/>
    </row>
    <row r="586" spans="1:6" ht="14.5">
      <c r="A586" s="28">
        <v>44421</v>
      </c>
      <c r="B586" s="22">
        <v>32</v>
      </c>
      <c r="C586" s="22">
        <f t="shared" si="18"/>
        <v>0.8125</v>
      </c>
      <c r="D586" s="22"/>
      <c r="E586" s="83" t="s">
        <v>347</v>
      </c>
      <c r="F586" s="22"/>
    </row>
    <row r="587" spans="1:6" ht="14.5">
      <c r="A587" s="28">
        <v>44422</v>
      </c>
      <c r="B587" s="22">
        <v>32</v>
      </c>
      <c r="C587" s="22">
        <f t="shared" si="18"/>
        <v>0.8125</v>
      </c>
      <c r="D587" s="22"/>
      <c r="E587" s="83" t="s">
        <v>347</v>
      </c>
      <c r="F587" s="22"/>
    </row>
    <row r="588" spans="1:6" ht="14.5">
      <c r="A588" s="28">
        <v>44423</v>
      </c>
      <c r="B588" s="22">
        <v>32</v>
      </c>
      <c r="C588" s="22">
        <f t="shared" si="18"/>
        <v>0.8125</v>
      </c>
      <c r="D588" s="22"/>
      <c r="E588" s="83" t="s">
        <v>347</v>
      </c>
      <c r="F588" s="22"/>
    </row>
    <row r="589" spans="1:6" ht="14.5">
      <c r="A589" s="28">
        <v>44424</v>
      </c>
      <c r="B589" s="22">
        <v>33</v>
      </c>
      <c r="C589" s="22">
        <f t="shared" si="18"/>
        <v>0.8125</v>
      </c>
      <c r="D589" s="22"/>
      <c r="E589" s="83" t="s">
        <v>347</v>
      </c>
      <c r="F589" s="22"/>
    </row>
    <row r="590" spans="1:6" ht="14.5">
      <c r="A590" s="28">
        <v>44425</v>
      </c>
      <c r="B590" s="22">
        <v>33</v>
      </c>
      <c r="C590" s="22">
        <f t="shared" si="18"/>
        <v>0.8125</v>
      </c>
      <c r="D590" s="22"/>
      <c r="E590" s="83" t="s">
        <v>347</v>
      </c>
      <c r="F590" s="22"/>
    </row>
    <row r="591" spans="1:6" ht="14.5">
      <c r="A591" s="28">
        <v>44426</v>
      </c>
      <c r="B591" s="22">
        <v>33</v>
      </c>
      <c r="C591" s="22">
        <f t="shared" si="18"/>
        <v>0.8125</v>
      </c>
      <c r="D591" s="22"/>
      <c r="E591" s="83" t="s">
        <v>347</v>
      </c>
      <c r="F591" s="22"/>
    </row>
    <row r="592" spans="1:6" ht="14.5">
      <c r="A592" s="28">
        <v>44427</v>
      </c>
      <c r="B592" s="22">
        <v>33</v>
      </c>
      <c r="C592" s="22">
        <f t="shared" si="18"/>
        <v>0.8125</v>
      </c>
      <c r="D592" s="22"/>
      <c r="E592" s="83" t="s">
        <v>347</v>
      </c>
      <c r="F592" s="22"/>
    </row>
    <row r="593" spans="1:6" ht="14.5">
      <c r="A593" s="28">
        <v>44428</v>
      </c>
      <c r="B593" s="22">
        <v>33</v>
      </c>
      <c r="C593" s="22">
        <f>15/8</f>
        <v>1.875</v>
      </c>
      <c r="D593" s="22"/>
      <c r="E593" s="22" t="s">
        <v>345</v>
      </c>
      <c r="F593" s="22"/>
    </row>
    <row r="594" spans="1:6" ht="14.5">
      <c r="A594" s="28">
        <v>44429</v>
      </c>
      <c r="B594" s="22">
        <v>33</v>
      </c>
      <c r="C594" s="22">
        <f t="shared" ref="C594:C600" si="19">15/8</f>
        <v>1.875</v>
      </c>
      <c r="D594" s="22"/>
      <c r="E594" s="22" t="s">
        <v>345</v>
      </c>
      <c r="F594" s="22"/>
    </row>
    <row r="595" spans="1:6" ht="14.5">
      <c r="A595" s="28">
        <v>44430</v>
      </c>
      <c r="B595" s="22">
        <v>33</v>
      </c>
      <c r="C595" s="22">
        <f t="shared" si="19"/>
        <v>1.875</v>
      </c>
      <c r="D595" s="22"/>
      <c r="E595" s="22" t="s">
        <v>345</v>
      </c>
      <c r="F595" s="22"/>
    </row>
    <row r="596" spans="1:6" ht="14.5">
      <c r="A596" s="28">
        <v>44431</v>
      </c>
      <c r="B596" s="22">
        <v>34</v>
      </c>
      <c r="C596" s="22">
        <f t="shared" si="19"/>
        <v>1.875</v>
      </c>
      <c r="D596" s="22"/>
      <c r="E596" s="22" t="s">
        <v>345</v>
      </c>
      <c r="F596" s="22"/>
    </row>
    <row r="597" spans="1:6" ht="14.5">
      <c r="A597" s="28">
        <v>44432</v>
      </c>
      <c r="B597" s="22">
        <v>34</v>
      </c>
      <c r="C597" s="22">
        <f t="shared" si="19"/>
        <v>1.875</v>
      </c>
      <c r="D597" s="22"/>
      <c r="E597" s="22" t="s">
        <v>345</v>
      </c>
      <c r="F597" s="22"/>
    </row>
    <row r="598" spans="1:6" ht="14.5">
      <c r="A598" s="28">
        <v>44433</v>
      </c>
      <c r="B598" s="22">
        <v>34</v>
      </c>
      <c r="C598" s="22">
        <f t="shared" si="19"/>
        <v>1.875</v>
      </c>
      <c r="D598" s="22"/>
      <c r="E598" s="22" t="s">
        <v>345</v>
      </c>
      <c r="F598" s="22"/>
    </row>
    <row r="599" spans="1:6" ht="14.5">
      <c r="A599" s="28">
        <v>44434</v>
      </c>
      <c r="B599" s="22">
        <v>34</v>
      </c>
      <c r="C599" s="22">
        <f t="shared" si="19"/>
        <v>1.875</v>
      </c>
      <c r="D599" s="22"/>
      <c r="E599" s="22" t="s">
        <v>345</v>
      </c>
      <c r="F599" s="22"/>
    </row>
    <row r="600" spans="1:6" ht="14.5">
      <c r="A600" s="28">
        <v>44435</v>
      </c>
      <c r="B600" s="22">
        <v>34</v>
      </c>
      <c r="C600" s="22">
        <f t="shared" si="19"/>
        <v>1.875</v>
      </c>
      <c r="D600" s="22"/>
      <c r="E600" s="22" t="s">
        <v>345</v>
      </c>
      <c r="F600" s="22"/>
    </row>
    <row r="601" spans="1:6" ht="14.5">
      <c r="A601" s="28">
        <v>44436</v>
      </c>
      <c r="B601" s="22">
        <v>34</v>
      </c>
      <c r="C601" s="22">
        <f>10/7</f>
        <v>1.4285714285714286</v>
      </c>
      <c r="D601" s="22"/>
      <c r="E601" s="83" t="s">
        <v>347</v>
      </c>
      <c r="F601" s="22"/>
    </row>
    <row r="602" spans="1:6" ht="14.5">
      <c r="A602" s="28">
        <v>44437</v>
      </c>
      <c r="B602" s="22">
        <v>34</v>
      </c>
      <c r="C602" s="22">
        <f t="shared" ref="C602:C607" si="20">10/7</f>
        <v>1.4285714285714286</v>
      </c>
      <c r="D602" s="22"/>
      <c r="E602" s="83" t="s">
        <v>347</v>
      </c>
      <c r="F602" s="22"/>
    </row>
    <row r="603" spans="1:6" ht="14.5">
      <c r="A603" s="28">
        <v>44438</v>
      </c>
      <c r="B603" s="22">
        <v>35</v>
      </c>
      <c r="C603" s="22">
        <f t="shared" si="20"/>
        <v>1.4285714285714286</v>
      </c>
      <c r="D603" s="22"/>
      <c r="E603" s="83" t="s">
        <v>347</v>
      </c>
      <c r="F603" s="22"/>
    </row>
    <row r="604" spans="1:6" ht="14.5">
      <c r="A604" s="28">
        <v>44439</v>
      </c>
      <c r="B604" s="22">
        <v>35</v>
      </c>
      <c r="C604" s="22">
        <f t="shared" si="20"/>
        <v>1.4285714285714286</v>
      </c>
      <c r="D604" s="22"/>
      <c r="E604" s="83" t="s">
        <v>347</v>
      </c>
      <c r="F604" s="22"/>
    </row>
    <row r="605" spans="1:6" ht="14.5">
      <c r="A605" s="28">
        <v>44440</v>
      </c>
      <c r="B605" s="22">
        <v>35</v>
      </c>
      <c r="C605" s="22">
        <f t="shared" si="20"/>
        <v>1.4285714285714286</v>
      </c>
      <c r="D605" s="22"/>
      <c r="E605" s="83" t="s">
        <v>347</v>
      </c>
      <c r="F605" s="22"/>
    </row>
    <row r="606" spans="1:6" ht="14.5">
      <c r="A606" s="28">
        <v>44441</v>
      </c>
      <c r="B606" s="22">
        <v>35</v>
      </c>
      <c r="C606" s="22">
        <f t="shared" si="20"/>
        <v>1.4285714285714286</v>
      </c>
      <c r="D606" s="22"/>
      <c r="E606" s="83" t="s">
        <v>347</v>
      </c>
      <c r="F606" s="22"/>
    </row>
    <row r="607" spans="1:6" ht="14.5">
      <c r="A607" s="28">
        <v>44442</v>
      </c>
      <c r="B607" s="22">
        <v>35</v>
      </c>
      <c r="C607" s="22">
        <f t="shared" si="20"/>
        <v>1.4285714285714286</v>
      </c>
      <c r="D607" s="22"/>
      <c r="E607" s="83" t="s">
        <v>347</v>
      </c>
      <c r="F607" s="22"/>
    </row>
    <row r="608" spans="1:6" ht="14.5">
      <c r="A608" s="28">
        <v>44443</v>
      </c>
      <c r="B608" s="22">
        <v>35</v>
      </c>
      <c r="C608" s="22">
        <f>6/7</f>
        <v>0.8571428571428571</v>
      </c>
      <c r="D608" s="22"/>
      <c r="E608" s="83" t="s">
        <v>347</v>
      </c>
      <c r="F608" s="22"/>
    </row>
    <row r="609" spans="1:6" ht="14.5">
      <c r="A609" s="28">
        <v>44444</v>
      </c>
      <c r="B609" s="22">
        <v>35</v>
      </c>
      <c r="C609" s="22">
        <f t="shared" ref="C609:C614" si="21">6/7</f>
        <v>0.8571428571428571</v>
      </c>
      <c r="D609" s="22"/>
      <c r="E609" s="83" t="s">
        <v>347</v>
      </c>
      <c r="F609" s="22"/>
    </row>
    <row r="610" spans="1:6" ht="14.5">
      <c r="A610" s="28">
        <v>44445</v>
      </c>
      <c r="B610" s="22">
        <v>36</v>
      </c>
      <c r="C610" s="22">
        <f t="shared" si="21"/>
        <v>0.8571428571428571</v>
      </c>
      <c r="D610" s="22"/>
      <c r="E610" s="83" t="s">
        <v>347</v>
      </c>
      <c r="F610" s="22"/>
    </row>
    <row r="611" spans="1:6" ht="14.5">
      <c r="A611" s="28">
        <v>44446</v>
      </c>
      <c r="B611" s="22">
        <v>36</v>
      </c>
      <c r="C611" s="22">
        <f t="shared" si="21"/>
        <v>0.8571428571428571</v>
      </c>
      <c r="D611" s="22"/>
      <c r="E611" s="83" t="s">
        <v>347</v>
      </c>
      <c r="F611" s="22"/>
    </row>
    <row r="612" spans="1:6" ht="14.5">
      <c r="A612" s="28">
        <v>44447</v>
      </c>
      <c r="B612" s="22">
        <v>36</v>
      </c>
      <c r="C612" s="22">
        <f t="shared" si="21"/>
        <v>0.8571428571428571</v>
      </c>
      <c r="D612" s="22"/>
      <c r="E612" s="83" t="s">
        <v>347</v>
      </c>
      <c r="F612" s="22"/>
    </row>
    <row r="613" spans="1:6" ht="14.5">
      <c r="A613" s="28">
        <v>44448</v>
      </c>
      <c r="B613" s="22">
        <v>36</v>
      </c>
      <c r="C613" s="22">
        <f t="shared" si="21"/>
        <v>0.8571428571428571</v>
      </c>
      <c r="D613" s="22"/>
      <c r="E613" s="83" t="s">
        <v>347</v>
      </c>
      <c r="F613" s="22"/>
    </row>
    <row r="614" spans="1:6" ht="14.5">
      <c r="A614" s="28">
        <v>44449</v>
      </c>
      <c r="B614" s="22">
        <v>36</v>
      </c>
      <c r="C614" s="22">
        <f t="shared" si="21"/>
        <v>0.8571428571428571</v>
      </c>
      <c r="D614" s="22"/>
      <c r="E614" s="83" t="s">
        <v>347</v>
      </c>
      <c r="F614" s="22"/>
    </row>
    <row r="615" spans="1:6" ht="14.5">
      <c r="A615" s="28">
        <v>44450</v>
      </c>
      <c r="B615" s="22">
        <v>36</v>
      </c>
      <c r="C615" s="22">
        <f>15/7</f>
        <v>2.1428571428571428</v>
      </c>
      <c r="D615" s="22"/>
      <c r="E615" s="83" t="s">
        <v>347</v>
      </c>
      <c r="F615" s="22"/>
    </row>
    <row r="616" spans="1:6" ht="14.5">
      <c r="A616" s="28">
        <v>44451</v>
      </c>
      <c r="B616" s="22">
        <v>36</v>
      </c>
      <c r="C616" s="22">
        <f t="shared" ref="C616:C621" si="22">15/7</f>
        <v>2.1428571428571428</v>
      </c>
      <c r="D616" s="22"/>
      <c r="E616" s="83" t="s">
        <v>347</v>
      </c>
      <c r="F616" s="22"/>
    </row>
    <row r="617" spans="1:6" ht="14.5">
      <c r="A617" s="28">
        <v>44452</v>
      </c>
      <c r="B617" s="22">
        <v>37</v>
      </c>
      <c r="C617" s="22">
        <f t="shared" si="22"/>
        <v>2.1428571428571428</v>
      </c>
      <c r="D617" s="22"/>
      <c r="E617" s="83" t="s">
        <v>347</v>
      </c>
      <c r="F617" s="22"/>
    </row>
    <row r="618" spans="1:6" ht="14.5">
      <c r="A618" s="28">
        <v>44453</v>
      </c>
      <c r="B618" s="22">
        <v>37</v>
      </c>
      <c r="C618" s="22">
        <f t="shared" si="22"/>
        <v>2.1428571428571428</v>
      </c>
      <c r="D618" s="22"/>
      <c r="E618" s="83" t="s">
        <v>347</v>
      </c>
      <c r="F618" s="22"/>
    </row>
    <row r="619" spans="1:6" ht="14.5">
      <c r="A619" s="28">
        <v>44454</v>
      </c>
      <c r="B619" s="22">
        <v>37</v>
      </c>
      <c r="C619" s="22">
        <f t="shared" si="22"/>
        <v>2.1428571428571428</v>
      </c>
      <c r="D619" s="22"/>
      <c r="E619" s="83" t="s">
        <v>347</v>
      </c>
      <c r="F619" s="22"/>
    </row>
    <row r="620" spans="1:6" ht="14.5">
      <c r="A620" s="28">
        <v>44455</v>
      </c>
      <c r="B620" s="22">
        <v>37</v>
      </c>
      <c r="C620" s="22">
        <f t="shared" si="22"/>
        <v>2.1428571428571428</v>
      </c>
      <c r="D620" s="22"/>
      <c r="E620" s="83" t="s">
        <v>347</v>
      </c>
      <c r="F620" s="22"/>
    </row>
    <row r="621" spans="1:6" ht="14.5">
      <c r="A621" s="28">
        <v>44456</v>
      </c>
      <c r="B621" s="22">
        <v>37</v>
      </c>
      <c r="C621" s="22">
        <f t="shared" si="22"/>
        <v>2.1428571428571428</v>
      </c>
      <c r="D621" s="22"/>
      <c r="E621" s="83" t="s">
        <v>347</v>
      </c>
      <c r="F621" s="22"/>
    </row>
    <row r="622" spans="1:6" ht="14.5">
      <c r="A622" s="28">
        <v>44457</v>
      </c>
      <c r="B622" s="22">
        <v>37</v>
      </c>
      <c r="C622" s="22">
        <f>1/7</f>
        <v>0.14285714285714285</v>
      </c>
      <c r="D622" s="22"/>
      <c r="E622" s="22" t="s">
        <v>345</v>
      </c>
      <c r="F622" s="22"/>
    </row>
    <row r="623" spans="1:6" ht="14.5">
      <c r="A623" s="28">
        <v>44458</v>
      </c>
      <c r="B623" s="22">
        <v>37</v>
      </c>
      <c r="C623" s="22">
        <f t="shared" ref="C623:C628" si="23">1/7</f>
        <v>0.14285714285714285</v>
      </c>
      <c r="D623" s="22"/>
      <c r="E623" s="22" t="s">
        <v>345</v>
      </c>
      <c r="F623" s="22"/>
    </row>
    <row r="624" spans="1:6" ht="14.5">
      <c r="A624" s="28">
        <v>44459</v>
      </c>
      <c r="B624" s="22">
        <v>38</v>
      </c>
      <c r="C624" s="22">
        <f t="shared" si="23"/>
        <v>0.14285714285714285</v>
      </c>
      <c r="D624" s="22"/>
      <c r="E624" s="22" t="s">
        <v>345</v>
      </c>
      <c r="F624" s="22"/>
    </row>
    <row r="625" spans="1:6" ht="14.5">
      <c r="A625" s="28">
        <v>44460</v>
      </c>
      <c r="B625" s="22">
        <v>38</v>
      </c>
      <c r="C625" s="22">
        <f t="shared" si="23"/>
        <v>0.14285714285714285</v>
      </c>
      <c r="D625" s="22"/>
      <c r="E625" s="22" t="s">
        <v>345</v>
      </c>
      <c r="F625" s="22"/>
    </row>
    <row r="626" spans="1:6" ht="14.5">
      <c r="A626" s="28">
        <v>44461</v>
      </c>
      <c r="B626" s="22">
        <v>38</v>
      </c>
      <c r="C626" s="22">
        <f t="shared" si="23"/>
        <v>0.14285714285714285</v>
      </c>
      <c r="D626" s="22"/>
      <c r="E626" s="22" t="s">
        <v>345</v>
      </c>
      <c r="F626" s="22"/>
    </row>
    <row r="627" spans="1:6" ht="14.5">
      <c r="A627" s="28">
        <v>44462</v>
      </c>
      <c r="B627" s="22">
        <v>38</v>
      </c>
      <c r="C627" s="22">
        <f t="shared" si="23"/>
        <v>0.14285714285714285</v>
      </c>
      <c r="D627" s="22"/>
      <c r="E627" s="22" t="s">
        <v>345</v>
      </c>
      <c r="F627" s="22"/>
    </row>
    <row r="628" spans="1:6" ht="14.5">
      <c r="A628" s="28">
        <v>44463</v>
      </c>
      <c r="B628" s="22">
        <v>38</v>
      </c>
      <c r="C628" s="22">
        <f t="shared" si="23"/>
        <v>0.14285714285714285</v>
      </c>
      <c r="D628" s="22"/>
      <c r="E628" s="22" t="s">
        <v>345</v>
      </c>
      <c r="F628" s="22"/>
    </row>
    <row r="629" spans="1:6" ht="14.5">
      <c r="A629" s="28">
        <v>44464</v>
      </c>
      <c r="B629" s="22">
        <v>38</v>
      </c>
      <c r="C629" s="22">
        <f>2/7</f>
        <v>0.2857142857142857</v>
      </c>
      <c r="D629" s="22"/>
      <c r="E629" s="22" t="s">
        <v>345</v>
      </c>
      <c r="F629" s="22"/>
    </row>
    <row r="630" spans="1:6" ht="14.5">
      <c r="A630" s="28">
        <v>44465</v>
      </c>
      <c r="B630" s="22">
        <v>38</v>
      </c>
      <c r="C630" s="22">
        <f t="shared" ref="C630:C635" si="24">2/7</f>
        <v>0.2857142857142857</v>
      </c>
      <c r="D630" s="22"/>
      <c r="E630" s="22" t="s">
        <v>345</v>
      </c>
      <c r="F630" s="22"/>
    </row>
    <row r="631" spans="1:6" ht="14.5">
      <c r="A631" s="28">
        <v>44466</v>
      </c>
      <c r="B631" s="22">
        <v>39</v>
      </c>
      <c r="C631" s="22">
        <f t="shared" si="24"/>
        <v>0.2857142857142857</v>
      </c>
      <c r="D631" s="22"/>
      <c r="E631" s="22" t="s">
        <v>345</v>
      </c>
      <c r="F631" s="22"/>
    </row>
    <row r="632" spans="1:6" ht="14.5">
      <c r="A632" s="28">
        <v>44467</v>
      </c>
      <c r="B632" s="22">
        <v>39</v>
      </c>
      <c r="C632" s="22">
        <f t="shared" si="24"/>
        <v>0.2857142857142857</v>
      </c>
      <c r="D632" s="22"/>
      <c r="E632" s="22" t="s">
        <v>345</v>
      </c>
      <c r="F632" s="22"/>
    </row>
    <row r="633" spans="1:6" ht="14.5">
      <c r="A633" s="28">
        <v>44468</v>
      </c>
      <c r="B633" s="22">
        <v>39</v>
      </c>
      <c r="C633" s="22">
        <f t="shared" si="24"/>
        <v>0.2857142857142857</v>
      </c>
      <c r="D633" s="22"/>
      <c r="E633" s="22" t="s">
        <v>345</v>
      </c>
      <c r="F633" s="22"/>
    </row>
    <row r="634" spans="1:6" ht="14.5">
      <c r="A634" s="28">
        <v>44469</v>
      </c>
      <c r="B634" s="22">
        <v>39</v>
      </c>
      <c r="C634" s="22">
        <f t="shared" si="24"/>
        <v>0.2857142857142857</v>
      </c>
      <c r="D634" s="22"/>
      <c r="E634" s="22" t="s">
        <v>345</v>
      </c>
      <c r="F634" s="22"/>
    </row>
    <row r="635" spans="1:6" ht="14.5">
      <c r="A635" s="28">
        <v>44470</v>
      </c>
      <c r="B635" s="22">
        <v>39</v>
      </c>
      <c r="C635" s="22">
        <f t="shared" si="24"/>
        <v>0.2857142857142857</v>
      </c>
      <c r="D635" s="22"/>
      <c r="E635" s="22" t="s">
        <v>345</v>
      </c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>
        <f>1/7</f>
        <v>0.14285714285714285</v>
      </c>
      <c r="D643" s="22"/>
      <c r="E643" s="22" t="s">
        <v>345</v>
      </c>
      <c r="F643" s="22"/>
    </row>
    <row r="644" spans="1:6" ht="14.5">
      <c r="A644" s="28">
        <v>44479</v>
      </c>
      <c r="B644" s="22">
        <v>40</v>
      </c>
      <c r="C644" s="22">
        <f t="shared" ref="C644:C649" si="25">1/7</f>
        <v>0.14285714285714285</v>
      </c>
      <c r="D644" s="22"/>
      <c r="E644" s="22" t="s">
        <v>345</v>
      </c>
      <c r="F644" s="22"/>
    </row>
    <row r="645" spans="1:6" ht="14.5">
      <c r="A645" s="28">
        <v>44480</v>
      </c>
      <c r="B645" s="22">
        <v>41</v>
      </c>
      <c r="C645" s="22">
        <f t="shared" si="25"/>
        <v>0.14285714285714285</v>
      </c>
      <c r="D645" s="22"/>
      <c r="E645" s="22" t="s">
        <v>345</v>
      </c>
      <c r="F645" s="22"/>
    </row>
    <row r="646" spans="1:6" ht="14.5">
      <c r="A646" s="28">
        <v>44481</v>
      </c>
      <c r="B646" s="22">
        <v>41</v>
      </c>
      <c r="C646" s="22">
        <f t="shared" si="25"/>
        <v>0.14285714285714285</v>
      </c>
      <c r="D646" s="22"/>
      <c r="E646" s="22" t="s">
        <v>345</v>
      </c>
      <c r="F646" s="22"/>
    </row>
    <row r="647" spans="1:6" ht="14.5">
      <c r="A647" s="28">
        <v>44482</v>
      </c>
      <c r="B647" s="22">
        <v>41</v>
      </c>
      <c r="C647" s="22">
        <f t="shared" si="25"/>
        <v>0.14285714285714285</v>
      </c>
      <c r="D647" s="22"/>
      <c r="E647" s="22" t="s">
        <v>345</v>
      </c>
      <c r="F647" s="22"/>
    </row>
    <row r="648" spans="1:6" ht="14.5">
      <c r="A648" s="28">
        <v>44483</v>
      </c>
      <c r="B648" s="22">
        <v>41</v>
      </c>
      <c r="C648" s="22">
        <f t="shared" si="25"/>
        <v>0.14285714285714285</v>
      </c>
      <c r="D648" s="22"/>
      <c r="E648" s="22" t="s">
        <v>345</v>
      </c>
      <c r="F648" s="22"/>
    </row>
    <row r="649" spans="1:6" ht="14.5">
      <c r="A649" s="28">
        <v>44484</v>
      </c>
      <c r="B649" s="22">
        <v>41</v>
      </c>
      <c r="C649" s="22">
        <f t="shared" si="25"/>
        <v>0.14285714285714285</v>
      </c>
      <c r="D649" s="22"/>
      <c r="E649" s="22" t="s">
        <v>345</v>
      </c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>13/7</f>
        <v>1.8571428571428572</v>
      </c>
      <c r="D731" s="22"/>
      <c r="E731" s="83" t="s">
        <v>347</v>
      </c>
      <c r="F731" s="22"/>
    </row>
    <row r="732" spans="1:6" ht="14.5">
      <c r="A732" s="28">
        <v>44567</v>
      </c>
      <c r="B732" s="22">
        <v>1</v>
      </c>
      <c r="C732" s="22">
        <f t="shared" ref="C732:C737" si="26">13/7</f>
        <v>1.8571428571428572</v>
      </c>
      <c r="D732" s="22"/>
      <c r="E732" s="83" t="s">
        <v>347</v>
      </c>
      <c r="F732" s="22"/>
    </row>
    <row r="733" spans="1:6" ht="14.5">
      <c r="A733" s="28">
        <v>44568</v>
      </c>
      <c r="B733" s="22">
        <v>1</v>
      </c>
      <c r="C733" s="22">
        <f t="shared" si="26"/>
        <v>1.8571428571428572</v>
      </c>
      <c r="D733" s="22"/>
      <c r="E733" s="83" t="s">
        <v>347</v>
      </c>
      <c r="F733" s="22"/>
    </row>
    <row r="734" spans="1:6" ht="14.5">
      <c r="A734" s="28">
        <v>44569</v>
      </c>
      <c r="B734" s="22">
        <v>1</v>
      </c>
      <c r="C734" s="22">
        <f t="shared" si="26"/>
        <v>1.8571428571428572</v>
      </c>
      <c r="D734" s="22"/>
      <c r="E734" s="83" t="s">
        <v>347</v>
      </c>
      <c r="F734" s="22"/>
    </row>
    <row r="735" spans="1:6" ht="14.5">
      <c r="A735" s="28">
        <v>44570</v>
      </c>
      <c r="B735" s="22">
        <v>1</v>
      </c>
      <c r="C735" s="22">
        <f t="shared" si="26"/>
        <v>1.8571428571428572</v>
      </c>
      <c r="D735" s="22"/>
      <c r="E735" s="83" t="s">
        <v>347</v>
      </c>
      <c r="F735" s="22"/>
    </row>
    <row r="736" spans="1:6" ht="14.5">
      <c r="A736" s="28">
        <v>44571</v>
      </c>
      <c r="B736" s="22">
        <v>2</v>
      </c>
      <c r="C736" s="22">
        <f t="shared" si="26"/>
        <v>1.8571428571428572</v>
      </c>
      <c r="D736" s="22"/>
      <c r="E736" s="83" t="s">
        <v>347</v>
      </c>
      <c r="F736" s="22"/>
    </row>
    <row r="737" spans="1:6" ht="14.5">
      <c r="A737" s="28">
        <v>44572</v>
      </c>
      <c r="B737" s="22">
        <v>2</v>
      </c>
      <c r="C737" s="22">
        <f t="shared" si="26"/>
        <v>1.8571428571428572</v>
      </c>
      <c r="D737" s="22"/>
      <c r="E737" s="83" t="s">
        <v>347</v>
      </c>
      <c r="F737" s="22"/>
    </row>
    <row r="738" spans="1:6" ht="14.5">
      <c r="A738" s="28">
        <v>44573</v>
      </c>
      <c r="B738" s="22">
        <v>2</v>
      </c>
      <c r="C738" s="22">
        <f>91/7</f>
        <v>13</v>
      </c>
      <c r="D738" s="22"/>
      <c r="E738" s="22" t="s">
        <v>344</v>
      </c>
      <c r="F738" s="22"/>
    </row>
    <row r="739" spans="1:6" ht="14.5">
      <c r="A739" s="28">
        <v>44574</v>
      </c>
      <c r="B739" s="22">
        <v>2</v>
      </c>
      <c r="C739" s="22">
        <f t="shared" ref="C739:C744" si="27">91/7</f>
        <v>13</v>
      </c>
      <c r="D739" s="22"/>
      <c r="E739" s="22" t="s">
        <v>344</v>
      </c>
      <c r="F739" s="22"/>
    </row>
    <row r="740" spans="1:6" ht="14.5">
      <c r="A740" s="28">
        <v>44575</v>
      </c>
      <c r="B740" s="22">
        <v>2</v>
      </c>
      <c r="C740" s="22">
        <f t="shared" si="27"/>
        <v>13</v>
      </c>
      <c r="D740" s="22"/>
      <c r="E740" s="22" t="s">
        <v>344</v>
      </c>
      <c r="F740" s="22"/>
    </row>
    <row r="741" spans="1:6" ht="14.5">
      <c r="A741" s="28">
        <v>44576</v>
      </c>
      <c r="B741" s="22">
        <v>2</v>
      </c>
      <c r="C741" s="22">
        <f t="shared" si="27"/>
        <v>13</v>
      </c>
      <c r="D741" s="22"/>
      <c r="E741" s="22" t="s">
        <v>344</v>
      </c>
      <c r="F741" s="22"/>
    </row>
    <row r="742" spans="1:6" ht="14.5">
      <c r="A742" s="28">
        <v>44577</v>
      </c>
      <c r="B742" s="22">
        <v>2</v>
      </c>
      <c r="C742" s="22">
        <f t="shared" si="27"/>
        <v>13</v>
      </c>
      <c r="D742" s="22"/>
      <c r="E742" s="22" t="s">
        <v>344</v>
      </c>
      <c r="F742" s="22"/>
    </row>
    <row r="743" spans="1:6" ht="14.5">
      <c r="A743" s="28">
        <v>44578</v>
      </c>
      <c r="B743" s="22">
        <v>3</v>
      </c>
      <c r="C743" s="22">
        <f t="shared" si="27"/>
        <v>13</v>
      </c>
      <c r="D743" s="22"/>
      <c r="E743" s="22" t="s">
        <v>344</v>
      </c>
      <c r="F743" s="22"/>
    </row>
    <row r="744" spans="1:6" ht="14.5">
      <c r="A744" s="28">
        <v>44579</v>
      </c>
      <c r="B744" s="22">
        <v>3</v>
      </c>
      <c r="C744" s="22">
        <f t="shared" si="27"/>
        <v>13</v>
      </c>
      <c r="D744" s="22"/>
      <c r="E744" s="22" t="s">
        <v>344</v>
      </c>
      <c r="F744" s="22"/>
    </row>
    <row r="745" spans="1:6" ht="14.5">
      <c r="A745" s="28">
        <v>44580</v>
      </c>
      <c r="B745" s="22">
        <v>3</v>
      </c>
      <c r="C745" s="22">
        <f>(50/7)</f>
        <v>7.1428571428571432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 t="shared" ref="C746:C751" si="28">(50/7)</f>
        <v>7.1428571428571432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 t="shared" si="28"/>
        <v>7.1428571428571432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 t="shared" si="28"/>
        <v>7.1428571428571432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 t="shared" si="28"/>
        <v>7.1428571428571432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 t="shared" si="28"/>
        <v>7.1428571428571432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 t="shared" si="28"/>
        <v>7.1428571428571432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(29/7)</f>
        <v>4.1428571428571432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 t="shared" ref="C753:C758" si="29">(29/7)</f>
        <v>4.1428571428571432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 t="shared" si="29"/>
        <v>4.1428571428571432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 t="shared" si="29"/>
        <v>4.1428571428571432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 t="shared" si="29"/>
        <v>4.1428571428571432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 t="shared" si="29"/>
        <v>4.1428571428571432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22">
        <f t="shared" si="29"/>
        <v>4.1428571428571432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47/7</f>
        <v>6.7142857142857144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 t="shared" ref="C760:C765" si="30">47/7</f>
        <v>6.7142857142857144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 t="shared" si="30"/>
        <v>6.7142857142857144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 t="shared" si="30"/>
        <v>6.7142857142857144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 t="shared" si="30"/>
        <v>6.7142857142857144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 t="shared" si="30"/>
        <v>6.7142857142857144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 t="shared" si="30"/>
        <v>6.7142857142857144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11/7</f>
        <v>1.5714285714285714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 t="shared" ref="C767:C772" si="31">11/7</f>
        <v>1.5714285714285714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 t="shared" si="31"/>
        <v>1.5714285714285714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 t="shared" si="31"/>
        <v>1.5714285714285714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f t="shared" si="31"/>
        <v>1.5714285714285714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 t="shared" si="31"/>
        <v>1.5714285714285714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f t="shared" si="31"/>
        <v>1.5714285714285714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>11/7</f>
        <v>1.5714285714285714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 t="shared" ref="C774:C779" si="32">11/7</f>
        <v>1.5714285714285714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 t="shared" si="32"/>
        <v>1.5714285714285714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 t="shared" si="32"/>
        <v>1.5714285714285714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>
        <f t="shared" si="32"/>
        <v>1.5714285714285714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 t="shared" si="32"/>
        <v>1.5714285714285714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 t="shared" si="32"/>
        <v>1.5714285714285714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>27/7</f>
        <v>3.8571428571428572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 t="shared" ref="C781:C786" si="33">27/7</f>
        <v>3.8571428571428572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 t="shared" si="33"/>
        <v>3.8571428571428572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>
        <f t="shared" si="33"/>
        <v>3.8571428571428572</v>
      </c>
      <c r="D783" s="52"/>
      <c r="E783" s="52"/>
      <c r="F783" s="52"/>
    </row>
    <row r="784" spans="1:6" ht="14.5">
      <c r="A784" s="73">
        <v>44619</v>
      </c>
      <c r="B784" s="74">
        <v>8</v>
      </c>
      <c r="C784" s="74">
        <f t="shared" si="33"/>
        <v>3.8571428571428572</v>
      </c>
      <c r="D784" s="74"/>
      <c r="E784" s="74"/>
      <c r="F784" s="74"/>
    </row>
    <row r="785" spans="1:6" ht="14.5">
      <c r="A785" s="64">
        <v>44620</v>
      </c>
      <c r="B785" s="52">
        <v>9</v>
      </c>
      <c r="C785" s="52">
        <f t="shared" si="33"/>
        <v>3.8571428571428572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 t="shared" si="33"/>
        <v>3.8571428571428572</v>
      </c>
      <c r="D786" s="52"/>
      <c r="E786" s="52"/>
      <c r="F786" s="52"/>
    </row>
    <row r="787" spans="1:6" ht="14.5">
      <c r="C787" s="45"/>
      <c r="D787" s="45"/>
      <c r="F787" s="45"/>
    </row>
    <row r="788" spans="1:6" ht="14.5">
      <c r="C788" s="45"/>
      <c r="D788" s="45"/>
      <c r="F788" s="45"/>
    </row>
    <row r="789" spans="1:6" ht="14.5">
      <c r="C789" s="45"/>
      <c r="D789" s="45"/>
      <c r="F789" s="45"/>
    </row>
    <row r="790" spans="1:6" ht="14.5">
      <c r="C790" s="45"/>
      <c r="D790" s="45"/>
      <c r="F790" s="45"/>
    </row>
    <row r="791" spans="1:6" ht="14.5">
      <c r="C791" s="45"/>
      <c r="D791" s="45"/>
      <c r="F791" s="45"/>
    </row>
    <row r="792" spans="1:6" ht="14.5">
      <c r="C792" s="45"/>
      <c r="D792" s="45"/>
      <c r="F792" s="45"/>
    </row>
    <row r="793" spans="1:6" ht="14.5">
      <c r="C793" s="45"/>
      <c r="D793" s="45"/>
      <c r="F793" s="45"/>
    </row>
    <row r="794" spans="1:6" ht="14.5">
      <c r="C794" s="45"/>
      <c r="D794" s="45"/>
      <c r="F794" s="45"/>
    </row>
    <row r="795" spans="1:6" ht="14.5">
      <c r="C795" s="45"/>
      <c r="D795" s="45"/>
      <c r="F795" s="45"/>
    </row>
    <row r="796" spans="1:6" ht="14.5">
      <c r="C796" s="45"/>
      <c r="D796" s="45"/>
      <c r="F796" s="45"/>
    </row>
    <row r="797" spans="1:6" ht="14.5">
      <c r="C797" s="45"/>
      <c r="D797" s="45"/>
      <c r="F797" s="45"/>
    </row>
    <row r="798" spans="1:6" ht="14.5">
      <c r="C798" s="45"/>
      <c r="D798" s="45"/>
      <c r="F798" s="45"/>
    </row>
    <row r="799" spans="1:6" ht="14.5">
      <c r="C799" s="45"/>
      <c r="D799" s="45"/>
      <c r="F799" s="45"/>
    </row>
    <row r="800" spans="1:6" ht="14.5">
      <c r="C800" s="45"/>
      <c r="D800" s="45"/>
      <c r="F800" s="45"/>
    </row>
    <row r="801" spans="3:6" ht="14.5">
      <c r="C801" s="45"/>
      <c r="D801" s="45"/>
      <c r="F801" s="45"/>
    </row>
    <row r="802" spans="3:6" ht="14.5">
      <c r="C802" s="45"/>
      <c r="D802" s="45"/>
      <c r="F802" s="45"/>
    </row>
    <row r="803" spans="3:6" ht="14.5">
      <c r="C803" s="45"/>
      <c r="D803" s="45"/>
      <c r="F803" s="45"/>
    </row>
    <row r="804" spans="3:6" ht="14.5">
      <c r="C804" s="45"/>
      <c r="D804" s="45"/>
      <c r="F804" s="45"/>
    </row>
    <row r="805" spans="3:6" ht="14.5">
      <c r="C805" s="45"/>
      <c r="D805" s="45"/>
      <c r="F805" s="45"/>
    </row>
    <row r="806" spans="3:6" ht="14.5">
      <c r="C806" s="45"/>
      <c r="D806" s="45"/>
      <c r="F806" s="45"/>
    </row>
    <row r="807" spans="3:6" ht="14.5">
      <c r="C807" s="45"/>
      <c r="D807" s="45"/>
      <c r="F807" s="45"/>
    </row>
    <row r="808" spans="3:6" ht="14.5">
      <c r="C808" s="45"/>
      <c r="D808" s="45"/>
      <c r="F808" s="45"/>
    </row>
    <row r="809" spans="3:6" ht="14.5">
      <c r="C809" s="45"/>
      <c r="D809" s="45"/>
      <c r="F809" s="45"/>
    </row>
    <row r="810" spans="3:6" ht="14.5">
      <c r="C810" s="45"/>
      <c r="D810" s="45"/>
      <c r="F810" s="45"/>
    </row>
    <row r="811" spans="3:6" ht="14.5">
      <c r="C811" s="45"/>
      <c r="D811" s="45"/>
      <c r="F811" s="45"/>
    </row>
    <row r="812" spans="3:6" ht="14.5">
      <c r="C812" s="45"/>
      <c r="D812" s="45"/>
      <c r="F812" s="45"/>
    </row>
    <row r="813" spans="3:6" ht="14.5">
      <c r="C813" s="45"/>
      <c r="D813" s="45"/>
      <c r="F813" s="45"/>
    </row>
    <row r="814" spans="3:6" ht="14.5">
      <c r="C814" s="45"/>
      <c r="D814" s="45"/>
      <c r="F814" s="45"/>
    </row>
    <row r="815" spans="3:6" ht="14.5">
      <c r="C815" s="45"/>
      <c r="D815" s="45"/>
      <c r="F815" s="45"/>
    </row>
    <row r="816" spans="3:6" ht="14.5">
      <c r="C816" s="45"/>
      <c r="D816" s="45"/>
      <c r="F816" s="45"/>
    </row>
    <row r="817" spans="3:6" ht="14.5">
      <c r="C817" s="45"/>
      <c r="D817" s="45"/>
      <c r="F817" s="45"/>
    </row>
    <row r="818" spans="3:6" ht="14.5">
      <c r="C818" s="45"/>
      <c r="D818" s="45"/>
      <c r="F818" s="45"/>
    </row>
    <row r="819" spans="3:6" ht="14.5">
      <c r="C819" s="45"/>
      <c r="D819" s="45"/>
      <c r="F819" s="45"/>
    </row>
    <row r="820" spans="3:6" ht="14.5">
      <c r="C820" s="45"/>
      <c r="D820" s="45"/>
      <c r="F820" s="45"/>
    </row>
    <row r="821" spans="3:6" ht="14.5">
      <c r="C821" s="45"/>
      <c r="D821" s="45"/>
      <c r="F821" s="45"/>
    </row>
    <row r="822" spans="3:6" ht="14.5">
      <c r="C822" s="45"/>
      <c r="D822" s="45"/>
      <c r="F822" s="45"/>
    </row>
    <row r="823" spans="3:6" ht="14.5">
      <c r="C823" s="45"/>
      <c r="D823" s="45"/>
      <c r="F823" s="45"/>
    </row>
    <row r="824" spans="3:6" ht="14.5">
      <c r="C824" s="45"/>
      <c r="D824" s="45"/>
      <c r="F824" s="45"/>
    </row>
    <row r="825" spans="3:6" ht="14.5">
      <c r="C825" s="45"/>
      <c r="D825" s="45"/>
      <c r="F825" s="45"/>
    </row>
    <row r="826" spans="3:6" ht="14.5">
      <c r="C826" s="45"/>
      <c r="D826" s="45"/>
      <c r="F826" s="45"/>
    </row>
    <row r="827" spans="3:6" ht="14.5">
      <c r="C827" s="45"/>
      <c r="D827" s="45"/>
      <c r="F827" s="45"/>
    </row>
    <row r="828" spans="3:6" ht="14.5">
      <c r="C828" s="45"/>
      <c r="D828" s="45"/>
      <c r="F828" s="45"/>
    </row>
    <row r="829" spans="3:6" ht="14.5">
      <c r="C829" s="45"/>
      <c r="D829" s="45"/>
      <c r="F829" s="45"/>
    </row>
    <row r="830" spans="3:6" ht="14.5">
      <c r="C830" s="45"/>
      <c r="D830" s="45"/>
      <c r="F830" s="45"/>
    </row>
    <row r="831" spans="3:6" ht="14.5">
      <c r="C831" s="45"/>
      <c r="D831" s="45"/>
      <c r="F831" s="45"/>
    </row>
    <row r="832" spans="3:6" ht="14.5">
      <c r="C832" s="45"/>
      <c r="D832" s="45"/>
      <c r="F832" s="45"/>
    </row>
    <row r="833" spans="3:6" ht="14.5">
      <c r="C833" s="45"/>
      <c r="D833" s="45"/>
      <c r="F833" s="45"/>
    </row>
    <row r="834" spans="3:6" ht="14.5">
      <c r="C834" s="45"/>
      <c r="D834" s="45"/>
      <c r="F834" s="45"/>
    </row>
    <row r="835" spans="3:6" ht="14.5">
      <c r="C835" s="45"/>
      <c r="D835" s="45"/>
      <c r="F835" s="45"/>
    </row>
    <row r="836" spans="3:6" ht="14.5">
      <c r="C836" s="45"/>
      <c r="D836" s="45"/>
      <c r="F836" s="45"/>
    </row>
    <row r="837" spans="3:6" ht="14.5">
      <c r="C837" s="45"/>
      <c r="D837" s="45"/>
      <c r="F837" s="45"/>
    </row>
    <row r="838" spans="3:6" ht="14.5">
      <c r="C838" s="45"/>
      <c r="D838" s="45"/>
      <c r="F838" s="45"/>
    </row>
    <row r="839" spans="3:6" ht="14.5">
      <c r="C839" s="45"/>
      <c r="D839" s="45"/>
      <c r="F839" s="45"/>
    </row>
    <row r="840" spans="3:6" ht="14.5">
      <c r="C840" s="45"/>
      <c r="D840" s="45"/>
      <c r="F840" s="45"/>
    </row>
    <row r="841" spans="3:6" ht="14.5">
      <c r="C841" s="45"/>
      <c r="D841" s="45"/>
      <c r="F841" s="45"/>
    </row>
    <row r="842" spans="3:6" ht="14.5">
      <c r="C842" s="45"/>
      <c r="D842" s="45"/>
      <c r="F842" s="45"/>
    </row>
    <row r="843" spans="3:6" ht="14.5">
      <c r="C843" s="45"/>
      <c r="D843" s="45"/>
      <c r="F843" s="45"/>
    </row>
    <row r="844" spans="3:6" ht="14.5">
      <c r="C844" s="45"/>
      <c r="D844" s="45"/>
      <c r="F844" s="45"/>
    </row>
    <row r="845" spans="3:6" ht="14.5">
      <c r="C845" s="45"/>
      <c r="D845" s="45"/>
      <c r="F845" s="45"/>
    </row>
    <row r="846" spans="3:6" ht="14.5">
      <c r="C846" s="45"/>
      <c r="D846" s="45"/>
      <c r="F846" s="45"/>
    </row>
    <row r="847" spans="3:6" ht="14.5">
      <c r="C847" s="45"/>
      <c r="D847" s="45"/>
      <c r="F847" s="45"/>
    </row>
    <row r="848" spans="3:6" ht="14.5">
      <c r="C848" s="45"/>
      <c r="D848" s="45"/>
      <c r="F848" s="45"/>
    </row>
    <row r="849" spans="3:6" ht="14.5">
      <c r="C849" s="45"/>
      <c r="D849" s="45"/>
      <c r="F849" s="45"/>
    </row>
    <row r="850" spans="3:6" ht="14.5">
      <c r="C850" s="45"/>
      <c r="D850" s="45"/>
      <c r="F850" s="45"/>
    </row>
    <row r="851" spans="3:6" ht="14.5">
      <c r="C851" s="45"/>
      <c r="D851" s="45"/>
      <c r="F851" s="45"/>
    </row>
    <row r="852" spans="3:6" ht="14.5">
      <c r="C852" s="45"/>
      <c r="D852" s="45"/>
      <c r="F852" s="45"/>
    </row>
    <row r="853" spans="3:6" ht="14.5">
      <c r="C853" s="45"/>
      <c r="D853" s="45"/>
      <c r="F853" s="45"/>
    </row>
    <row r="854" spans="3:6" ht="14.5">
      <c r="C854" s="45"/>
      <c r="D854" s="45"/>
      <c r="F854" s="45"/>
    </row>
    <row r="855" spans="3:6" ht="14.5">
      <c r="C855" s="45"/>
      <c r="D855" s="45"/>
      <c r="F855" s="45"/>
    </row>
    <row r="856" spans="3:6" ht="14.5">
      <c r="C856" s="45"/>
      <c r="D856" s="45"/>
      <c r="F856" s="45"/>
    </row>
    <row r="857" spans="3:6" ht="14.5">
      <c r="C857" s="45"/>
      <c r="D857" s="45"/>
      <c r="F857" s="45"/>
    </row>
    <row r="858" spans="3:6" ht="14.5">
      <c r="C858" s="45"/>
      <c r="D858" s="45"/>
      <c r="F858" s="45"/>
    </row>
    <row r="859" spans="3:6" ht="14.5">
      <c r="C859" s="45"/>
      <c r="D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1D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25.58203125" style="55" bestFit="1" customWidth="1"/>
    <col min="6" max="6" width="17.83203125" style="55" customWidth="1"/>
    <col min="7" max="7" width="66.33203125" style="55" customWidth="1"/>
    <col min="8" max="16384" width="12.58203125" style="55"/>
  </cols>
  <sheetData>
    <row r="1" spans="1:7" ht="15" customHeight="1">
      <c r="A1" s="120" t="s">
        <v>59</v>
      </c>
      <c r="B1" s="112"/>
      <c r="C1" s="112"/>
      <c r="D1" s="112"/>
      <c r="E1" s="112"/>
      <c r="F1" s="113"/>
      <c r="G1" s="69" t="s">
        <v>86</v>
      </c>
    </row>
    <row r="2" spans="1:7" ht="76.25" customHeight="1">
      <c r="A2" s="123" t="s">
        <v>353</v>
      </c>
      <c r="B2" s="143"/>
      <c r="C2" s="143"/>
      <c r="D2" s="143"/>
      <c r="E2" s="143"/>
      <c r="F2" s="144"/>
      <c r="G2" s="68" t="s">
        <v>303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>
        <v>1</v>
      </c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>
        <v>1</v>
      </c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>
        <v>1</v>
      </c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>
        <v>9</v>
      </c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>
        <v>4</v>
      </c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>
        <v>2</v>
      </c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>
        <v>2</v>
      </c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>
        <v>2</v>
      </c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>
        <v>2</v>
      </c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>
        <v>1</v>
      </c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>
        <v>1</v>
      </c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>
        <v>1</v>
      </c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2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>
        <v>3</v>
      </c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>
        <v>1</v>
      </c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>
        <v>1</v>
      </c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>
        <v>1</v>
      </c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>
        <v>1</v>
      </c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>
        <f t="shared" ref="C354:C365" si="0">6/12</f>
        <v>0.5</v>
      </c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>
        <f t="shared" si="0"/>
        <v>0.5</v>
      </c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>
        <f t="shared" si="0"/>
        <v>0.5</v>
      </c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>
        <f t="shared" si="0"/>
        <v>0.5</v>
      </c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>
        <f t="shared" si="0"/>
        <v>0.5</v>
      </c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>
        <f t="shared" si="0"/>
        <v>0.5</v>
      </c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>
        <f t="shared" si="0"/>
        <v>0.5</v>
      </c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>
        <f t="shared" si="0"/>
        <v>0.5</v>
      </c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>
        <f t="shared" si="0"/>
        <v>0.5</v>
      </c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>
        <f t="shared" si="0"/>
        <v>0.5</v>
      </c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>
        <f t="shared" si="0"/>
        <v>0.5</v>
      </c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>
        <f t="shared" si="0"/>
        <v>0.5</v>
      </c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>
        <v>2</v>
      </c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3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>
        <f t="shared" ref="C370:C373" si="1">2/4</f>
        <v>0.5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>
        <f t="shared" si="1"/>
        <v>0.5</v>
      </c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>
        <f t="shared" si="1"/>
        <v>0.5</v>
      </c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f t="shared" si="1"/>
        <v>0.5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>
        <v>1</v>
      </c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>
        <v>1</v>
      </c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2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>
        <v>1</v>
      </c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>
        <v>3</v>
      </c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>
        <v>3</v>
      </c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>
        <v>1</v>
      </c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>
        <v>1</v>
      </c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>
        <v>1</v>
      </c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>
        <v>2</v>
      </c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2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1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>
        <v>1</v>
      </c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2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>
        <f t="shared" ref="C483:C486" si="2">8/5</f>
        <v>1.6</v>
      </c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>
        <f t="shared" si="2"/>
        <v>1.6</v>
      </c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>
        <f t="shared" si="2"/>
        <v>1.6</v>
      </c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>
        <f t="shared" si="2"/>
        <v>1.6</v>
      </c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f>(8/5)+1</f>
        <v>2.6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1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>
        <v>2</v>
      </c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>
        <v>2</v>
      </c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>
        <v>3</v>
      </c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2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>
        <f t="shared" ref="C503:C504" si="3">1/3</f>
        <v>0.33333333333333331</v>
      </c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>
        <f t="shared" si="3"/>
        <v>0.33333333333333331</v>
      </c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f>(1/3)+6</f>
        <v>6.333333333333333</v>
      </c>
      <c r="D505" s="22">
        <v>1</v>
      </c>
      <c r="E505" s="14"/>
      <c r="F505" s="14"/>
      <c r="G505" s="54"/>
    </row>
    <row r="506" spans="1:7" ht="14.5">
      <c r="A506" s="25">
        <v>44341</v>
      </c>
      <c r="B506" s="26">
        <v>21</v>
      </c>
      <c r="C506" s="45">
        <v>3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>
        <v>2</v>
      </c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>
        <v>1</v>
      </c>
      <c r="D509" s="22">
        <v>1</v>
      </c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>
        <v>1</v>
      </c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>
        <v>2</v>
      </c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>
        <v>1</v>
      </c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>
        <v>3</v>
      </c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>
        <v>1</v>
      </c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>
        <v>3</v>
      </c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>
        <v>3</v>
      </c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>
        <v>1</v>
      </c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>
        <v>3</v>
      </c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>
        <v>1</v>
      </c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v>1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v>2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>
        <f t="shared" ref="C565:C568" si="4">1/4</f>
        <v>0.25</v>
      </c>
      <c r="D565" s="22"/>
      <c r="E565" s="22"/>
      <c r="F565" s="22"/>
    </row>
    <row r="566" spans="1:7" ht="14.5">
      <c r="A566" s="28">
        <v>44401</v>
      </c>
      <c r="B566" s="22">
        <v>29</v>
      </c>
      <c r="C566" s="22">
        <f t="shared" si="4"/>
        <v>0.25</v>
      </c>
      <c r="D566" s="22"/>
      <c r="E566" s="22"/>
      <c r="F566" s="22"/>
    </row>
    <row r="567" spans="1:7" ht="14.5">
      <c r="A567" s="28">
        <v>44402</v>
      </c>
      <c r="B567" s="22">
        <v>29</v>
      </c>
      <c r="C567" s="22">
        <f t="shared" si="4"/>
        <v>0.25</v>
      </c>
      <c r="D567" s="22"/>
      <c r="E567" s="22"/>
      <c r="F567" s="22"/>
    </row>
    <row r="568" spans="1:7" ht="14.5">
      <c r="A568" s="28">
        <v>44403</v>
      </c>
      <c r="B568" s="22">
        <v>30</v>
      </c>
      <c r="C568" s="22">
        <f t="shared" si="4"/>
        <v>0.25</v>
      </c>
      <c r="D568" s="22"/>
      <c r="E568" s="22"/>
      <c r="F568" s="22"/>
    </row>
    <row r="569" spans="1:7" ht="14.5">
      <c r="A569" s="28">
        <v>44404</v>
      </c>
      <c r="B569" s="22">
        <v>30</v>
      </c>
      <c r="C569" s="22">
        <v>1</v>
      </c>
      <c r="D569" s="22"/>
      <c r="E569" s="22"/>
      <c r="F569" s="22"/>
    </row>
    <row r="570" spans="1:7" ht="14.5">
      <c r="A570" s="28">
        <v>44405</v>
      </c>
      <c r="B570" s="22">
        <v>30</v>
      </c>
      <c r="C570" s="22">
        <v>1</v>
      </c>
      <c r="D570" s="22"/>
      <c r="E570" s="22"/>
      <c r="F570" s="22"/>
    </row>
    <row r="571" spans="1:7" ht="14.5">
      <c r="A571" s="28">
        <v>44406</v>
      </c>
      <c r="B571" s="22">
        <v>30</v>
      </c>
      <c r="C571" s="22"/>
      <c r="D571" s="22"/>
      <c r="E571" s="22"/>
      <c r="F571" s="22"/>
    </row>
    <row r="572" spans="1:7" ht="14.5">
      <c r="A572" s="28">
        <v>44407</v>
      </c>
      <c r="B572" s="22">
        <v>30</v>
      </c>
      <c r="C572" s="22"/>
      <c r="D572" s="22"/>
      <c r="E572" s="22"/>
      <c r="F572" s="22"/>
    </row>
    <row r="573" spans="1:7" ht="14.5">
      <c r="A573" s="28">
        <v>44408</v>
      </c>
      <c r="B573" s="22">
        <v>30</v>
      </c>
      <c r="C573" s="22"/>
      <c r="D573" s="22"/>
      <c r="E573" s="22"/>
      <c r="F573" s="2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f>1</f>
        <v>1</v>
      </c>
      <c r="D575" s="22"/>
      <c r="E575" s="22"/>
      <c r="F575" s="22"/>
      <c r="G575" s="80" t="s">
        <v>386</v>
      </c>
    </row>
    <row r="576" spans="1:7" ht="14.5">
      <c r="A576" s="28">
        <v>44411</v>
      </c>
      <c r="B576" s="22">
        <v>31</v>
      </c>
      <c r="C576" s="22">
        <f>1+3</f>
        <v>4</v>
      </c>
      <c r="D576" s="22"/>
      <c r="E576" s="22" t="s">
        <v>354</v>
      </c>
      <c r="F576" s="22"/>
    </row>
    <row r="577" spans="1:7" ht="14.5">
      <c r="A577" s="28">
        <v>44412</v>
      </c>
      <c r="B577" s="22">
        <v>31</v>
      </c>
      <c r="C577" s="22">
        <f>3</f>
        <v>3</v>
      </c>
      <c r="D577" s="22"/>
      <c r="E577" s="22"/>
      <c r="F577" s="22"/>
      <c r="G577" s="80" t="s">
        <v>388</v>
      </c>
    </row>
    <row r="578" spans="1:7" ht="14.5">
      <c r="A578" s="28">
        <v>44413</v>
      </c>
      <c r="B578" s="22">
        <v>31</v>
      </c>
      <c r="C578" s="22">
        <v>2</v>
      </c>
      <c r="D578" s="22"/>
      <c r="E578" s="22" t="s">
        <v>81</v>
      </c>
      <c r="F578" s="22"/>
    </row>
    <row r="579" spans="1:7" ht="14.5">
      <c r="A579" s="28">
        <v>44414</v>
      </c>
      <c r="B579" s="22">
        <v>31</v>
      </c>
      <c r="C579" s="22">
        <f>4+4</f>
        <v>8</v>
      </c>
      <c r="D579" s="22"/>
      <c r="E579" s="22"/>
      <c r="F579" s="22"/>
      <c r="G579" s="80" t="s">
        <v>387</v>
      </c>
    </row>
    <row r="580" spans="1:7" ht="14.5">
      <c r="A580" s="28">
        <v>44415</v>
      </c>
      <c r="B580" s="22">
        <v>31</v>
      </c>
      <c r="C580" s="22"/>
      <c r="D580" s="22"/>
      <c r="E580" s="22"/>
      <c r="F580" s="22"/>
    </row>
    <row r="581" spans="1:7" ht="14.5">
      <c r="A581" s="28">
        <v>44416</v>
      </c>
      <c r="B581" s="22">
        <v>31</v>
      </c>
      <c r="C581" s="22"/>
      <c r="D581" s="22"/>
      <c r="E581" s="22"/>
      <c r="F581" s="22"/>
    </row>
    <row r="582" spans="1:7" ht="14.5">
      <c r="A582" s="28">
        <v>44417</v>
      </c>
      <c r="B582" s="22">
        <v>32</v>
      </c>
      <c r="C582" s="22">
        <f>1+1</f>
        <v>2</v>
      </c>
      <c r="D582" s="22"/>
      <c r="E582" s="22" t="s">
        <v>354</v>
      </c>
      <c r="F582" s="22"/>
      <c r="G582" s="80" t="s">
        <v>386</v>
      </c>
    </row>
    <row r="583" spans="1:7" ht="14.5">
      <c r="A583" s="28">
        <v>44418</v>
      </c>
      <c r="B583" s="22">
        <v>32</v>
      </c>
      <c r="C583" s="22">
        <f t="shared" ref="C583:C585" si="5">(28/6)</f>
        <v>4.666666666666667</v>
      </c>
      <c r="D583" s="22"/>
      <c r="E583" s="22" t="s">
        <v>358</v>
      </c>
      <c r="F583" s="22"/>
    </row>
    <row r="584" spans="1:7" ht="14.5">
      <c r="A584" s="28">
        <v>44419</v>
      </c>
      <c r="B584" s="22">
        <v>32</v>
      </c>
      <c r="C584" s="22">
        <f t="shared" si="5"/>
        <v>4.666666666666667</v>
      </c>
      <c r="D584" s="22"/>
      <c r="E584" s="22"/>
      <c r="F584" s="22"/>
    </row>
    <row r="585" spans="1:7" ht="14.5">
      <c r="A585" s="28">
        <v>44420</v>
      </c>
      <c r="B585" s="22">
        <v>32</v>
      </c>
      <c r="C585" s="22">
        <f t="shared" si="5"/>
        <v>4.666666666666667</v>
      </c>
      <c r="D585" s="22"/>
      <c r="E585" s="22"/>
      <c r="F585" s="22"/>
    </row>
    <row r="586" spans="1:7" ht="14.5">
      <c r="A586" s="28">
        <v>44421</v>
      </c>
      <c r="B586" s="22">
        <v>32</v>
      </c>
      <c r="C586" s="22">
        <f>1+(28/6)</f>
        <v>5.666666666666667</v>
      </c>
      <c r="D586" s="22"/>
      <c r="E586" s="22"/>
      <c r="F586" s="22"/>
      <c r="G586" s="80" t="s">
        <v>386</v>
      </c>
    </row>
    <row r="587" spans="1:7" ht="14.5">
      <c r="A587" s="28">
        <v>44422</v>
      </c>
      <c r="B587" s="22">
        <v>32</v>
      </c>
      <c r="C587" s="22">
        <f t="shared" ref="C587:C597" si="6">(28/6)</f>
        <v>4.666666666666667</v>
      </c>
      <c r="D587" s="22"/>
      <c r="E587" s="22"/>
      <c r="F587" s="22"/>
    </row>
    <row r="588" spans="1:7" ht="14.5">
      <c r="A588" s="28">
        <v>44423</v>
      </c>
      <c r="B588" s="22">
        <v>32</v>
      </c>
      <c r="C588" s="22">
        <f t="shared" si="6"/>
        <v>4.666666666666667</v>
      </c>
      <c r="D588" s="22"/>
      <c r="E588" s="22"/>
      <c r="F588" s="22"/>
    </row>
    <row r="589" spans="1:7" ht="14.5">
      <c r="A589" s="28">
        <v>44424</v>
      </c>
      <c r="B589" s="22">
        <v>33</v>
      </c>
      <c r="C589" s="22">
        <f t="shared" si="6"/>
        <v>4.666666666666667</v>
      </c>
      <c r="D589" s="22"/>
      <c r="E589" s="22"/>
      <c r="F589" s="22"/>
    </row>
    <row r="590" spans="1:7" ht="14.5">
      <c r="A590" s="28">
        <v>44425</v>
      </c>
      <c r="B590" s="22">
        <v>33</v>
      </c>
      <c r="C590" s="22">
        <f t="shared" si="6"/>
        <v>4.666666666666667</v>
      </c>
      <c r="D590" s="22"/>
      <c r="E590" s="22"/>
      <c r="F590" s="22"/>
    </row>
    <row r="591" spans="1:7" ht="14.5">
      <c r="A591" s="28">
        <v>44426</v>
      </c>
      <c r="B591" s="22">
        <v>33</v>
      </c>
      <c r="C591" s="22">
        <f t="shared" si="6"/>
        <v>4.666666666666667</v>
      </c>
      <c r="D591" s="22"/>
      <c r="E591" s="22"/>
      <c r="F591" s="22"/>
    </row>
    <row r="592" spans="1:7" ht="14.5">
      <c r="A592" s="28">
        <v>44427</v>
      </c>
      <c r="B592" s="22">
        <v>33</v>
      </c>
      <c r="C592" s="22">
        <f t="shared" si="6"/>
        <v>4.666666666666667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 t="shared" si="6"/>
        <v>4.666666666666667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 t="shared" si="6"/>
        <v>4.666666666666667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 t="shared" si="6"/>
        <v>4.666666666666667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 t="shared" si="6"/>
        <v>4.666666666666667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 t="shared" si="6"/>
        <v>4.666666666666667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(28/6)</f>
        <v>4.666666666666667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v>1</v>
      </c>
      <c r="D600" s="22"/>
      <c r="E600" s="22" t="s">
        <v>354</v>
      </c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5</v>
      </c>
      <c r="D603" s="22"/>
      <c r="E603" s="22" t="s">
        <v>359</v>
      </c>
      <c r="F603" s="22"/>
    </row>
    <row r="604" spans="1:6" ht="14.5">
      <c r="A604" s="28">
        <v>44439</v>
      </c>
      <c r="B604" s="22">
        <v>35</v>
      </c>
      <c r="C604" s="22">
        <v>1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v>2</v>
      </c>
      <c r="D606" s="22"/>
      <c r="E606" s="22" t="s">
        <v>354</v>
      </c>
      <c r="F606" s="22"/>
    </row>
    <row r="607" spans="1:6" ht="14.5">
      <c r="A607" s="28">
        <v>44442</v>
      </c>
      <c r="B607" s="22">
        <v>35</v>
      </c>
      <c r="C607" s="22">
        <f>(1/4)</f>
        <v>0.25</v>
      </c>
      <c r="D607" s="22"/>
      <c r="E607" s="22" t="s">
        <v>81</v>
      </c>
      <c r="F607" s="22"/>
    </row>
    <row r="608" spans="1:6" ht="14.5">
      <c r="A608" s="28">
        <v>44443</v>
      </c>
      <c r="B608" s="22">
        <v>35</v>
      </c>
      <c r="C608" s="22">
        <f t="shared" ref="C608:C610" si="7">(1/4)</f>
        <v>0.25</v>
      </c>
      <c r="D608" s="22"/>
      <c r="E608" s="22" t="s">
        <v>81</v>
      </c>
      <c r="F608" s="22"/>
    </row>
    <row r="609" spans="1:6" ht="14.5">
      <c r="A609" s="28">
        <v>44444</v>
      </c>
      <c r="B609" s="22">
        <v>35</v>
      </c>
      <c r="C609" s="22">
        <f t="shared" si="7"/>
        <v>0.25</v>
      </c>
      <c r="D609" s="22"/>
      <c r="E609" s="22" t="s">
        <v>81</v>
      </c>
      <c r="F609" s="22"/>
    </row>
    <row r="610" spans="1:6" ht="14.5">
      <c r="A610" s="28">
        <v>44445</v>
      </c>
      <c r="B610" s="22">
        <v>36</v>
      </c>
      <c r="C610" s="22">
        <f t="shared" si="7"/>
        <v>0.25</v>
      </c>
      <c r="D610" s="22"/>
      <c r="E610" s="22" t="s">
        <v>81</v>
      </c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v>1</v>
      </c>
      <c r="D612" s="22"/>
      <c r="E612" s="22" t="s">
        <v>81</v>
      </c>
      <c r="F612" s="22"/>
    </row>
    <row r="613" spans="1:6" ht="14.5">
      <c r="A613" s="28">
        <v>44448</v>
      </c>
      <c r="B613" s="22">
        <v>36</v>
      </c>
      <c r="C613" s="22">
        <v>1</v>
      </c>
      <c r="D613" s="22"/>
      <c r="E613" s="22" t="s">
        <v>81</v>
      </c>
      <c r="F613" s="22"/>
    </row>
    <row r="614" spans="1:6" ht="14.5">
      <c r="A614" s="28">
        <v>44449</v>
      </c>
      <c r="B614" s="22">
        <v>36</v>
      </c>
      <c r="C614" s="22">
        <v>1</v>
      </c>
      <c r="D614" s="22"/>
      <c r="E614" s="22" t="s">
        <v>354</v>
      </c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v>1</v>
      </c>
      <c r="D618" s="22"/>
      <c r="E618" s="22" t="s">
        <v>354</v>
      </c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>3/5</f>
        <v>0.6</v>
      </c>
      <c r="D621" s="22"/>
      <c r="E621" s="22" t="s">
        <v>360</v>
      </c>
      <c r="F621" s="22"/>
    </row>
    <row r="622" spans="1:6" ht="14.5">
      <c r="A622" s="28">
        <v>44457</v>
      </c>
      <c r="B622" s="22">
        <v>37</v>
      </c>
      <c r="C622" s="22">
        <f t="shared" ref="C622:C625" si="8">3/5</f>
        <v>0.6</v>
      </c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 t="shared" si="8"/>
        <v>0.6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>
        <f t="shared" si="8"/>
        <v>0.6</v>
      </c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f t="shared" si="8"/>
        <v>0.6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>1/4</f>
        <v>0.25</v>
      </c>
      <c r="D628" s="22"/>
      <c r="E628" s="22" t="s">
        <v>81</v>
      </c>
      <c r="F628" s="22"/>
    </row>
    <row r="629" spans="1:6" ht="14.5">
      <c r="A629" s="28">
        <v>44464</v>
      </c>
      <c r="B629" s="22">
        <v>38</v>
      </c>
      <c r="C629" s="22">
        <f t="shared" ref="C629:C631" si="9">1/4</f>
        <v>0.25</v>
      </c>
      <c r="D629" s="22"/>
      <c r="E629" s="22" t="s">
        <v>81</v>
      </c>
      <c r="F629" s="22"/>
    </row>
    <row r="630" spans="1:6" ht="14.5">
      <c r="A630" s="28">
        <v>44465</v>
      </c>
      <c r="B630" s="22">
        <v>38</v>
      </c>
      <c r="C630" s="22">
        <f t="shared" si="9"/>
        <v>0.25</v>
      </c>
      <c r="D630" s="22"/>
      <c r="E630" s="22" t="s">
        <v>81</v>
      </c>
      <c r="F630" s="22"/>
    </row>
    <row r="631" spans="1:6" ht="14.5">
      <c r="A631" s="28">
        <v>44466</v>
      </c>
      <c r="B631" s="22">
        <v>39</v>
      </c>
      <c r="C631" s="22">
        <f t="shared" si="9"/>
        <v>0.25</v>
      </c>
      <c r="D631" s="22"/>
      <c r="E631" s="22" t="s">
        <v>81</v>
      </c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>
        <f>1/3</f>
        <v>0.33333333333333331</v>
      </c>
      <c r="D636" s="22"/>
      <c r="E636" s="22" t="s">
        <v>81</v>
      </c>
      <c r="F636" s="22"/>
    </row>
    <row r="637" spans="1:6" ht="14.5">
      <c r="A637" s="28">
        <v>44472</v>
      </c>
      <c r="B637" s="22">
        <v>39</v>
      </c>
      <c r="C637" s="22">
        <f t="shared" ref="C637:C638" si="10">1/3</f>
        <v>0.33333333333333331</v>
      </c>
      <c r="D637" s="22"/>
      <c r="E637" s="22" t="s">
        <v>81</v>
      </c>
      <c r="F637" s="22"/>
    </row>
    <row r="638" spans="1:6" ht="14.5">
      <c r="A638" s="28">
        <v>44473</v>
      </c>
      <c r="B638" s="22">
        <v>40</v>
      </c>
      <c r="C638" s="22">
        <f t="shared" si="10"/>
        <v>0.33333333333333331</v>
      </c>
      <c r="D638" s="22"/>
      <c r="E638" s="22" t="s">
        <v>81</v>
      </c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>3/5</f>
        <v>0.6</v>
      </c>
      <c r="D733" s="22"/>
      <c r="E733" s="22" t="s">
        <v>361</v>
      </c>
      <c r="F733" s="22"/>
    </row>
    <row r="734" spans="1:6" ht="14.5">
      <c r="A734" s="28">
        <v>44569</v>
      </c>
      <c r="B734" s="22">
        <v>1</v>
      </c>
      <c r="C734" s="22">
        <f t="shared" ref="C734:C737" si="11">3/5</f>
        <v>0.6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 t="shared" si="11"/>
        <v>0.6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 t="shared" si="11"/>
        <v>0.6</v>
      </c>
      <c r="D736" s="22"/>
      <c r="E736" s="22"/>
      <c r="F736" s="22"/>
    </row>
    <row r="737" spans="1:7" ht="14.5">
      <c r="A737" s="28">
        <v>44572</v>
      </c>
      <c r="B737" s="22">
        <v>2</v>
      </c>
      <c r="C737" s="22">
        <f t="shared" si="11"/>
        <v>0.6</v>
      </c>
      <c r="D737" s="22"/>
      <c r="E737" s="22"/>
      <c r="F737" s="22"/>
    </row>
    <row r="738" spans="1:7" ht="14.5">
      <c r="A738" s="28">
        <v>44573</v>
      </c>
      <c r="B738" s="22">
        <v>2</v>
      </c>
      <c r="C738" s="22">
        <v>3</v>
      </c>
      <c r="D738" s="22"/>
      <c r="E738" s="22" t="s">
        <v>362</v>
      </c>
      <c r="F738" s="22"/>
    </row>
    <row r="739" spans="1:7" ht="14.5">
      <c r="A739" s="28">
        <v>44574</v>
      </c>
      <c r="B739" s="22">
        <v>2</v>
      </c>
      <c r="C739" s="22">
        <v>7</v>
      </c>
      <c r="D739" s="22"/>
      <c r="E739" s="22" t="s">
        <v>363</v>
      </c>
      <c r="F739" s="22"/>
    </row>
    <row r="740" spans="1:7" ht="14.5">
      <c r="A740" s="28">
        <v>44575</v>
      </c>
      <c r="B740" s="22">
        <v>2</v>
      </c>
      <c r="C740" s="22">
        <v>11</v>
      </c>
      <c r="D740" s="22"/>
      <c r="E740" s="22" t="s">
        <v>364</v>
      </c>
      <c r="F740" s="22"/>
    </row>
    <row r="741" spans="1:7" ht="14.5">
      <c r="A741" s="28">
        <v>44576</v>
      </c>
      <c r="B741" s="22">
        <v>2</v>
      </c>
      <c r="C741" s="22">
        <f>36/3</f>
        <v>12</v>
      </c>
      <c r="D741" s="22"/>
      <c r="E741" s="22" t="s">
        <v>365</v>
      </c>
      <c r="F741" s="22"/>
    </row>
    <row r="742" spans="1:7" ht="14.5">
      <c r="A742" s="28">
        <v>44577</v>
      </c>
      <c r="B742" s="22">
        <v>2</v>
      </c>
      <c r="C742" s="22">
        <f t="shared" ref="C742:C743" si="12">36/3</f>
        <v>12</v>
      </c>
      <c r="D742" s="22"/>
      <c r="E742" s="22"/>
      <c r="F742" s="22"/>
    </row>
    <row r="743" spans="1:7" ht="14.5">
      <c r="A743" s="28">
        <v>44578</v>
      </c>
      <c r="B743" s="22">
        <v>3</v>
      </c>
      <c r="C743" s="22">
        <f t="shared" si="12"/>
        <v>12</v>
      </c>
      <c r="D743" s="22"/>
      <c r="E743" s="22"/>
      <c r="F743" s="22"/>
    </row>
    <row r="744" spans="1:7" ht="14.5">
      <c r="A744" s="28">
        <v>44579</v>
      </c>
      <c r="B744" s="22">
        <v>3</v>
      </c>
      <c r="C744" s="22">
        <v>28</v>
      </c>
      <c r="D744" s="22"/>
      <c r="E744" s="22" t="s">
        <v>366</v>
      </c>
      <c r="F744" s="22"/>
    </row>
    <row r="745" spans="1:7" ht="14.5">
      <c r="A745" s="28">
        <v>44580</v>
      </c>
      <c r="B745" s="22">
        <v>3</v>
      </c>
      <c r="C745" s="22">
        <f>14+13</f>
        <v>27</v>
      </c>
      <c r="D745" s="22"/>
      <c r="E745" s="22" t="s">
        <v>367</v>
      </c>
      <c r="F745" s="22"/>
      <c r="G745" s="91" t="s">
        <v>385</v>
      </c>
    </row>
    <row r="746" spans="1:7" ht="14.5">
      <c r="A746" s="28">
        <v>44581</v>
      </c>
      <c r="B746" s="22">
        <v>3</v>
      </c>
      <c r="C746" s="22">
        <v>17</v>
      </c>
      <c r="D746" s="22"/>
      <c r="E746" s="22" t="s">
        <v>368</v>
      </c>
      <c r="F746" s="22"/>
    </row>
    <row r="747" spans="1:7" ht="14.5">
      <c r="A747" s="28">
        <v>44582</v>
      </c>
      <c r="B747" s="22">
        <v>3</v>
      </c>
      <c r="C747" s="22">
        <v>8</v>
      </c>
      <c r="D747" s="22"/>
      <c r="E747" s="22" t="s">
        <v>369</v>
      </c>
      <c r="F747" s="22"/>
    </row>
    <row r="748" spans="1:7" ht="14.5">
      <c r="A748" s="28">
        <v>44583</v>
      </c>
      <c r="B748" s="22">
        <v>3</v>
      </c>
      <c r="C748" s="22">
        <f>20/3</f>
        <v>6.666666666666667</v>
      </c>
      <c r="D748" s="22"/>
      <c r="E748" s="22" t="s">
        <v>370</v>
      </c>
      <c r="F748" s="22"/>
    </row>
    <row r="749" spans="1:7" ht="14.5">
      <c r="A749" s="28">
        <v>44584</v>
      </c>
      <c r="B749" s="22">
        <v>3</v>
      </c>
      <c r="C749" s="22">
        <f t="shared" ref="C749:C750" si="13">20/3</f>
        <v>6.666666666666667</v>
      </c>
      <c r="D749" s="22"/>
      <c r="E749" s="22"/>
      <c r="F749" s="22"/>
    </row>
    <row r="750" spans="1:7" ht="14.5">
      <c r="A750" s="28">
        <v>44585</v>
      </c>
      <c r="B750" s="22">
        <v>4</v>
      </c>
      <c r="C750" s="22">
        <f t="shared" si="13"/>
        <v>6.666666666666667</v>
      </c>
      <c r="D750" s="22"/>
      <c r="E750" s="22"/>
      <c r="F750" s="22"/>
    </row>
    <row r="751" spans="1:7" ht="14.5">
      <c r="A751" s="28">
        <v>44586</v>
      </c>
      <c r="B751" s="22">
        <v>4</v>
      </c>
      <c r="C751" s="22">
        <v>10</v>
      </c>
      <c r="D751" s="22"/>
      <c r="E751" s="22" t="s">
        <v>371</v>
      </c>
      <c r="F751" s="22"/>
    </row>
    <row r="752" spans="1:7" ht="14.5">
      <c r="A752" s="28">
        <v>44587</v>
      </c>
      <c r="B752" s="22">
        <v>4</v>
      </c>
      <c r="C752" s="22">
        <v>8</v>
      </c>
      <c r="D752" s="22"/>
      <c r="E752" s="22" t="s">
        <v>372</v>
      </c>
      <c r="F752" s="22"/>
    </row>
    <row r="753" spans="1:6" ht="14.5">
      <c r="A753" s="28">
        <v>44588</v>
      </c>
      <c r="B753" s="22">
        <v>4</v>
      </c>
      <c r="C753" s="22">
        <v>5</v>
      </c>
      <c r="D753" s="22"/>
      <c r="E753" s="22" t="s">
        <v>373</v>
      </c>
      <c r="F753" s="22"/>
    </row>
    <row r="754" spans="1:6" ht="14.5">
      <c r="A754" s="28">
        <v>44589</v>
      </c>
      <c r="B754" s="22">
        <v>4</v>
      </c>
      <c r="C754" s="22">
        <v>5</v>
      </c>
      <c r="D754" s="22"/>
      <c r="E754" s="22" t="s">
        <v>359</v>
      </c>
      <c r="F754" s="22"/>
    </row>
    <row r="755" spans="1:6" ht="14.5">
      <c r="A755" s="28">
        <v>44590</v>
      </c>
      <c r="B755" s="22">
        <v>4</v>
      </c>
      <c r="C755" s="22">
        <f>12/3</f>
        <v>4</v>
      </c>
      <c r="D755" s="22"/>
      <c r="E755" s="22" t="s">
        <v>374</v>
      </c>
      <c r="F755" s="22"/>
    </row>
    <row r="756" spans="1:6" ht="14.5">
      <c r="A756" s="28">
        <v>44591</v>
      </c>
      <c r="B756" s="22">
        <v>4</v>
      </c>
      <c r="C756" s="22">
        <f t="shared" ref="C756:C757" si="14">12/3</f>
        <v>4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 t="shared" si="14"/>
        <v>4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v>7</v>
      </c>
      <c r="D758" s="52"/>
      <c r="E758" s="22" t="s">
        <v>375</v>
      </c>
      <c r="F758" s="52"/>
    </row>
    <row r="759" spans="1:6" ht="14.5">
      <c r="A759" s="49">
        <v>44594</v>
      </c>
      <c r="B759" s="52">
        <v>5</v>
      </c>
      <c r="C759" s="52">
        <v>11</v>
      </c>
      <c r="D759" s="52"/>
      <c r="E759" s="22" t="s">
        <v>376</v>
      </c>
      <c r="F759" s="52"/>
    </row>
    <row r="760" spans="1:6" ht="14.5">
      <c r="A760" s="49">
        <v>44595</v>
      </c>
      <c r="B760" s="52">
        <v>5</v>
      </c>
      <c r="C760" s="52">
        <v>4</v>
      </c>
      <c r="D760" s="52"/>
      <c r="E760" s="22" t="s">
        <v>377</v>
      </c>
      <c r="F760" s="52"/>
    </row>
    <row r="761" spans="1:6" ht="14.5">
      <c r="A761" s="49">
        <v>44596</v>
      </c>
      <c r="B761" s="52">
        <v>5</v>
      </c>
      <c r="C761" s="52">
        <v>4</v>
      </c>
      <c r="D761" s="52"/>
      <c r="E761" s="22" t="s">
        <v>378</v>
      </c>
      <c r="F761" s="52"/>
    </row>
    <row r="762" spans="1:6" ht="14.5">
      <c r="A762" s="49">
        <v>44597</v>
      </c>
      <c r="B762" s="52">
        <v>5</v>
      </c>
      <c r="C762" s="52">
        <f>3/3</f>
        <v>1</v>
      </c>
      <c r="D762" s="52"/>
      <c r="E762" s="22" t="s">
        <v>379</v>
      </c>
      <c r="F762" s="52"/>
    </row>
    <row r="763" spans="1:6" ht="14.5">
      <c r="A763" s="49">
        <v>44598</v>
      </c>
      <c r="B763" s="52">
        <v>5</v>
      </c>
      <c r="C763" s="52">
        <f t="shared" ref="C763:C764" si="15">3/3</f>
        <v>1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 t="shared" si="15"/>
        <v>1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v>1</v>
      </c>
      <c r="D765" s="52"/>
      <c r="E765" s="22" t="s">
        <v>380</v>
      </c>
      <c r="F765" s="52"/>
    </row>
    <row r="766" spans="1:6" ht="14.5">
      <c r="A766" s="49">
        <v>44601</v>
      </c>
      <c r="B766" s="52">
        <v>6</v>
      </c>
      <c r="C766" s="52">
        <f>1</f>
        <v>1</v>
      </c>
      <c r="D766" s="52"/>
      <c r="E766" s="22" t="s">
        <v>355</v>
      </c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>2/4</f>
        <v>0.5</v>
      </c>
      <c r="D768" s="52"/>
      <c r="E768" s="22" t="s">
        <v>356</v>
      </c>
      <c r="F768" s="52"/>
    </row>
    <row r="769" spans="1:6" ht="14.5">
      <c r="A769" s="49">
        <v>44604</v>
      </c>
      <c r="B769" s="52">
        <v>6</v>
      </c>
      <c r="C769" s="52">
        <f t="shared" ref="C769:C771" si="16">2/4</f>
        <v>0.5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f t="shared" si="16"/>
        <v>0.5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 t="shared" si="16"/>
        <v>0.5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v>4</v>
      </c>
      <c r="D772" s="52"/>
      <c r="E772" s="22" t="s">
        <v>381</v>
      </c>
      <c r="F772" s="52"/>
    </row>
    <row r="773" spans="1:6" ht="14.5">
      <c r="A773" s="49">
        <v>44608</v>
      </c>
      <c r="B773" s="52">
        <v>7</v>
      </c>
      <c r="C773" s="52">
        <v>6</v>
      </c>
      <c r="D773" s="52"/>
      <c r="E773" s="22" t="s">
        <v>382</v>
      </c>
      <c r="F773" s="52"/>
    </row>
    <row r="774" spans="1:6" ht="14.5">
      <c r="A774" s="49">
        <v>44609</v>
      </c>
      <c r="B774" s="52">
        <v>7</v>
      </c>
      <c r="C774" s="52">
        <v>5</v>
      </c>
      <c r="D774" s="52"/>
      <c r="E774" s="22" t="s">
        <v>383</v>
      </c>
      <c r="F774" s="52"/>
    </row>
    <row r="775" spans="1:6" ht="14.5">
      <c r="A775" s="49">
        <v>44610</v>
      </c>
      <c r="B775" s="52">
        <v>7</v>
      </c>
      <c r="C775" s="52">
        <v>2</v>
      </c>
      <c r="D775" s="52"/>
      <c r="E775" s="22" t="s">
        <v>356</v>
      </c>
      <c r="F775" s="52"/>
    </row>
    <row r="776" spans="1:6" ht="14.5">
      <c r="A776" s="49">
        <v>44611</v>
      </c>
      <c r="B776" s="52">
        <v>7</v>
      </c>
      <c r="C776" s="52">
        <f>1/3</f>
        <v>0.33333333333333331</v>
      </c>
      <c r="D776" s="52"/>
      <c r="E776" s="22" t="s">
        <v>380</v>
      </c>
      <c r="F776" s="52"/>
    </row>
    <row r="777" spans="1:6" ht="14.5">
      <c r="A777" s="49">
        <v>44612</v>
      </c>
      <c r="B777" s="52">
        <v>7</v>
      </c>
      <c r="C777" s="52">
        <f t="shared" ref="C777:C778" si="17">1/3</f>
        <v>0.33333333333333331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 t="shared" si="17"/>
        <v>0.33333333333333331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>7/2</f>
        <v>3.5</v>
      </c>
      <c r="D780" s="52"/>
      <c r="E780" s="22" t="s">
        <v>384</v>
      </c>
      <c r="F780" s="52"/>
    </row>
    <row r="781" spans="1:6" ht="14.5">
      <c r="A781" s="49">
        <v>44616</v>
      </c>
      <c r="B781" s="52">
        <v>8</v>
      </c>
      <c r="C781" s="52">
        <f>7/2</f>
        <v>3.5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v>4</v>
      </c>
      <c r="D782" s="52"/>
      <c r="E782" s="22" t="s">
        <v>378</v>
      </c>
      <c r="F782" s="52"/>
    </row>
    <row r="783" spans="1:6" ht="14.5">
      <c r="A783" s="49">
        <v>44618</v>
      </c>
      <c r="B783" s="52">
        <v>8</v>
      </c>
      <c r="C783" s="52">
        <f>3/3</f>
        <v>1</v>
      </c>
      <c r="D783" s="52"/>
      <c r="E783" s="22" t="s">
        <v>359</v>
      </c>
      <c r="F783" s="52"/>
    </row>
    <row r="784" spans="1:6" ht="14.5">
      <c r="A784" s="73">
        <v>44619</v>
      </c>
      <c r="B784" s="74">
        <v>8</v>
      </c>
      <c r="C784" s="74">
        <f t="shared" ref="C784:C785" si="18">3/3</f>
        <v>1</v>
      </c>
      <c r="D784" s="74"/>
      <c r="E784" s="74"/>
      <c r="F784" s="74"/>
    </row>
    <row r="785" spans="1:6" ht="14.5">
      <c r="A785" s="64">
        <v>44620</v>
      </c>
      <c r="B785" s="52">
        <v>9</v>
      </c>
      <c r="C785" s="52">
        <f t="shared" si="18"/>
        <v>1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v>3</v>
      </c>
      <c r="D786" s="52"/>
      <c r="E786" s="52" t="s">
        <v>357</v>
      </c>
      <c r="F786" s="52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display="https://www.chukyo-u.ac.jp/covid-19/infected_information/_x000a_https://www.chukyo-u.ac.jp/search.html?cx=009059343404882784066%3Aupnnno3bgtw&amp;cof=FORID%3A11&amp;ie=UTF-8&amp;q=%E6%84%9F%E6%9F%93%E8%80%85%E3%81%AE%E7%99%BA%E7%94%9F&amp;sa=%E6%A4%9C%E7%B4%A2" xr:uid="{00000000-0004-0000-1E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4.5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>
      <c r="A1" s="120" t="s">
        <v>60</v>
      </c>
      <c r="B1" s="112"/>
      <c r="C1" s="112"/>
      <c r="D1" s="112"/>
      <c r="E1" s="112"/>
      <c r="F1" s="113"/>
      <c r="G1" s="69" t="s">
        <v>86</v>
      </c>
    </row>
    <row r="2" spans="1:7">
      <c r="A2" s="141" t="s">
        <v>37</v>
      </c>
      <c r="B2" s="115"/>
      <c r="C2" s="115"/>
      <c r="D2" s="115"/>
      <c r="E2" s="115"/>
      <c r="F2" s="116"/>
      <c r="G2" s="68" t="s">
        <v>229</v>
      </c>
    </row>
    <row r="3" spans="1:7">
      <c r="A3" s="118" t="s">
        <v>389</v>
      </c>
      <c r="B3" s="115"/>
      <c r="C3" s="115"/>
      <c r="D3" s="115"/>
      <c r="E3" s="115"/>
      <c r="F3" s="116"/>
      <c r="G3" s="4"/>
    </row>
    <row r="4" spans="1:7">
      <c r="A4" s="118"/>
      <c r="B4" s="115"/>
      <c r="C4" s="115"/>
      <c r="D4" s="115"/>
      <c r="E4" s="115"/>
      <c r="F4" s="116"/>
    </row>
    <row r="5" spans="1:7">
      <c r="A5" s="128" t="s">
        <v>85</v>
      </c>
      <c r="B5" s="115"/>
      <c r="C5" s="115"/>
      <c r="D5" s="115"/>
      <c r="E5" s="115"/>
      <c r="F5" s="116"/>
    </row>
    <row r="6" spans="1:7">
      <c r="A6" s="118"/>
      <c r="B6" s="115"/>
      <c r="C6" s="115"/>
      <c r="D6" s="115"/>
      <c r="E6" s="115"/>
      <c r="F6" s="116"/>
    </row>
    <row r="7" spans="1:7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>
      <c r="A8" s="25">
        <v>43843</v>
      </c>
      <c r="B8" s="26">
        <v>1</v>
      </c>
      <c r="C8" s="21"/>
      <c r="D8" s="21"/>
      <c r="E8" s="21"/>
      <c r="F8" s="21"/>
    </row>
    <row r="9" spans="1:7">
      <c r="A9" s="25">
        <v>43844</v>
      </c>
      <c r="B9" s="26">
        <v>1</v>
      </c>
      <c r="C9" s="22"/>
      <c r="D9" s="22"/>
      <c r="E9" s="22"/>
      <c r="F9" s="22"/>
    </row>
    <row r="10" spans="1:7">
      <c r="A10" s="25">
        <v>43845</v>
      </c>
      <c r="B10" s="26">
        <v>1</v>
      </c>
      <c r="C10" s="22"/>
      <c r="D10" s="22"/>
      <c r="E10" s="22"/>
      <c r="F10" s="22"/>
    </row>
    <row r="11" spans="1:7">
      <c r="A11" s="25">
        <v>43846</v>
      </c>
      <c r="B11" s="26">
        <v>1</v>
      </c>
      <c r="C11" s="22"/>
      <c r="D11" s="22"/>
      <c r="E11" s="22"/>
      <c r="F11" s="22"/>
    </row>
    <row r="12" spans="1:7">
      <c r="A12" s="25">
        <v>43847</v>
      </c>
      <c r="B12" s="26">
        <v>1</v>
      </c>
      <c r="C12" s="22"/>
      <c r="D12" s="22"/>
      <c r="E12" s="22"/>
      <c r="F12" s="22"/>
    </row>
    <row r="13" spans="1:7">
      <c r="A13" s="25">
        <v>43848</v>
      </c>
      <c r="B13" s="26">
        <v>1</v>
      </c>
      <c r="C13" s="22"/>
      <c r="D13" s="22"/>
      <c r="E13" s="22"/>
      <c r="F13" s="22"/>
    </row>
    <row r="14" spans="1:7">
      <c r="A14" s="25">
        <v>43849</v>
      </c>
      <c r="B14" s="26">
        <v>1</v>
      </c>
      <c r="C14" s="22"/>
      <c r="D14" s="22"/>
      <c r="E14" s="22"/>
      <c r="F14" s="22"/>
    </row>
    <row r="15" spans="1:7">
      <c r="A15" s="25">
        <v>43850</v>
      </c>
      <c r="B15" s="26">
        <v>2</v>
      </c>
      <c r="C15" s="22"/>
      <c r="D15" s="22"/>
      <c r="E15" s="22"/>
      <c r="F15" s="22"/>
    </row>
    <row r="16" spans="1:7">
      <c r="A16" s="25">
        <v>43851</v>
      </c>
      <c r="B16" s="26">
        <v>2</v>
      </c>
      <c r="C16" s="22"/>
      <c r="D16" s="22"/>
      <c r="E16" s="22"/>
      <c r="F16" s="22"/>
    </row>
    <row r="17" spans="1:6">
      <c r="A17" s="25">
        <v>43852</v>
      </c>
      <c r="B17" s="26">
        <v>2</v>
      </c>
      <c r="C17" s="22"/>
      <c r="D17" s="22"/>
      <c r="E17" s="22"/>
      <c r="F17" s="22"/>
    </row>
    <row r="18" spans="1:6">
      <c r="A18" s="25">
        <v>43853</v>
      </c>
      <c r="B18" s="26">
        <v>2</v>
      </c>
      <c r="C18" s="22"/>
      <c r="D18" s="22"/>
      <c r="E18" s="22"/>
      <c r="F18" s="22"/>
    </row>
    <row r="19" spans="1:6">
      <c r="A19" s="25">
        <v>43854</v>
      </c>
      <c r="B19" s="26">
        <v>2</v>
      </c>
      <c r="C19" s="22"/>
      <c r="D19" s="22"/>
      <c r="E19" s="22"/>
      <c r="F19" s="22"/>
    </row>
    <row r="20" spans="1:6">
      <c r="A20" s="25">
        <v>43855</v>
      </c>
      <c r="B20" s="26">
        <v>2</v>
      </c>
      <c r="C20" s="22"/>
      <c r="D20" s="22"/>
      <c r="E20" s="22"/>
      <c r="F20" s="22"/>
    </row>
    <row r="21" spans="1:6">
      <c r="A21" s="25">
        <v>43856</v>
      </c>
      <c r="B21" s="26">
        <v>2</v>
      </c>
      <c r="C21" s="22"/>
      <c r="D21" s="22"/>
      <c r="E21" s="22"/>
      <c r="F21" s="22"/>
    </row>
    <row r="22" spans="1:6">
      <c r="A22" s="25">
        <v>43857</v>
      </c>
      <c r="B22" s="26">
        <v>3</v>
      </c>
      <c r="C22" s="22"/>
      <c r="D22" s="22"/>
      <c r="E22" s="22"/>
      <c r="F22" s="22"/>
    </row>
    <row r="23" spans="1:6">
      <c r="A23" s="25">
        <v>43858</v>
      </c>
      <c r="B23" s="26">
        <v>3</v>
      </c>
      <c r="C23" s="22"/>
      <c r="D23" s="22"/>
      <c r="E23" s="22"/>
      <c r="F23" s="22"/>
    </row>
    <row r="24" spans="1:6" ht="15.5">
      <c r="A24" s="25">
        <v>43859</v>
      </c>
      <c r="B24" s="26">
        <v>3</v>
      </c>
      <c r="C24" s="22"/>
      <c r="D24" s="22"/>
      <c r="E24" s="22"/>
      <c r="F24" s="29"/>
    </row>
    <row r="25" spans="1:6" ht="15.5">
      <c r="A25" s="25">
        <v>43860</v>
      </c>
      <c r="B25" s="26">
        <v>3</v>
      </c>
      <c r="C25" s="22"/>
      <c r="D25" s="22"/>
      <c r="E25" s="22"/>
      <c r="F25" s="30"/>
    </row>
    <row r="26" spans="1:6">
      <c r="A26" s="25">
        <v>43861</v>
      </c>
      <c r="B26" s="26">
        <v>3</v>
      </c>
      <c r="C26" s="22"/>
      <c r="D26" s="22"/>
      <c r="E26" s="22"/>
      <c r="F26" s="22"/>
    </row>
    <row r="27" spans="1:6">
      <c r="A27" s="25">
        <v>43862</v>
      </c>
      <c r="B27" s="26">
        <v>3</v>
      </c>
      <c r="C27" s="22"/>
      <c r="D27" s="22"/>
      <c r="E27" s="22"/>
      <c r="F27" s="22"/>
    </row>
    <row r="28" spans="1:6">
      <c r="A28" s="25">
        <v>43863</v>
      </c>
      <c r="B28" s="26">
        <v>3</v>
      </c>
      <c r="C28" s="22"/>
      <c r="D28" s="22"/>
      <c r="E28" s="22"/>
      <c r="F28" s="22"/>
    </row>
    <row r="29" spans="1:6">
      <c r="A29" s="25">
        <v>43864</v>
      </c>
      <c r="B29" s="26">
        <v>4</v>
      </c>
      <c r="C29" s="22"/>
      <c r="D29" s="22"/>
      <c r="E29" s="22"/>
      <c r="F29" s="22"/>
    </row>
    <row r="30" spans="1:6" ht="15.5">
      <c r="A30" s="25">
        <v>43865</v>
      </c>
      <c r="B30" s="26">
        <v>4</v>
      </c>
      <c r="C30" s="22"/>
      <c r="D30" s="22"/>
      <c r="E30" s="22"/>
      <c r="F30" s="30"/>
    </row>
    <row r="31" spans="1:6" ht="15.5">
      <c r="A31" s="25">
        <v>43866</v>
      </c>
      <c r="B31" s="26">
        <v>4</v>
      </c>
      <c r="C31" s="22"/>
      <c r="D31" s="22"/>
      <c r="E31" s="22"/>
      <c r="F31" s="29"/>
    </row>
    <row r="32" spans="1:6" ht="15.5">
      <c r="A32" s="25">
        <v>43867</v>
      </c>
      <c r="B32" s="26">
        <v>4</v>
      </c>
      <c r="C32" s="22"/>
      <c r="D32" s="22"/>
      <c r="E32" s="22"/>
      <c r="F32" s="29"/>
    </row>
    <row r="33" spans="1:6">
      <c r="A33" s="25">
        <v>43868</v>
      </c>
      <c r="B33" s="26">
        <v>4</v>
      </c>
      <c r="C33" s="22"/>
      <c r="D33" s="22"/>
      <c r="E33" s="22"/>
      <c r="F33" s="22"/>
    </row>
    <row r="34" spans="1:6">
      <c r="A34" s="25">
        <v>43869</v>
      </c>
      <c r="B34" s="26">
        <v>4</v>
      </c>
      <c r="C34" s="22"/>
      <c r="D34" s="22"/>
      <c r="E34" s="22"/>
      <c r="F34" s="22"/>
    </row>
    <row r="35" spans="1:6">
      <c r="A35" s="25">
        <v>43870</v>
      </c>
      <c r="B35" s="26">
        <v>4</v>
      </c>
      <c r="C35" s="22"/>
      <c r="D35" s="22"/>
      <c r="E35" s="22"/>
      <c r="F35" s="22"/>
    </row>
    <row r="36" spans="1:6">
      <c r="A36" s="25">
        <v>43871</v>
      </c>
      <c r="B36" s="26">
        <v>5</v>
      </c>
      <c r="C36" s="22"/>
      <c r="D36" s="22"/>
      <c r="E36" s="22"/>
      <c r="F36" s="22"/>
    </row>
    <row r="37" spans="1:6">
      <c r="A37" s="25">
        <v>43872</v>
      </c>
      <c r="B37" s="26">
        <v>5</v>
      </c>
      <c r="C37" s="22"/>
      <c r="D37" s="22"/>
      <c r="E37" s="22"/>
      <c r="F37" s="22"/>
    </row>
    <row r="38" spans="1:6">
      <c r="A38" s="25">
        <v>43873</v>
      </c>
      <c r="B38" s="26">
        <v>5</v>
      </c>
      <c r="C38" s="22"/>
      <c r="D38" s="22"/>
      <c r="E38" s="22"/>
      <c r="F38" s="22"/>
    </row>
    <row r="39" spans="1:6">
      <c r="A39" s="25">
        <v>43874</v>
      </c>
      <c r="B39" s="26">
        <v>5</v>
      </c>
      <c r="C39" s="22"/>
      <c r="D39" s="22"/>
      <c r="E39" s="22"/>
      <c r="F39" s="22"/>
    </row>
    <row r="40" spans="1:6">
      <c r="A40" s="25">
        <v>43875</v>
      </c>
      <c r="B40" s="26">
        <v>5</v>
      </c>
      <c r="C40" s="22"/>
      <c r="D40" s="22"/>
      <c r="E40" s="22"/>
      <c r="F40" s="22"/>
    </row>
    <row r="41" spans="1:6">
      <c r="A41" s="25">
        <v>43876</v>
      </c>
      <c r="B41" s="26">
        <v>5</v>
      </c>
      <c r="C41" s="22"/>
      <c r="D41" s="22"/>
      <c r="E41" s="22"/>
      <c r="F41" s="22"/>
    </row>
    <row r="42" spans="1:6">
      <c r="A42" s="25">
        <v>43877</v>
      </c>
      <c r="B42" s="26">
        <v>5</v>
      </c>
      <c r="C42" s="22"/>
      <c r="D42" s="22"/>
      <c r="E42" s="22"/>
      <c r="F42" s="31"/>
    </row>
    <row r="43" spans="1:6" ht="15.5">
      <c r="A43" s="25">
        <v>43878</v>
      </c>
      <c r="B43" s="26">
        <v>6</v>
      </c>
      <c r="C43" s="22"/>
      <c r="D43" s="22"/>
      <c r="E43" s="22"/>
      <c r="F43" s="29"/>
    </row>
    <row r="44" spans="1:6" ht="15.5">
      <c r="A44" s="25">
        <v>43879</v>
      </c>
      <c r="B44" s="26">
        <v>6</v>
      </c>
      <c r="C44" s="22"/>
      <c r="D44" s="22"/>
      <c r="E44" s="22"/>
      <c r="F44" s="29"/>
    </row>
    <row r="45" spans="1:6">
      <c r="A45" s="25">
        <v>43880</v>
      </c>
      <c r="B45" s="26">
        <v>6</v>
      </c>
      <c r="C45" s="22"/>
      <c r="D45" s="22"/>
      <c r="E45" s="22"/>
      <c r="F45" s="22"/>
    </row>
    <row r="46" spans="1:6" ht="15.5">
      <c r="A46" s="25">
        <v>43881</v>
      </c>
      <c r="B46" s="26">
        <v>6</v>
      </c>
      <c r="C46" s="22"/>
      <c r="D46" s="22"/>
      <c r="E46" s="22"/>
      <c r="F46" s="29"/>
    </row>
    <row r="47" spans="1:6">
      <c r="A47" s="25">
        <v>43882</v>
      </c>
      <c r="B47" s="26">
        <v>6</v>
      </c>
      <c r="C47" s="22"/>
      <c r="D47" s="22"/>
      <c r="E47" s="22"/>
      <c r="F47" s="22"/>
    </row>
    <row r="48" spans="1:6">
      <c r="A48" s="25">
        <v>43883</v>
      </c>
      <c r="B48" s="26">
        <v>6</v>
      </c>
      <c r="C48" s="22"/>
      <c r="D48" s="22"/>
      <c r="E48" s="22"/>
      <c r="F48" s="22"/>
    </row>
    <row r="49" spans="1:6">
      <c r="A49" s="25">
        <v>43884</v>
      </c>
      <c r="B49" s="26">
        <v>6</v>
      </c>
      <c r="C49" s="22"/>
      <c r="D49" s="22"/>
      <c r="E49" s="22"/>
      <c r="F49" s="22"/>
    </row>
    <row r="50" spans="1:6">
      <c r="A50" s="25">
        <v>43885</v>
      </c>
      <c r="B50" s="26">
        <v>7</v>
      </c>
      <c r="C50" s="22"/>
      <c r="D50" s="22"/>
      <c r="E50" s="22"/>
      <c r="F50" s="22"/>
    </row>
    <row r="51" spans="1:6">
      <c r="A51" s="25">
        <v>43886</v>
      </c>
      <c r="B51" s="26">
        <v>7</v>
      </c>
      <c r="C51" s="22"/>
      <c r="D51" s="22"/>
      <c r="E51" s="22"/>
      <c r="F51" s="22"/>
    </row>
    <row r="52" spans="1:6">
      <c r="A52" s="25">
        <v>43887</v>
      </c>
      <c r="B52" s="26">
        <v>7</v>
      </c>
      <c r="C52" s="22"/>
      <c r="D52" s="22"/>
      <c r="E52" s="22"/>
      <c r="F52" s="22"/>
    </row>
    <row r="53" spans="1:6">
      <c r="A53" s="25">
        <v>43888</v>
      </c>
      <c r="B53" s="26">
        <v>7</v>
      </c>
      <c r="C53" s="22"/>
      <c r="D53" s="22"/>
      <c r="E53" s="22"/>
      <c r="F53" s="22"/>
    </row>
    <row r="54" spans="1:6">
      <c r="A54" s="25">
        <v>43889</v>
      </c>
      <c r="B54" s="26">
        <v>7</v>
      </c>
      <c r="C54" s="22"/>
      <c r="D54" s="22"/>
      <c r="E54" s="22"/>
      <c r="F54" s="22"/>
    </row>
    <row r="55" spans="1:6">
      <c r="A55" s="25">
        <v>43890</v>
      </c>
      <c r="B55" s="26">
        <v>7</v>
      </c>
      <c r="C55" s="22"/>
      <c r="D55" s="22"/>
      <c r="E55" s="22"/>
      <c r="F55" s="22"/>
    </row>
    <row r="56" spans="1:6">
      <c r="A56" s="25">
        <v>43891</v>
      </c>
      <c r="B56" s="26">
        <v>7</v>
      </c>
      <c r="C56" s="22"/>
      <c r="D56" s="22"/>
      <c r="E56" s="22"/>
      <c r="F56" s="22"/>
    </row>
    <row r="57" spans="1:6">
      <c r="A57" s="25">
        <v>43892</v>
      </c>
      <c r="B57" s="26">
        <v>8</v>
      </c>
      <c r="C57" s="22"/>
      <c r="D57" s="22"/>
      <c r="E57" s="22"/>
      <c r="F57" s="22"/>
    </row>
    <row r="58" spans="1:6">
      <c r="A58" s="25">
        <v>43893</v>
      </c>
      <c r="B58" s="26">
        <v>8</v>
      </c>
      <c r="C58" s="22"/>
      <c r="D58" s="22"/>
      <c r="E58" s="22"/>
      <c r="F58" s="22"/>
    </row>
    <row r="59" spans="1:6">
      <c r="A59" s="25">
        <v>43894</v>
      </c>
      <c r="B59" s="26">
        <v>8</v>
      </c>
      <c r="C59" s="22"/>
      <c r="D59" s="22"/>
      <c r="E59" s="22"/>
      <c r="F59" s="22"/>
    </row>
    <row r="60" spans="1:6">
      <c r="A60" s="25">
        <v>43895</v>
      </c>
      <c r="B60" s="26">
        <v>8</v>
      </c>
      <c r="C60" s="22"/>
      <c r="D60" s="22"/>
      <c r="E60" s="22"/>
      <c r="F60" s="22"/>
    </row>
    <row r="61" spans="1:6">
      <c r="A61" s="25">
        <v>43896</v>
      </c>
      <c r="B61" s="26">
        <v>8</v>
      </c>
      <c r="C61" s="22"/>
      <c r="D61" s="22"/>
      <c r="E61" s="22"/>
      <c r="F61" s="22"/>
    </row>
    <row r="62" spans="1:6">
      <c r="A62" s="25">
        <v>43897</v>
      </c>
      <c r="B62" s="26">
        <v>8</v>
      </c>
      <c r="C62" s="22"/>
      <c r="D62" s="22"/>
      <c r="E62" s="22"/>
      <c r="F62" s="22"/>
    </row>
    <row r="63" spans="1:6">
      <c r="A63" s="25">
        <v>43898</v>
      </c>
      <c r="B63" s="26">
        <v>8</v>
      </c>
      <c r="C63" s="22"/>
      <c r="D63" s="22"/>
      <c r="E63" s="22"/>
      <c r="F63" s="22"/>
    </row>
    <row r="64" spans="1:6">
      <c r="A64" s="25">
        <v>43899</v>
      </c>
      <c r="B64" s="26">
        <v>9</v>
      </c>
      <c r="C64" s="22"/>
      <c r="D64" s="22"/>
      <c r="E64" s="22"/>
      <c r="F64" s="22"/>
    </row>
    <row r="65" spans="1:6">
      <c r="A65" s="25">
        <v>43900</v>
      </c>
      <c r="B65" s="26">
        <v>9</v>
      </c>
      <c r="C65" s="22"/>
      <c r="D65" s="22"/>
      <c r="E65" s="22"/>
      <c r="F65" s="22"/>
    </row>
    <row r="66" spans="1:6">
      <c r="A66" s="25">
        <v>43901</v>
      </c>
      <c r="B66" s="26">
        <v>9</v>
      </c>
      <c r="C66" s="22"/>
      <c r="D66" s="22"/>
      <c r="E66" s="22"/>
      <c r="F66" s="22"/>
    </row>
    <row r="67" spans="1:6">
      <c r="A67" s="25">
        <v>43902</v>
      </c>
      <c r="B67" s="26">
        <v>9</v>
      </c>
      <c r="C67" s="22"/>
      <c r="D67" s="22"/>
      <c r="E67" s="22"/>
      <c r="F67" s="22"/>
    </row>
    <row r="68" spans="1:6">
      <c r="A68" s="25">
        <v>43903</v>
      </c>
      <c r="B68" s="26">
        <v>9</v>
      </c>
      <c r="C68" s="22"/>
      <c r="D68" s="22"/>
      <c r="E68" s="22"/>
      <c r="F68" s="22"/>
    </row>
    <row r="69" spans="1:6">
      <c r="A69" s="25">
        <v>43904</v>
      </c>
      <c r="B69" s="26">
        <v>9</v>
      </c>
      <c r="C69" s="22"/>
      <c r="D69" s="22"/>
      <c r="E69" s="22"/>
      <c r="F69" s="22"/>
    </row>
    <row r="70" spans="1:6">
      <c r="A70" s="25">
        <v>43905</v>
      </c>
      <c r="B70" s="26">
        <v>9</v>
      </c>
      <c r="C70" s="22"/>
      <c r="D70" s="22"/>
      <c r="E70" s="22"/>
      <c r="F70" s="22"/>
    </row>
    <row r="71" spans="1:6">
      <c r="A71" s="25">
        <v>43906</v>
      </c>
      <c r="B71" s="26">
        <v>10</v>
      </c>
      <c r="C71" s="22"/>
      <c r="D71" s="22"/>
      <c r="E71" s="22"/>
      <c r="F71" s="22"/>
    </row>
    <row r="72" spans="1:6">
      <c r="A72" s="25">
        <v>43907</v>
      </c>
      <c r="B72" s="26">
        <v>10</v>
      </c>
      <c r="C72" s="22"/>
      <c r="D72" s="22"/>
      <c r="E72" s="22"/>
      <c r="F72" s="22"/>
    </row>
    <row r="73" spans="1:6">
      <c r="A73" s="25">
        <v>43908</v>
      </c>
      <c r="B73" s="26">
        <v>10</v>
      </c>
      <c r="C73" s="22"/>
      <c r="D73" s="22"/>
      <c r="E73" s="22"/>
      <c r="F73" s="22"/>
    </row>
    <row r="74" spans="1:6">
      <c r="A74" s="25">
        <v>43909</v>
      </c>
      <c r="B74" s="26">
        <v>10</v>
      </c>
      <c r="C74" s="22"/>
      <c r="D74" s="22"/>
      <c r="E74" s="22"/>
      <c r="F74" s="22"/>
    </row>
    <row r="75" spans="1:6">
      <c r="A75" s="25">
        <v>43910</v>
      </c>
      <c r="B75" s="26">
        <v>10</v>
      </c>
      <c r="C75" s="22"/>
      <c r="D75" s="22"/>
      <c r="E75" s="22"/>
      <c r="F75" s="22"/>
    </row>
    <row r="76" spans="1:6">
      <c r="A76" s="25">
        <v>43911</v>
      </c>
      <c r="B76" s="26">
        <v>10</v>
      </c>
      <c r="C76" s="22"/>
      <c r="D76" s="22"/>
      <c r="E76" s="22"/>
      <c r="F76" s="22"/>
    </row>
    <row r="77" spans="1:6">
      <c r="A77" s="25">
        <v>43912</v>
      </c>
      <c r="B77" s="26">
        <v>10</v>
      </c>
      <c r="C77" s="22"/>
      <c r="D77" s="22"/>
      <c r="E77" s="22"/>
      <c r="F77" s="22"/>
    </row>
    <row r="78" spans="1:6">
      <c r="A78" s="25">
        <v>43913</v>
      </c>
      <c r="B78" s="26">
        <v>11</v>
      </c>
      <c r="C78" s="22"/>
      <c r="D78" s="22"/>
      <c r="E78" s="22"/>
      <c r="F78" s="22"/>
    </row>
    <row r="79" spans="1:6">
      <c r="A79" s="25">
        <v>43914</v>
      </c>
      <c r="B79" s="26">
        <v>11</v>
      </c>
      <c r="C79" s="22"/>
      <c r="D79" s="22"/>
      <c r="E79" s="22"/>
      <c r="F79" s="22"/>
    </row>
    <row r="80" spans="1:6">
      <c r="A80" s="25">
        <v>43915</v>
      </c>
      <c r="B80" s="26">
        <v>11</v>
      </c>
      <c r="C80" s="22"/>
      <c r="D80" s="22"/>
      <c r="E80" s="22"/>
      <c r="F80" s="22"/>
    </row>
    <row r="81" spans="1:7">
      <c r="A81" s="25">
        <v>43916</v>
      </c>
      <c r="B81" s="26">
        <v>11</v>
      </c>
      <c r="C81" s="32">
        <v>1</v>
      </c>
      <c r="D81" s="22"/>
      <c r="E81" s="22"/>
      <c r="F81" s="22"/>
      <c r="G81" s="20" t="s">
        <v>390</v>
      </c>
    </row>
    <row r="82" spans="1:7">
      <c r="A82" s="25">
        <v>43917</v>
      </c>
      <c r="B82" s="26">
        <v>11</v>
      </c>
      <c r="C82" s="22"/>
      <c r="D82" s="22"/>
      <c r="E82" s="22"/>
      <c r="F82" s="22"/>
    </row>
    <row r="83" spans="1:7">
      <c r="A83" s="25">
        <v>43918</v>
      </c>
      <c r="B83" s="26">
        <v>11</v>
      </c>
      <c r="C83" s="32">
        <v>2</v>
      </c>
      <c r="D83" s="22"/>
      <c r="E83" s="22"/>
      <c r="F83" s="22"/>
      <c r="G83" s="20" t="s">
        <v>391</v>
      </c>
    </row>
    <row r="84" spans="1:7">
      <c r="A84" s="25">
        <v>43919</v>
      </c>
      <c r="B84" s="26">
        <v>11</v>
      </c>
      <c r="C84" s="32">
        <v>5</v>
      </c>
      <c r="D84" s="22"/>
      <c r="E84" s="22"/>
      <c r="F84" s="22"/>
      <c r="G84" s="20" t="s">
        <v>390</v>
      </c>
    </row>
    <row r="85" spans="1:7">
      <c r="A85" s="25">
        <v>43920</v>
      </c>
      <c r="B85" s="26">
        <v>12</v>
      </c>
      <c r="C85" s="32">
        <v>9</v>
      </c>
      <c r="D85" s="22"/>
      <c r="E85" s="22"/>
      <c r="F85" s="22"/>
      <c r="G85" s="20" t="s">
        <v>392</v>
      </c>
    </row>
    <row r="86" spans="1:7">
      <c r="A86" s="25">
        <v>43921</v>
      </c>
      <c r="B86" s="26">
        <v>12</v>
      </c>
      <c r="C86" s="22">
        <v>10</v>
      </c>
      <c r="D86" s="22"/>
      <c r="E86" s="22"/>
      <c r="F86" s="22"/>
    </row>
    <row r="87" spans="1:7">
      <c r="A87" s="25">
        <v>43922</v>
      </c>
      <c r="B87" s="26">
        <v>12</v>
      </c>
      <c r="C87" s="22"/>
      <c r="D87" s="22"/>
      <c r="E87" s="22"/>
      <c r="F87" s="22"/>
    </row>
    <row r="88" spans="1:7">
      <c r="A88" s="25">
        <v>43923</v>
      </c>
      <c r="B88" s="26">
        <v>12</v>
      </c>
      <c r="C88" s="32">
        <v>4</v>
      </c>
      <c r="D88" s="22"/>
      <c r="E88" s="22"/>
      <c r="F88" s="22"/>
      <c r="G88" s="20" t="s">
        <v>392</v>
      </c>
    </row>
    <row r="89" spans="1:7">
      <c r="A89" s="25">
        <v>43924</v>
      </c>
      <c r="B89" s="26">
        <v>12</v>
      </c>
      <c r="C89" s="32">
        <v>4</v>
      </c>
      <c r="D89" s="22"/>
      <c r="E89" s="22"/>
      <c r="F89" s="22"/>
      <c r="G89" s="20" t="s">
        <v>392</v>
      </c>
    </row>
    <row r="90" spans="1:7">
      <c r="A90" s="25">
        <v>43925</v>
      </c>
      <c r="B90" s="26">
        <v>12</v>
      </c>
      <c r="C90" s="22"/>
      <c r="D90" s="22"/>
      <c r="E90" s="22"/>
      <c r="F90" s="22"/>
    </row>
    <row r="91" spans="1:7">
      <c r="A91" s="25">
        <v>43926</v>
      </c>
      <c r="B91" s="26">
        <v>12</v>
      </c>
      <c r="C91" s="22"/>
      <c r="D91" s="22"/>
      <c r="E91" s="22"/>
      <c r="F91" s="22"/>
    </row>
    <row r="92" spans="1:7">
      <c r="A92" s="25">
        <v>43927</v>
      </c>
      <c r="B92" s="26">
        <v>13</v>
      </c>
      <c r="C92" s="22"/>
      <c r="D92" s="22"/>
      <c r="E92" s="22"/>
      <c r="F92" s="22"/>
    </row>
    <row r="93" spans="1:7">
      <c r="A93" s="25">
        <v>43928</v>
      </c>
      <c r="B93" s="26">
        <v>13</v>
      </c>
      <c r="C93" s="22"/>
      <c r="D93" s="22"/>
      <c r="E93" s="22"/>
      <c r="F93" s="22"/>
    </row>
    <row r="94" spans="1:7">
      <c r="A94" s="25">
        <v>43929</v>
      </c>
      <c r="B94" s="26">
        <v>13</v>
      </c>
      <c r="C94" s="22"/>
      <c r="D94" s="22"/>
      <c r="E94" s="22"/>
      <c r="F94" s="22"/>
    </row>
    <row r="95" spans="1:7">
      <c r="A95" s="25">
        <v>43930</v>
      </c>
      <c r="B95" s="26">
        <v>13</v>
      </c>
      <c r="C95" s="22"/>
      <c r="D95" s="22"/>
      <c r="E95" s="22"/>
      <c r="F95" s="22"/>
    </row>
    <row r="96" spans="1:7">
      <c r="A96" s="25">
        <v>43931</v>
      </c>
      <c r="B96" s="26">
        <v>13</v>
      </c>
      <c r="C96" s="22"/>
      <c r="D96" s="22"/>
      <c r="E96" s="22"/>
      <c r="F96" s="22"/>
    </row>
    <row r="97" spans="1:6">
      <c r="A97" s="25">
        <v>43932</v>
      </c>
      <c r="B97" s="26">
        <v>13</v>
      </c>
      <c r="C97" s="22"/>
      <c r="D97" s="22"/>
      <c r="E97" s="22"/>
      <c r="F97" s="22"/>
    </row>
    <row r="98" spans="1:6">
      <c r="A98" s="25">
        <v>43933</v>
      </c>
      <c r="B98" s="26">
        <v>13</v>
      </c>
      <c r="C98" s="22"/>
      <c r="D98" s="22"/>
      <c r="E98" s="22"/>
      <c r="F98" s="22"/>
    </row>
    <row r="99" spans="1:6">
      <c r="A99" s="25">
        <v>43934</v>
      </c>
      <c r="B99" s="26">
        <v>14</v>
      </c>
      <c r="C99" s="22"/>
      <c r="D99" s="22"/>
      <c r="E99" s="22"/>
      <c r="F99" s="22"/>
    </row>
    <row r="100" spans="1:6">
      <c r="A100" s="25">
        <v>43935</v>
      </c>
      <c r="B100" s="26">
        <v>14</v>
      </c>
      <c r="C100" s="22"/>
      <c r="D100" s="22"/>
      <c r="E100" s="22"/>
      <c r="F100" s="22"/>
    </row>
    <row r="101" spans="1:6">
      <c r="A101" s="25">
        <v>43936</v>
      </c>
      <c r="B101" s="26">
        <v>14</v>
      </c>
      <c r="C101" s="22"/>
      <c r="D101" s="22"/>
      <c r="E101" s="22"/>
      <c r="F101" s="22"/>
    </row>
    <row r="102" spans="1:6">
      <c r="A102" s="25">
        <v>43937</v>
      </c>
      <c r="B102" s="26">
        <v>14</v>
      </c>
      <c r="C102" s="22"/>
      <c r="D102" s="22"/>
      <c r="E102" s="22"/>
      <c r="F102" s="22"/>
    </row>
    <row r="103" spans="1:6">
      <c r="A103" s="25">
        <v>43938</v>
      </c>
      <c r="B103" s="26">
        <v>14</v>
      </c>
      <c r="C103" s="22"/>
      <c r="D103" s="22"/>
      <c r="E103" s="22"/>
      <c r="F103" s="22"/>
    </row>
    <row r="104" spans="1:6">
      <c r="A104" s="25">
        <v>43939</v>
      </c>
      <c r="B104" s="26">
        <v>14</v>
      </c>
      <c r="C104" s="22"/>
      <c r="D104" s="22"/>
      <c r="E104" s="22"/>
      <c r="F104" s="22"/>
    </row>
    <row r="105" spans="1:6">
      <c r="A105" s="25">
        <v>43940</v>
      </c>
      <c r="B105" s="26">
        <v>14</v>
      </c>
      <c r="C105" s="22"/>
      <c r="D105" s="22"/>
      <c r="E105" s="22"/>
      <c r="F105" s="22"/>
    </row>
    <row r="106" spans="1:6">
      <c r="A106" s="25">
        <v>43941</v>
      </c>
      <c r="B106" s="26">
        <v>15</v>
      </c>
      <c r="C106" s="22"/>
      <c r="D106" s="22"/>
      <c r="E106" s="22"/>
      <c r="F106" s="22"/>
    </row>
    <row r="107" spans="1:6">
      <c r="A107" s="25">
        <v>43942</v>
      </c>
      <c r="B107" s="26">
        <v>15</v>
      </c>
      <c r="C107" s="22"/>
      <c r="D107" s="22"/>
      <c r="E107" s="22"/>
      <c r="F107" s="22"/>
    </row>
    <row r="108" spans="1:6">
      <c r="A108" s="25">
        <v>43943</v>
      </c>
      <c r="B108" s="26">
        <v>15</v>
      </c>
      <c r="C108" s="22"/>
      <c r="D108" s="22"/>
      <c r="E108" s="22"/>
      <c r="F108" s="22"/>
    </row>
    <row r="109" spans="1:6">
      <c r="A109" s="25">
        <v>43944</v>
      </c>
      <c r="B109" s="26">
        <v>15</v>
      </c>
      <c r="C109" s="22"/>
      <c r="D109" s="22"/>
      <c r="E109" s="22"/>
      <c r="F109" s="22"/>
    </row>
    <row r="110" spans="1:6">
      <c r="A110" s="25">
        <v>43945</v>
      </c>
      <c r="B110" s="26">
        <v>15</v>
      </c>
      <c r="C110" s="22"/>
      <c r="D110" s="22"/>
      <c r="E110" s="22"/>
      <c r="F110" s="22"/>
    </row>
    <row r="111" spans="1:6">
      <c r="A111" s="25">
        <v>43946</v>
      </c>
      <c r="B111" s="26">
        <v>15</v>
      </c>
      <c r="C111" s="22"/>
      <c r="D111" s="22"/>
      <c r="E111" s="22"/>
      <c r="F111" s="22"/>
    </row>
    <row r="112" spans="1:6">
      <c r="A112" s="25">
        <v>43947</v>
      </c>
      <c r="B112" s="26">
        <v>15</v>
      </c>
      <c r="C112" s="22"/>
      <c r="D112" s="22"/>
      <c r="E112" s="22"/>
      <c r="F112" s="22"/>
    </row>
    <row r="113" spans="1:7">
      <c r="A113" s="25">
        <v>43948</v>
      </c>
      <c r="B113" s="26">
        <v>16</v>
      </c>
      <c r="C113" s="22"/>
      <c r="D113" s="22"/>
      <c r="E113" s="22"/>
      <c r="F113" s="22"/>
    </row>
    <row r="114" spans="1:7">
      <c r="A114" s="25">
        <v>43949</v>
      </c>
      <c r="B114" s="26">
        <v>16</v>
      </c>
      <c r="C114" s="22"/>
      <c r="D114" s="22"/>
      <c r="E114" s="22"/>
      <c r="F114" s="22"/>
    </row>
    <row r="115" spans="1:7">
      <c r="A115" s="25">
        <v>43950</v>
      </c>
      <c r="B115" s="26">
        <v>16</v>
      </c>
      <c r="C115" s="22"/>
      <c r="D115" s="22"/>
      <c r="E115" s="22"/>
      <c r="F115" s="22"/>
    </row>
    <row r="116" spans="1:7">
      <c r="A116" s="25">
        <v>43951</v>
      </c>
      <c r="B116" s="26">
        <v>16</v>
      </c>
      <c r="C116" s="22"/>
      <c r="D116" s="22"/>
      <c r="E116" s="22"/>
      <c r="F116" s="22"/>
    </row>
    <row r="117" spans="1:7">
      <c r="A117" s="25">
        <v>43952</v>
      </c>
      <c r="B117" s="26">
        <v>16</v>
      </c>
      <c r="C117" s="22"/>
      <c r="D117" s="22"/>
      <c r="E117" s="22"/>
      <c r="F117" s="22"/>
    </row>
    <row r="118" spans="1:7">
      <c r="A118" s="25">
        <v>43953</v>
      </c>
      <c r="B118" s="26">
        <v>16</v>
      </c>
      <c r="C118" s="22"/>
      <c r="D118" s="22"/>
      <c r="E118" s="22"/>
      <c r="F118" s="22"/>
    </row>
    <row r="119" spans="1:7">
      <c r="A119" s="25">
        <v>43954</v>
      </c>
      <c r="B119" s="26">
        <v>16</v>
      </c>
      <c r="C119" s="22"/>
      <c r="D119" s="22"/>
      <c r="E119" s="22"/>
      <c r="F119" s="22"/>
    </row>
    <row r="120" spans="1:7">
      <c r="A120" s="25">
        <v>43955</v>
      </c>
      <c r="B120" s="26">
        <v>17</v>
      </c>
      <c r="C120" s="22"/>
      <c r="D120" s="22"/>
      <c r="E120" s="22"/>
      <c r="F120" s="22"/>
    </row>
    <row r="121" spans="1:7">
      <c r="A121" s="25">
        <v>43956</v>
      </c>
      <c r="B121" s="26">
        <v>17</v>
      </c>
      <c r="C121" s="22"/>
      <c r="D121" s="22"/>
      <c r="E121" s="22"/>
      <c r="F121" s="22"/>
    </row>
    <row r="122" spans="1:7">
      <c r="A122" s="25">
        <v>43957</v>
      </c>
      <c r="B122" s="26">
        <v>17</v>
      </c>
      <c r="C122" s="22"/>
      <c r="D122" s="22"/>
      <c r="E122" s="22"/>
      <c r="F122" s="22"/>
    </row>
    <row r="123" spans="1:7">
      <c r="A123" s="25">
        <v>43958</v>
      </c>
      <c r="B123" s="26">
        <v>17</v>
      </c>
      <c r="C123" s="22"/>
      <c r="D123" s="22"/>
      <c r="E123" s="22"/>
      <c r="F123" s="22"/>
      <c r="G123" s="70"/>
    </row>
    <row r="124" spans="1:7">
      <c r="A124" s="25">
        <v>43959</v>
      </c>
      <c r="B124" s="26">
        <v>17</v>
      </c>
      <c r="C124" s="22"/>
      <c r="D124" s="22"/>
      <c r="E124" s="22"/>
      <c r="F124" s="22"/>
    </row>
    <row r="125" spans="1:7">
      <c r="A125" s="25">
        <v>43960</v>
      </c>
      <c r="B125" s="26">
        <v>17</v>
      </c>
      <c r="C125" s="22"/>
      <c r="D125" s="22"/>
      <c r="E125" s="22"/>
      <c r="F125" s="22"/>
    </row>
    <row r="126" spans="1:7">
      <c r="A126" s="25">
        <v>43961</v>
      </c>
      <c r="B126" s="26">
        <v>17</v>
      </c>
      <c r="C126" s="22"/>
      <c r="D126" s="22"/>
      <c r="E126" s="22"/>
      <c r="F126" s="22"/>
    </row>
    <row r="127" spans="1:7">
      <c r="A127" s="25">
        <v>43962</v>
      </c>
      <c r="B127" s="26">
        <v>18</v>
      </c>
      <c r="C127" s="22"/>
      <c r="D127" s="22"/>
      <c r="E127" s="22"/>
      <c r="F127" s="22"/>
    </row>
    <row r="128" spans="1:7">
      <c r="A128" s="25">
        <v>43963</v>
      </c>
      <c r="B128" s="26">
        <v>18</v>
      </c>
      <c r="C128" s="22"/>
      <c r="D128" s="22"/>
      <c r="E128" s="22"/>
      <c r="F128" s="22"/>
    </row>
    <row r="129" spans="1:6">
      <c r="A129" s="25">
        <v>43964</v>
      </c>
      <c r="B129" s="26">
        <v>18</v>
      </c>
      <c r="C129" s="22"/>
      <c r="D129" s="22"/>
      <c r="E129" s="22"/>
      <c r="F129" s="22"/>
    </row>
    <row r="130" spans="1:6">
      <c r="A130" s="25">
        <v>43965</v>
      </c>
      <c r="B130" s="26">
        <v>18</v>
      </c>
      <c r="C130" s="22"/>
      <c r="D130" s="22"/>
      <c r="E130" s="22"/>
      <c r="F130" s="22"/>
    </row>
    <row r="131" spans="1:6">
      <c r="A131" s="25">
        <v>43966</v>
      </c>
      <c r="B131" s="26">
        <v>18</v>
      </c>
      <c r="C131" s="22"/>
      <c r="D131" s="22"/>
      <c r="E131" s="22"/>
      <c r="F131" s="22"/>
    </row>
    <row r="132" spans="1:6">
      <c r="A132" s="25">
        <v>43967</v>
      </c>
      <c r="B132" s="26">
        <v>18</v>
      </c>
      <c r="C132" s="22"/>
      <c r="D132" s="22"/>
      <c r="E132" s="22"/>
      <c r="F132" s="22"/>
    </row>
    <row r="133" spans="1:6">
      <c r="A133" s="25">
        <v>43968</v>
      </c>
      <c r="B133" s="26">
        <v>18</v>
      </c>
      <c r="C133" s="22"/>
      <c r="D133" s="22"/>
      <c r="E133" s="22"/>
      <c r="F133" s="22"/>
    </row>
    <row r="134" spans="1:6">
      <c r="A134" s="25">
        <v>43969</v>
      </c>
      <c r="B134" s="26">
        <v>19</v>
      </c>
      <c r="C134" s="22"/>
      <c r="D134" s="22"/>
      <c r="E134" s="22"/>
      <c r="F134" s="22"/>
    </row>
    <row r="135" spans="1:6">
      <c r="A135" s="25">
        <v>43970</v>
      </c>
      <c r="B135" s="26">
        <v>19</v>
      </c>
      <c r="C135" s="22"/>
      <c r="D135" s="22"/>
      <c r="E135" s="22"/>
      <c r="F135" s="22"/>
    </row>
    <row r="136" spans="1:6">
      <c r="A136" s="25">
        <v>43971</v>
      </c>
      <c r="B136" s="26">
        <v>19</v>
      </c>
      <c r="C136" s="22"/>
      <c r="D136" s="22"/>
      <c r="E136" s="22"/>
      <c r="F136" s="22"/>
    </row>
    <row r="137" spans="1:6">
      <c r="A137" s="25">
        <v>43972</v>
      </c>
      <c r="B137" s="26">
        <v>19</v>
      </c>
      <c r="C137" s="22"/>
      <c r="D137" s="22"/>
      <c r="E137" s="22"/>
      <c r="F137" s="22"/>
    </row>
    <row r="138" spans="1:6">
      <c r="A138" s="25">
        <v>43973</v>
      </c>
      <c r="B138" s="26">
        <v>19</v>
      </c>
      <c r="C138" s="22"/>
      <c r="D138" s="22"/>
      <c r="E138" s="22"/>
      <c r="F138" s="22"/>
    </row>
    <row r="139" spans="1:6">
      <c r="A139" s="25">
        <v>43974</v>
      </c>
      <c r="B139" s="26">
        <v>19</v>
      </c>
      <c r="C139" s="22"/>
      <c r="D139" s="22"/>
      <c r="E139" s="22"/>
      <c r="F139" s="22"/>
    </row>
    <row r="140" spans="1:6">
      <c r="A140" s="25">
        <v>43975</v>
      </c>
      <c r="B140" s="26">
        <v>19</v>
      </c>
      <c r="C140" s="22"/>
      <c r="D140" s="22"/>
      <c r="E140" s="22"/>
      <c r="F140" s="22"/>
    </row>
    <row r="141" spans="1:6">
      <c r="A141" s="25">
        <v>43976</v>
      </c>
      <c r="B141" s="26">
        <v>20</v>
      </c>
      <c r="C141" s="22"/>
      <c r="D141" s="22"/>
      <c r="E141" s="22"/>
      <c r="F141" s="22"/>
    </row>
    <row r="142" spans="1:6">
      <c r="A142" s="25">
        <v>43977</v>
      </c>
      <c r="B142" s="26">
        <v>20</v>
      </c>
      <c r="C142" s="22"/>
      <c r="D142" s="22"/>
      <c r="E142" s="22"/>
      <c r="F142" s="22"/>
    </row>
    <row r="143" spans="1:6">
      <c r="A143" s="25">
        <v>43978</v>
      </c>
      <c r="B143" s="26">
        <v>20</v>
      </c>
      <c r="C143" s="22"/>
      <c r="D143" s="22"/>
      <c r="E143" s="22"/>
      <c r="F143" s="22"/>
    </row>
    <row r="144" spans="1:6">
      <c r="A144" s="25">
        <v>43979</v>
      </c>
      <c r="B144" s="26">
        <v>20</v>
      </c>
      <c r="C144" s="22"/>
      <c r="D144" s="22"/>
      <c r="E144" s="22"/>
      <c r="F144" s="22"/>
    </row>
    <row r="145" spans="1:6">
      <c r="A145" s="25">
        <v>43980</v>
      </c>
      <c r="B145" s="26">
        <v>20</v>
      </c>
      <c r="C145" s="22"/>
      <c r="D145" s="22"/>
      <c r="E145" s="22"/>
      <c r="F145" s="22"/>
    </row>
    <row r="146" spans="1:6">
      <c r="A146" s="25">
        <v>43981</v>
      </c>
      <c r="B146" s="26">
        <v>20</v>
      </c>
      <c r="C146" s="22"/>
      <c r="D146" s="22"/>
      <c r="E146" s="22"/>
      <c r="F146" s="22"/>
    </row>
    <row r="147" spans="1:6">
      <c r="A147" s="25">
        <v>43982</v>
      </c>
      <c r="B147" s="26">
        <v>20</v>
      </c>
      <c r="C147" s="22"/>
      <c r="D147" s="22"/>
      <c r="E147" s="22"/>
      <c r="F147" s="22"/>
    </row>
    <row r="148" spans="1:6">
      <c r="A148" s="25">
        <v>43983</v>
      </c>
      <c r="B148" s="26">
        <v>21</v>
      </c>
      <c r="C148" s="22"/>
      <c r="D148" s="22"/>
      <c r="E148" s="22"/>
      <c r="F148" s="22"/>
    </row>
    <row r="149" spans="1:6">
      <c r="A149" s="25">
        <v>43984</v>
      </c>
      <c r="B149" s="26">
        <v>21</v>
      </c>
      <c r="C149" s="22"/>
      <c r="D149" s="22"/>
      <c r="E149" s="22"/>
      <c r="F149" s="22"/>
    </row>
    <row r="150" spans="1:6">
      <c r="A150" s="25">
        <v>43985</v>
      </c>
      <c r="B150" s="26">
        <v>21</v>
      </c>
      <c r="C150" s="22"/>
      <c r="D150" s="22"/>
      <c r="E150" s="22"/>
      <c r="F150" s="22"/>
    </row>
    <row r="151" spans="1:6">
      <c r="A151" s="25">
        <v>43986</v>
      </c>
      <c r="B151" s="26">
        <v>21</v>
      </c>
      <c r="C151" s="22"/>
      <c r="D151" s="22"/>
      <c r="E151" s="22"/>
      <c r="F151" s="22"/>
    </row>
    <row r="152" spans="1:6">
      <c r="A152" s="25">
        <v>43987</v>
      </c>
      <c r="B152" s="26">
        <v>21</v>
      </c>
      <c r="C152" s="22"/>
      <c r="D152" s="22"/>
      <c r="E152" s="22"/>
      <c r="F152" s="22"/>
    </row>
    <row r="153" spans="1:6">
      <c r="A153" s="25">
        <v>43988</v>
      </c>
      <c r="B153" s="26">
        <v>21</v>
      </c>
      <c r="C153" s="22"/>
      <c r="D153" s="22"/>
      <c r="E153" s="22"/>
      <c r="F153" s="22"/>
    </row>
    <row r="154" spans="1:6">
      <c r="A154" s="25">
        <v>43989</v>
      </c>
      <c r="B154" s="26">
        <v>21</v>
      </c>
      <c r="C154" s="22"/>
      <c r="D154" s="22"/>
      <c r="E154" s="22"/>
      <c r="F154" s="22"/>
    </row>
    <row r="155" spans="1:6">
      <c r="A155" s="25">
        <v>43990</v>
      </c>
      <c r="B155" s="26">
        <v>22</v>
      </c>
      <c r="C155" s="22"/>
      <c r="D155" s="22"/>
      <c r="E155" s="22"/>
      <c r="F155" s="22"/>
    </row>
    <row r="156" spans="1:6">
      <c r="A156" s="25">
        <v>43991</v>
      </c>
      <c r="B156" s="26">
        <v>22</v>
      </c>
      <c r="C156" s="22"/>
      <c r="D156" s="22"/>
      <c r="E156" s="22"/>
      <c r="F156" s="22"/>
    </row>
    <row r="157" spans="1:6">
      <c r="A157" s="25">
        <v>43992</v>
      </c>
      <c r="B157" s="26">
        <v>22</v>
      </c>
      <c r="C157" s="22"/>
      <c r="D157" s="22"/>
      <c r="E157" s="22"/>
      <c r="F157" s="22"/>
    </row>
    <row r="158" spans="1:6">
      <c r="A158" s="25">
        <v>43993</v>
      </c>
      <c r="B158" s="26">
        <v>22</v>
      </c>
      <c r="C158" s="22"/>
      <c r="D158" s="22"/>
      <c r="E158" s="22"/>
      <c r="F158" s="22"/>
    </row>
    <row r="159" spans="1:6">
      <c r="A159" s="25">
        <v>43994</v>
      </c>
      <c r="B159" s="26">
        <v>22</v>
      </c>
      <c r="C159" s="22"/>
      <c r="D159" s="22"/>
      <c r="E159" s="22"/>
      <c r="F159" s="22"/>
    </row>
    <row r="160" spans="1:6">
      <c r="A160" s="25">
        <v>43995</v>
      </c>
      <c r="B160" s="26">
        <v>22</v>
      </c>
      <c r="C160" s="22"/>
      <c r="D160" s="22"/>
      <c r="E160" s="22"/>
      <c r="F160" s="22"/>
    </row>
    <row r="161" spans="1:6">
      <c r="A161" s="25">
        <v>43996</v>
      </c>
      <c r="B161" s="26">
        <v>22</v>
      </c>
      <c r="C161" s="22"/>
      <c r="D161" s="22"/>
      <c r="E161" s="22"/>
      <c r="F161" s="22"/>
    </row>
    <row r="162" spans="1:6">
      <c r="A162" s="25">
        <v>43997</v>
      </c>
      <c r="B162" s="26">
        <v>23</v>
      </c>
      <c r="C162" s="22"/>
      <c r="D162" s="22"/>
      <c r="E162" s="22"/>
      <c r="F162" s="22"/>
    </row>
    <row r="163" spans="1:6">
      <c r="A163" s="25">
        <v>43998</v>
      </c>
      <c r="B163" s="26">
        <v>23</v>
      </c>
      <c r="C163" s="22"/>
      <c r="D163" s="22"/>
      <c r="E163" s="22"/>
      <c r="F163" s="22"/>
    </row>
    <row r="164" spans="1:6">
      <c r="A164" s="25">
        <v>43999</v>
      </c>
      <c r="B164" s="26">
        <v>23</v>
      </c>
      <c r="C164" s="22"/>
      <c r="D164" s="22"/>
      <c r="E164" s="22"/>
      <c r="F164" s="22"/>
    </row>
    <row r="165" spans="1:6">
      <c r="A165" s="25">
        <v>44000</v>
      </c>
      <c r="B165" s="26">
        <v>23</v>
      </c>
      <c r="C165" s="22"/>
      <c r="D165" s="22"/>
      <c r="E165" s="22"/>
      <c r="F165" s="22"/>
    </row>
    <row r="166" spans="1:6">
      <c r="A166" s="25">
        <v>44001</v>
      </c>
      <c r="B166" s="26">
        <v>23</v>
      </c>
      <c r="C166" s="22"/>
      <c r="D166" s="22"/>
      <c r="E166" s="22"/>
      <c r="F166" s="22"/>
    </row>
    <row r="167" spans="1:6">
      <c r="A167" s="25">
        <v>44002</v>
      </c>
      <c r="B167" s="26">
        <v>23</v>
      </c>
      <c r="C167" s="22"/>
      <c r="D167" s="22"/>
      <c r="E167" s="22"/>
      <c r="F167" s="22"/>
    </row>
    <row r="168" spans="1:6">
      <c r="A168" s="25">
        <v>44003</v>
      </c>
      <c r="B168" s="26">
        <v>23</v>
      </c>
      <c r="C168" s="22"/>
      <c r="D168" s="22"/>
      <c r="E168" s="22"/>
      <c r="F168" s="22"/>
    </row>
    <row r="169" spans="1:6">
      <c r="A169" s="25">
        <v>44004</v>
      </c>
      <c r="B169" s="26">
        <v>24</v>
      </c>
      <c r="C169" s="22"/>
      <c r="D169" s="22"/>
      <c r="E169" s="22"/>
      <c r="F169" s="22"/>
    </row>
    <row r="170" spans="1:6">
      <c r="A170" s="25">
        <v>44005</v>
      </c>
      <c r="B170" s="26">
        <v>24</v>
      </c>
      <c r="C170" s="22"/>
      <c r="D170" s="22"/>
      <c r="E170" s="22"/>
      <c r="F170" s="22"/>
    </row>
    <row r="171" spans="1:6">
      <c r="A171" s="25">
        <v>44006</v>
      </c>
      <c r="B171" s="26">
        <v>24</v>
      </c>
      <c r="C171" s="22"/>
      <c r="D171" s="22"/>
      <c r="E171" s="22"/>
      <c r="F171" s="22"/>
    </row>
    <row r="172" spans="1:6">
      <c r="A172" s="25">
        <v>44007</v>
      </c>
      <c r="B172" s="26">
        <v>24</v>
      </c>
      <c r="C172" s="22"/>
      <c r="D172" s="22"/>
      <c r="E172" s="22"/>
      <c r="F172" s="22"/>
    </row>
    <row r="173" spans="1:6">
      <c r="A173" s="25">
        <v>44008</v>
      </c>
      <c r="B173" s="26">
        <v>24</v>
      </c>
      <c r="C173" s="22"/>
      <c r="D173" s="22"/>
      <c r="E173" s="22"/>
      <c r="F173" s="22"/>
    </row>
    <row r="174" spans="1:6">
      <c r="A174" s="25">
        <v>44009</v>
      </c>
      <c r="B174" s="26">
        <v>24</v>
      </c>
      <c r="C174" s="22"/>
      <c r="D174" s="22"/>
      <c r="E174" s="22"/>
      <c r="F174" s="22"/>
    </row>
    <row r="175" spans="1:6">
      <c r="A175" s="25">
        <v>44010</v>
      </c>
      <c r="B175" s="26">
        <v>24</v>
      </c>
      <c r="C175" s="22"/>
      <c r="D175" s="22"/>
      <c r="E175" s="22"/>
      <c r="F175" s="22"/>
    </row>
    <row r="176" spans="1:6">
      <c r="A176" s="25">
        <v>44011</v>
      </c>
      <c r="B176" s="26">
        <v>25</v>
      </c>
      <c r="C176" s="22"/>
      <c r="D176" s="22"/>
      <c r="E176" s="22"/>
      <c r="F176" s="22"/>
    </row>
    <row r="177" spans="1:6">
      <c r="A177" s="25">
        <v>44012</v>
      </c>
      <c r="B177" s="26">
        <v>25</v>
      </c>
      <c r="C177" s="22"/>
      <c r="D177" s="22"/>
      <c r="E177" s="22"/>
      <c r="F177" s="22"/>
    </row>
    <row r="178" spans="1:6">
      <c r="A178" s="25">
        <v>44013</v>
      </c>
      <c r="B178" s="26">
        <v>25</v>
      </c>
      <c r="C178" s="22"/>
      <c r="D178" s="22"/>
      <c r="E178" s="22"/>
      <c r="F178" s="22"/>
    </row>
    <row r="179" spans="1:6">
      <c r="A179" s="25">
        <v>44014</v>
      </c>
      <c r="B179" s="26">
        <v>25</v>
      </c>
      <c r="C179" s="22"/>
      <c r="D179" s="22"/>
      <c r="E179" s="22"/>
      <c r="F179" s="22"/>
    </row>
    <row r="180" spans="1:6">
      <c r="A180" s="25">
        <v>44015</v>
      </c>
      <c r="B180" s="26">
        <v>25</v>
      </c>
      <c r="C180" s="22"/>
      <c r="D180" s="22"/>
      <c r="E180" s="22"/>
      <c r="F180" s="22"/>
    </row>
    <row r="181" spans="1:6">
      <c r="A181" s="25">
        <v>44016</v>
      </c>
      <c r="B181" s="26">
        <v>25</v>
      </c>
      <c r="C181" s="22"/>
      <c r="D181" s="22"/>
      <c r="E181" s="22"/>
      <c r="F181" s="22"/>
    </row>
    <row r="182" spans="1:6">
      <c r="A182" s="25">
        <v>44017</v>
      </c>
      <c r="B182" s="26">
        <v>25</v>
      </c>
      <c r="C182" s="22"/>
      <c r="D182" s="22"/>
      <c r="E182" s="22"/>
      <c r="F182" s="22"/>
    </row>
    <row r="183" spans="1:6">
      <c r="A183" s="25">
        <v>44018</v>
      </c>
      <c r="B183" s="26">
        <v>26</v>
      </c>
      <c r="C183" s="22"/>
      <c r="D183" s="22"/>
      <c r="E183" s="22"/>
      <c r="F183" s="22"/>
    </row>
    <row r="184" spans="1:6">
      <c r="A184" s="25">
        <v>44019</v>
      </c>
      <c r="B184" s="26">
        <v>26</v>
      </c>
      <c r="C184" s="22"/>
      <c r="D184" s="22"/>
      <c r="E184" s="92"/>
      <c r="F184" s="22"/>
    </row>
    <row r="185" spans="1:6">
      <c r="A185" s="25">
        <v>44020</v>
      </c>
      <c r="B185" s="26">
        <v>26</v>
      </c>
      <c r="C185" s="22"/>
      <c r="D185" s="22"/>
      <c r="E185" s="92"/>
      <c r="F185" s="22"/>
    </row>
    <row r="186" spans="1:6">
      <c r="A186" s="25">
        <v>44021</v>
      </c>
      <c r="B186" s="26">
        <v>26</v>
      </c>
      <c r="C186" s="22"/>
      <c r="D186" s="22"/>
      <c r="E186" s="92"/>
      <c r="F186" s="22"/>
    </row>
    <row r="187" spans="1:6">
      <c r="A187" s="25">
        <v>44022</v>
      </c>
      <c r="B187" s="26">
        <v>26</v>
      </c>
      <c r="C187" s="22"/>
      <c r="D187" s="22"/>
      <c r="E187" s="92"/>
      <c r="F187" s="22"/>
    </row>
    <row r="188" spans="1:6">
      <c r="A188" s="25">
        <v>44023</v>
      </c>
      <c r="B188" s="26">
        <v>26</v>
      </c>
      <c r="C188" s="22"/>
      <c r="D188" s="22"/>
      <c r="E188" s="92"/>
      <c r="F188" s="22"/>
    </row>
    <row r="189" spans="1:6">
      <c r="A189" s="25">
        <v>44024</v>
      </c>
      <c r="B189" s="26">
        <v>26</v>
      </c>
      <c r="C189" s="22"/>
      <c r="D189" s="22"/>
      <c r="E189" s="92"/>
      <c r="F189" s="22"/>
    </row>
    <row r="190" spans="1:6">
      <c r="A190" s="25">
        <v>44025</v>
      </c>
      <c r="B190" s="26">
        <v>27</v>
      </c>
      <c r="C190" s="22"/>
      <c r="D190" s="22"/>
      <c r="E190" s="92"/>
      <c r="F190" s="22"/>
    </row>
    <row r="191" spans="1:6">
      <c r="A191" s="25">
        <v>44026</v>
      </c>
      <c r="B191" s="26">
        <v>27</v>
      </c>
      <c r="C191" s="22"/>
      <c r="D191" s="22"/>
      <c r="E191" s="22"/>
      <c r="F191" s="22"/>
    </row>
    <row r="192" spans="1:6">
      <c r="A192" s="25">
        <v>44027</v>
      </c>
      <c r="B192" s="26">
        <v>27</v>
      </c>
      <c r="C192" s="22"/>
      <c r="D192" s="22"/>
      <c r="E192" s="22"/>
      <c r="F192" s="22"/>
    </row>
    <row r="193" spans="1:6">
      <c r="A193" s="25">
        <v>44028</v>
      </c>
      <c r="B193" s="26">
        <v>27</v>
      </c>
      <c r="C193" s="22"/>
      <c r="D193" s="22"/>
      <c r="E193" s="22"/>
      <c r="F193" s="22"/>
    </row>
    <row r="194" spans="1:6">
      <c r="A194" s="25">
        <v>44029</v>
      </c>
      <c r="B194" s="26">
        <v>27</v>
      </c>
      <c r="C194" s="22"/>
      <c r="D194" s="22"/>
      <c r="E194" s="22"/>
      <c r="F194" s="22"/>
    </row>
    <row r="195" spans="1:6">
      <c r="A195" s="25">
        <v>44030</v>
      </c>
      <c r="B195" s="26">
        <v>27</v>
      </c>
      <c r="C195" s="22"/>
      <c r="D195" s="22"/>
      <c r="E195" s="22"/>
      <c r="F195" s="22"/>
    </row>
    <row r="196" spans="1:6">
      <c r="A196" s="25">
        <v>44031</v>
      </c>
      <c r="B196" s="26">
        <v>27</v>
      </c>
      <c r="C196" s="22"/>
      <c r="D196" s="22"/>
      <c r="E196" s="22"/>
      <c r="F196" s="22"/>
    </row>
    <row r="197" spans="1:6">
      <c r="A197" s="25">
        <v>44032</v>
      </c>
      <c r="B197" s="26">
        <v>28</v>
      </c>
      <c r="C197" s="22"/>
      <c r="D197" s="22"/>
      <c r="E197" s="22"/>
      <c r="F197" s="22"/>
    </row>
    <row r="198" spans="1:6">
      <c r="A198" s="25">
        <v>44033</v>
      </c>
      <c r="B198" s="26">
        <v>28</v>
      </c>
      <c r="C198" s="22"/>
      <c r="D198" s="22"/>
      <c r="E198" s="22"/>
      <c r="F198" s="22"/>
    </row>
    <row r="199" spans="1:6">
      <c r="A199" s="25">
        <v>44034</v>
      </c>
      <c r="B199" s="26">
        <v>28</v>
      </c>
      <c r="C199" s="22"/>
      <c r="D199" s="22"/>
      <c r="E199" s="22"/>
      <c r="F199" s="22"/>
    </row>
    <row r="200" spans="1:6">
      <c r="A200" s="25">
        <v>44035</v>
      </c>
      <c r="B200" s="26">
        <v>28</v>
      </c>
      <c r="C200" s="22"/>
      <c r="D200" s="22"/>
      <c r="E200" s="22"/>
      <c r="F200" s="22"/>
    </row>
    <row r="201" spans="1:6">
      <c r="A201" s="25">
        <v>44036</v>
      </c>
      <c r="B201" s="26">
        <v>28</v>
      </c>
      <c r="C201" s="22"/>
      <c r="D201" s="22"/>
      <c r="E201" s="22"/>
      <c r="F201" s="22"/>
    </row>
    <row r="202" spans="1:6">
      <c r="A202" s="25">
        <v>44037</v>
      </c>
      <c r="B202" s="26">
        <v>28</v>
      </c>
      <c r="C202" s="22"/>
      <c r="D202" s="22"/>
      <c r="E202" s="22"/>
      <c r="F202" s="22"/>
    </row>
    <row r="203" spans="1:6">
      <c r="A203" s="25">
        <v>44038</v>
      </c>
      <c r="B203" s="26">
        <v>28</v>
      </c>
      <c r="C203" s="22"/>
      <c r="D203" s="22"/>
      <c r="E203" s="22"/>
      <c r="F203" s="22"/>
    </row>
    <row r="204" spans="1:6">
      <c r="A204" s="25">
        <v>44039</v>
      </c>
      <c r="B204" s="26">
        <v>29</v>
      </c>
      <c r="C204" s="22"/>
      <c r="D204" s="22"/>
      <c r="E204" s="22"/>
      <c r="F204" s="22"/>
    </row>
    <row r="205" spans="1:6">
      <c r="A205" s="25">
        <v>44040</v>
      </c>
      <c r="B205" s="26">
        <v>29</v>
      </c>
      <c r="C205" s="22"/>
      <c r="D205" s="22"/>
      <c r="E205" s="22"/>
      <c r="F205" s="22"/>
    </row>
    <row r="206" spans="1:6">
      <c r="A206" s="25">
        <v>44041</v>
      </c>
      <c r="B206" s="26">
        <v>29</v>
      </c>
      <c r="C206" s="22"/>
      <c r="D206" s="22"/>
      <c r="E206" s="35"/>
      <c r="F206" s="22"/>
    </row>
    <row r="207" spans="1:6">
      <c r="A207" s="25">
        <v>44042</v>
      </c>
      <c r="B207" s="26">
        <v>29</v>
      </c>
      <c r="C207" s="22"/>
      <c r="D207" s="22"/>
      <c r="E207" s="22"/>
      <c r="F207" s="22"/>
    </row>
    <row r="208" spans="1:6">
      <c r="A208" s="25">
        <v>44043</v>
      </c>
      <c r="B208" s="26">
        <v>29</v>
      </c>
      <c r="C208" s="22"/>
      <c r="D208" s="22"/>
      <c r="E208" s="22"/>
      <c r="F208" s="22"/>
    </row>
    <row r="209" spans="1:6">
      <c r="A209" s="25">
        <v>44044</v>
      </c>
      <c r="B209" s="26">
        <v>29</v>
      </c>
      <c r="C209" s="22"/>
      <c r="D209" s="22"/>
      <c r="E209" s="22"/>
      <c r="F209" s="22"/>
    </row>
    <row r="210" spans="1:6">
      <c r="A210" s="25">
        <v>44045</v>
      </c>
      <c r="B210" s="26">
        <v>29</v>
      </c>
      <c r="C210" s="22"/>
      <c r="D210" s="22"/>
      <c r="E210" s="22"/>
      <c r="F210" s="22"/>
    </row>
    <row r="211" spans="1:6">
      <c r="A211" s="25">
        <v>44046</v>
      </c>
      <c r="B211" s="26">
        <v>30</v>
      </c>
      <c r="C211" s="22"/>
      <c r="D211" s="22"/>
      <c r="E211" s="22"/>
      <c r="F211" s="22"/>
    </row>
    <row r="212" spans="1:6">
      <c r="A212" s="25">
        <v>44047</v>
      </c>
      <c r="B212" s="26">
        <v>30</v>
      </c>
      <c r="C212" s="22"/>
      <c r="D212" s="22"/>
      <c r="E212" s="22"/>
      <c r="F212" s="22"/>
    </row>
    <row r="213" spans="1:6">
      <c r="A213" s="25">
        <v>44048</v>
      </c>
      <c r="B213" s="26">
        <v>30</v>
      </c>
      <c r="C213" s="22"/>
      <c r="D213" s="22"/>
      <c r="E213" s="35"/>
      <c r="F213" s="22"/>
    </row>
    <row r="214" spans="1:6">
      <c r="A214" s="25">
        <v>44049</v>
      </c>
      <c r="B214" s="26">
        <v>30</v>
      </c>
      <c r="C214" s="22"/>
      <c r="D214" s="22"/>
      <c r="E214" s="22"/>
      <c r="F214" s="22"/>
    </row>
    <row r="215" spans="1:6">
      <c r="A215" s="25">
        <v>44050</v>
      </c>
      <c r="B215" s="26">
        <v>30</v>
      </c>
      <c r="C215" s="22"/>
      <c r="D215" s="22"/>
      <c r="E215" s="22"/>
      <c r="F215" s="22"/>
    </row>
    <row r="216" spans="1:6">
      <c r="A216" s="25">
        <v>44051</v>
      </c>
      <c r="B216" s="26">
        <v>30</v>
      </c>
      <c r="C216" s="22"/>
      <c r="D216" s="22"/>
      <c r="E216" s="22"/>
      <c r="F216" s="22"/>
    </row>
    <row r="217" spans="1:6">
      <c r="A217" s="25">
        <v>44052</v>
      </c>
      <c r="B217" s="26">
        <v>30</v>
      </c>
      <c r="C217" s="22"/>
      <c r="D217" s="22"/>
      <c r="E217" s="35"/>
      <c r="F217" s="22"/>
    </row>
    <row r="218" spans="1:6">
      <c r="A218" s="25">
        <v>44053</v>
      </c>
      <c r="B218" s="26">
        <v>31</v>
      </c>
      <c r="C218" s="22"/>
      <c r="D218" s="22"/>
      <c r="E218" s="35"/>
      <c r="F218" s="22"/>
    </row>
    <row r="219" spans="1:6">
      <c r="A219" s="25">
        <v>44054</v>
      </c>
      <c r="B219" s="26">
        <v>31</v>
      </c>
      <c r="C219" s="22"/>
      <c r="D219" s="22"/>
      <c r="E219" s="22"/>
      <c r="F219" s="22"/>
    </row>
    <row r="220" spans="1:6">
      <c r="A220" s="25">
        <v>44055</v>
      </c>
      <c r="B220" s="26">
        <v>31</v>
      </c>
      <c r="C220" s="22"/>
      <c r="D220" s="22"/>
      <c r="E220" s="22"/>
      <c r="F220" s="22"/>
    </row>
    <row r="221" spans="1:6">
      <c r="A221" s="25">
        <v>44056</v>
      </c>
      <c r="B221" s="26">
        <v>31</v>
      </c>
      <c r="C221" s="22"/>
      <c r="D221" s="22"/>
      <c r="E221" s="22"/>
      <c r="F221" s="22"/>
    </row>
    <row r="222" spans="1:6">
      <c r="A222" s="25">
        <v>44057</v>
      </c>
      <c r="B222" s="26">
        <v>31</v>
      </c>
      <c r="C222" s="22"/>
      <c r="D222" s="22"/>
      <c r="E222" s="22"/>
      <c r="F222" s="22"/>
    </row>
    <row r="223" spans="1:6">
      <c r="A223" s="25">
        <v>44058</v>
      </c>
      <c r="B223" s="26">
        <v>31</v>
      </c>
      <c r="C223" s="22"/>
      <c r="D223" s="22"/>
      <c r="E223" s="22"/>
      <c r="F223" s="22"/>
    </row>
    <row r="224" spans="1:6">
      <c r="A224" s="25">
        <v>44059</v>
      </c>
      <c r="B224" s="26">
        <v>31</v>
      </c>
      <c r="C224" s="22"/>
      <c r="D224" s="22"/>
      <c r="E224" s="22"/>
      <c r="F224" s="22"/>
    </row>
    <row r="225" spans="1:7">
      <c r="A225" s="25">
        <v>44060</v>
      </c>
      <c r="B225" s="26">
        <v>32</v>
      </c>
      <c r="C225" s="22"/>
      <c r="D225" s="22"/>
      <c r="E225" s="22"/>
      <c r="F225" s="22"/>
    </row>
    <row r="226" spans="1:7">
      <c r="A226" s="25">
        <v>44061</v>
      </c>
      <c r="B226" s="26">
        <v>32</v>
      </c>
      <c r="C226" s="22"/>
      <c r="D226" s="22"/>
      <c r="E226" s="22"/>
      <c r="F226" s="22"/>
    </row>
    <row r="227" spans="1:7">
      <c r="A227" s="25">
        <v>44062</v>
      </c>
      <c r="B227" s="26">
        <v>32</v>
      </c>
      <c r="C227" s="22"/>
      <c r="D227" s="22"/>
      <c r="E227" s="22"/>
      <c r="F227" s="22"/>
    </row>
    <row r="228" spans="1:7">
      <c r="A228" s="25">
        <v>44063</v>
      </c>
      <c r="B228" s="26">
        <v>32</v>
      </c>
      <c r="C228" s="22"/>
      <c r="D228" s="22"/>
      <c r="E228" s="22"/>
      <c r="F228" s="22"/>
    </row>
    <row r="229" spans="1:7">
      <c r="A229" s="25">
        <v>44064</v>
      </c>
      <c r="B229" s="26">
        <v>32</v>
      </c>
      <c r="C229" s="22"/>
      <c r="D229" s="22"/>
      <c r="E229" s="22"/>
      <c r="F229" s="22"/>
    </row>
    <row r="230" spans="1:7">
      <c r="A230" s="25">
        <v>44065</v>
      </c>
      <c r="B230" s="26">
        <v>32</v>
      </c>
      <c r="C230" s="22"/>
      <c r="D230" s="22"/>
      <c r="E230" s="22"/>
      <c r="F230" s="22"/>
    </row>
    <row r="231" spans="1:7">
      <c r="A231" s="25">
        <v>44066</v>
      </c>
      <c r="B231" s="26">
        <v>32</v>
      </c>
      <c r="C231" s="22"/>
      <c r="D231" s="22"/>
      <c r="E231" s="22"/>
      <c r="F231" s="22"/>
    </row>
    <row r="232" spans="1:7">
      <c r="A232" s="25">
        <v>44067</v>
      </c>
      <c r="B232" s="26">
        <v>33</v>
      </c>
      <c r="C232" s="22"/>
      <c r="D232" s="22"/>
      <c r="E232" s="22"/>
      <c r="F232" s="22"/>
      <c r="G232" s="70"/>
    </row>
    <row r="233" spans="1:7">
      <c r="A233" s="25">
        <v>44068</v>
      </c>
      <c r="B233" s="26">
        <v>33</v>
      </c>
      <c r="C233" s="22"/>
      <c r="D233" s="22"/>
      <c r="E233" s="22"/>
      <c r="F233" s="22"/>
    </row>
    <row r="234" spans="1:7">
      <c r="A234" s="25">
        <v>44069</v>
      </c>
      <c r="B234" s="26">
        <v>33</v>
      </c>
      <c r="C234" s="22"/>
      <c r="D234" s="22"/>
      <c r="E234" s="22"/>
      <c r="F234" s="22"/>
    </row>
    <row r="235" spans="1:7">
      <c r="A235" s="25">
        <v>44070</v>
      </c>
      <c r="B235" s="26">
        <v>33</v>
      </c>
      <c r="C235" s="22"/>
      <c r="D235" s="22"/>
      <c r="E235" s="22"/>
      <c r="F235" s="22"/>
    </row>
    <row r="236" spans="1:7">
      <c r="A236" s="25">
        <v>44071</v>
      </c>
      <c r="B236" s="26">
        <v>33</v>
      </c>
      <c r="C236" s="22"/>
      <c r="D236" s="22"/>
      <c r="E236" s="22"/>
      <c r="F236" s="22"/>
    </row>
    <row r="237" spans="1:7">
      <c r="A237" s="25">
        <v>44072</v>
      </c>
      <c r="B237" s="26">
        <v>33</v>
      </c>
      <c r="C237" s="22"/>
      <c r="D237" s="22"/>
      <c r="E237" s="22"/>
      <c r="F237" s="22"/>
    </row>
    <row r="238" spans="1:7">
      <c r="A238" s="25">
        <v>44073</v>
      </c>
      <c r="B238" s="26">
        <v>33</v>
      </c>
      <c r="C238" s="22"/>
      <c r="D238" s="22"/>
      <c r="E238" s="22"/>
      <c r="F238" s="22"/>
    </row>
    <row r="239" spans="1:7">
      <c r="A239" s="25">
        <v>44074</v>
      </c>
      <c r="B239" s="26">
        <v>34</v>
      </c>
      <c r="C239" s="22"/>
      <c r="D239" s="22"/>
      <c r="E239" s="22"/>
      <c r="F239" s="22"/>
    </row>
    <row r="240" spans="1:7">
      <c r="A240" s="25">
        <v>44075</v>
      </c>
      <c r="B240" s="26">
        <v>34</v>
      </c>
      <c r="C240" s="22"/>
      <c r="D240" s="22"/>
      <c r="E240" s="22"/>
      <c r="F240" s="22"/>
    </row>
    <row r="241" spans="1:6">
      <c r="A241" s="25">
        <v>44076</v>
      </c>
      <c r="B241" s="26">
        <v>34</v>
      </c>
      <c r="C241" s="22"/>
      <c r="D241" s="22"/>
      <c r="E241" s="22"/>
      <c r="F241" s="22"/>
    </row>
    <row r="242" spans="1:6">
      <c r="A242" s="25">
        <v>44077</v>
      </c>
      <c r="B242" s="26">
        <v>34</v>
      </c>
      <c r="C242" s="22"/>
      <c r="D242" s="22"/>
      <c r="E242" s="22"/>
      <c r="F242" s="22"/>
    </row>
    <row r="243" spans="1:6">
      <c r="A243" s="25">
        <v>44078</v>
      </c>
      <c r="B243" s="26">
        <v>34</v>
      </c>
      <c r="C243" s="22"/>
      <c r="D243" s="22"/>
      <c r="E243" s="22"/>
      <c r="F243" s="22"/>
    </row>
    <row r="244" spans="1:6">
      <c r="A244" s="25">
        <v>44079</v>
      </c>
      <c r="B244" s="26">
        <v>34</v>
      </c>
      <c r="C244" s="22"/>
      <c r="D244" s="22"/>
      <c r="E244" s="22"/>
      <c r="F244" s="22"/>
    </row>
    <row r="245" spans="1:6">
      <c r="A245" s="25">
        <v>44080</v>
      </c>
      <c r="B245" s="26">
        <v>34</v>
      </c>
      <c r="C245" s="22"/>
      <c r="D245" s="22"/>
      <c r="E245" s="22"/>
      <c r="F245" s="22"/>
    </row>
    <row r="246" spans="1:6">
      <c r="A246" s="25">
        <v>44081</v>
      </c>
      <c r="B246" s="26">
        <v>35</v>
      </c>
      <c r="C246" s="22"/>
      <c r="D246" s="22"/>
      <c r="E246" s="22"/>
      <c r="F246" s="22"/>
    </row>
    <row r="247" spans="1:6">
      <c r="A247" s="25">
        <v>44082</v>
      </c>
      <c r="B247" s="26">
        <v>35</v>
      </c>
      <c r="C247" s="22"/>
      <c r="D247" s="22"/>
      <c r="E247" s="22"/>
      <c r="F247" s="22"/>
    </row>
    <row r="248" spans="1:6">
      <c r="A248" s="25">
        <v>44083</v>
      </c>
      <c r="B248" s="26">
        <v>35</v>
      </c>
      <c r="C248" s="22"/>
      <c r="D248" s="22"/>
      <c r="E248" s="22"/>
      <c r="F248" s="22"/>
    </row>
    <row r="249" spans="1:6">
      <c r="A249" s="25">
        <v>44084</v>
      </c>
      <c r="B249" s="26">
        <v>35</v>
      </c>
      <c r="C249" s="22"/>
      <c r="D249" s="22"/>
      <c r="E249" s="22"/>
      <c r="F249" s="22"/>
    </row>
    <row r="250" spans="1:6">
      <c r="A250" s="25">
        <v>44085</v>
      </c>
      <c r="B250" s="26">
        <v>35</v>
      </c>
      <c r="C250" s="22"/>
      <c r="D250" s="22"/>
      <c r="E250" s="22"/>
      <c r="F250" s="22"/>
    </row>
    <row r="251" spans="1:6">
      <c r="A251" s="25">
        <v>44086</v>
      </c>
      <c r="B251" s="26">
        <v>35</v>
      </c>
      <c r="C251" s="22"/>
      <c r="D251" s="22"/>
      <c r="E251" s="22"/>
      <c r="F251" s="22"/>
    </row>
    <row r="252" spans="1:6">
      <c r="A252" s="25">
        <v>44087</v>
      </c>
      <c r="B252" s="26">
        <v>35</v>
      </c>
      <c r="C252" s="22"/>
      <c r="D252" s="22"/>
      <c r="E252" s="22"/>
      <c r="F252" s="22"/>
    </row>
    <row r="253" spans="1:6">
      <c r="A253" s="25">
        <v>44088</v>
      </c>
      <c r="B253" s="26">
        <v>36</v>
      </c>
      <c r="C253" s="22"/>
      <c r="D253" s="22"/>
      <c r="E253" s="22"/>
      <c r="F253" s="22"/>
    </row>
    <row r="254" spans="1:6">
      <c r="A254" s="25">
        <v>44089</v>
      </c>
      <c r="B254" s="26">
        <v>36</v>
      </c>
      <c r="C254" s="22"/>
      <c r="D254" s="22"/>
      <c r="E254" s="22"/>
      <c r="F254" s="22"/>
    </row>
    <row r="255" spans="1:6">
      <c r="A255" s="25">
        <v>44090</v>
      </c>
      <c r="B255" s="26">
        <v>36</v>
      </c>
      <c r="C255" s="22"/>
      <c r="D255" s="22"/>
      <c r="E255" s="22"/>
      <c r="F255" s="22"/>
    </row>
    <row r="256" spans="1:6">
      <c r="A256" s="25">
        <v>44091</v>
      </c>
      <c r="B256" s="26">
        <v>36</v>
      </c>
      <c r="C256" s="22"/>
      <c r="D256" s="22"/>
      <c r="E256" s="22"/>
      <c r="F256" s="22"/>
    </row>
    <row r="257" spans="1:6">
      <c r="A257" s="25">
        <v>44092</v>
      </c>
      <c r="B257" s="26">
        <v>36</v>
      </c>
      <c r="C257" s="22"/>
      <c r="D257" s="22"/>
      <c r="E257" s="22"/>
      <c r="F257" s="22"/>
    </row>
    <row r="258" spans="1:6">
      <c r="A258" s="25">
        <v>44093</v>
      </c>
      <c r="B258" s="26">
        <v>36</v>
      </c>
      <c r="C258" s="22"/>
      <c r="D258" s="22"/>
      <c r="E258" s="22"/>
      <c r="F258" s="22"/>
    </row>
    <row r="259" spans="1:6">
      <c r="A259" s="25">
        <v>44094</v>
      </c>
      <c r="B259" s="26">
        <v>36</v>
      </c>
      <c r="C259" s="22"/>
      <c r="D259" s="22"/>
      <c r="E259" s="22"/>
      <c r="F259" s="22"/>
    </row>
    <row r="260" spans="1:6">
      <c r="A260" s="25">
        <v>44095</v>
      </c>
      <c r="B260" s="26">
        <v>37</v>
      </c>
      <c r="C260" s="22"/>
      <c r="D260" s="22"/>
      <c r="E260" s="22"/>
      <c r="F260" s="22"/>
    </row>
    <row r="261" spans="1:6">
      <c r="A261" s="25">
        <v>44096</v>
      </c>
      <c r="B261" s="26">
        <v>37</v>
      </c>
      <c r="C261" s="22"/>
      <c r="D261" s="22"/>
      <c r="E261" s="22"/>
      <c r="F261" s="22"/>
    </row>
    <row r="262" spans="1:6">
      <c r="A262" s="25">
        <v>44097</v>
      </c>
      <c r="B262" s="26">
        <v>37</v>
      </c>
      <c r="C262" s="22"/>
      <c r="D262" s="22"/>
      <c r="E262" s="22"/>
      <c r="F262" s="22"/>
    </row>
    <row r="263" spans="1:6">
      <c r="A263" s="25">
        <v>44098</v>
      </c>
      <c r="B263" s="26">
        <v>37</v>
      </c>
      <c r="C263" s="22"/>
      <c r="D263" s="22"/>
      <c r="E263" s="22"/>
      <c r="F263" s="22"/>
    </row>
    <row r="264" spans="1:6">
      <c r="A264" s="25">
        <v>44099</v>
      </c>
      <c r="B264" s="26">
        <v>37</v>
      </c>
      <c r="C264" s="22"/>
      <c r="D264" s="22"/>
      <c r="E264" s="22"/>
      <c r="F264" s="22"/>
    </row>
    <row r="265" spans="1:6">
      <c r="A265" s="25">
        <v>44100</v>
      </c>
      <c r="B265" s="26">
        <v>37</v>
      </c>
      <c r="C265" s="22"/>
      <c r="D265" s="22"/>
      <c r="E265" s="22"/>
      <c r="F265" s="22"/>
    </row>
    <row r="266" spans="1:6">
      <c r="A266" s="25">
        <v>44101</v>
      </c>
      <c r="B266" s="26">
        <v>37</v>
      </c>
      <c r="C266" s="22"/>
      <c r="D266" s="22"/>
      <c r="E266" s="22"/>
      <c r="F266" s="22"/>
    </row>
    <row r="267" spans="1:6">
      <c r="A267" s="25">
        <v>44102</v>
      </c>
      <c r="B267" s="26">
        <v>38</v>
      </c>
      <c r="C267" s="22"/>
      <c r="D267" s="22"/>
      <c r="E267" s="22"/>
      <c r="F267" s="22"/>
    </row>
    <row r="268" spans="1:6">
      <c r="A268" s="25">
        <v>44103</v>
      </c>
      <c r="B268" s="26">
        <v>38</v>
      </c>
      <c r="C268" s="22"/>
      <c r="D268" s="22"/>
      <c r="E268" s="22"/>
      <c r="F268" s="22"/>
    </row>
    <row r="269" spans="1:6">
      <c r="A269" s="25">
        <v>44104</v>
      </c>
      <c r="B269" s="26">
        <v>38</v>
      </c>
      <c r="C269" s="22"/>
      <c r="D269" s="22"/>
      <c r="E269" s="22"/>
      <c r="F269" s="22"/>
    </row>
    <row r="270" spans="1:6">
      <c r="A270" s="25">
        <v>44105</v>
      </c>
      <c r="B270" s="26">
        <v>38</v>
      </c>
      <c r="C270" s="22"/>
      <c r="D270" s="22"/>
      <c r="E270" s="35"/>
      <c r="F270" s="22"/>
    </row>
    <row r="271" spans="1:6">
      <c r="A271" s="25">
        <v>44106</v>
      </c>
      <c r="B271" s="26">
        <v>38</v>
      </c>
      <c r="C271" s="22"/>
      <c r="D271" s="22"/>
      <c r="E271" s="22"/>
      <c r="F271" s="22"/>
    </row>
    <row r="272" spans="1:6">
      <c r="A272" s="25">
        <v>44107</v>
      </c>
      <c r="B272" s="26">
        <v>38</v>
      </c>
      <c r="C272" s="22"/>
      <c r="D272" s="22"/>
      <c r="E272" s="22"/>
      <c r="F272" s="22"/>
    </row>
    <row r="273" spans="1:6">
      <c r="A273" s="25">
        <v>44108</v>
      </c>
      <c r="B273" s="26">
        <v>38</v>
      </c>
      <c r="C273" s="22"/>
      <c r="D273" s="22"/>
      <c r="E273" s="22"/>
      <c r="F273" s="22"/>
    </row>
    <row r="274" spans="1:6">
      <c r="A274" s="25">
        <v>44109</v>
      </c>
      <c r="B274" s="26">
        <v>39</v>
      </c>
      <c r="C274" s="22"/>
      <c r="D274" s="22"/>
      <c r="E274" s="22"/>
      <c r="F274" s="22"/>
    </row>
    <row r="275" spans="1:6">
      <c r="A275" s="25">
        <v>44110</v>
      </c>
      <c r="B275" s="26">
        <v>39</v>
      </c>
      <c r="C275" s="22"/>
      <c r="D275" s="22"/>
      <c r="E275" s="22"/>
      <c r="F275" s="22"/>
    </row>
    <row r="276" spans="1:6">
      <c r="A276" s="25">
        <v>44111</v>
      </c>
      <c r="B276" s="26">
        <v>39</v>
      </c>
      <c r="C276" s="22"/>
      <c r="D276" s="22"/>
      <c r="E276" s="22"/>
      <c r="F276" s="22"/>
    </row>
    <row r="277" spans="1:6">
      <c r="A277" s="25">
        <v>44112</v>
      </c>
      <c r="B277" s="26">
        <v>39</v>
      </c>
      <c r="C277" s="22"/>
      <c r="D277" s="22"/>
      <c r="E277" s="22"/>
      <c r="F277" s="22"/>
    </row>
    <row r="278" spans="1:6">
      <c r="A278" s="25">
        <v>44113</v>
      </c>
      <c r="B278" s="26">
        <v>39</v>
      </c>
      <c r="C278" s="22"/>
      <c r="D278" s="22"/>
      <c r="E278" s="22"/>
      <c r="F278" s="22"/>
    </row>
    <row r="279" spans="1:6">
      <c r="A279" s="25">
        <v>44114</v>
      </c>
      <c r="B279" s="26">
        <v>39</v>
      </c>
      <c r="C279" s="22"/>
      <c r="D279" s="22"/>
      <c r="E279" s="22"/>
      <c r="F279" s="22"/>
    </row>
    <row r="280" spans="1:6">
      <c r="A280" s="25">
        <v>44115</v>
      </c>
      <c r="B280" s="26">
        <v>39</v>
      </c>
      <c r="C280" s="22"/>
      <c r="D280" s="22"/>
      <c r="E280" s="22"/>
      <c r="F280" s="22"/>
    </row>
    <row r="281" spans="1:6">
      <c r="A281" s="25">
        <v>44116</v>
      </c>
      <c r="B281" s="26">
        <v>40</v>
      </c>
      <c r="C281" s="22"/>
      <c r="D281" s="22"/>
      <c r="E281" s="22"/>
      <c r="F281" s="22"/>
    </row>
    <row r="282" spans="1:6">
      <c r="A282" s="25">
        <v>44117</v>
      </c>
      <c r="B282" s="26">
        <v>40</v>
      </c>
      <c r="C282" s="22"/>
      <c r="D282" s="22"/>
      <c r="E282" s="22"/>
      <c r="F282" s="22"/>
    </row>
    <row r="283" spans="1:6">
      <c r="A283" s="25">
        <v>44118</v>
      </c>
      <c r="B283" s="26">
        <v>40</v>
      </c>
      <c r="C283" s="22"/>
      <c r="D283" s="22"/>
      <c r="E283" s="22"/>
      <c r="F283" s="22"/>
    </row>
    <row r="284" spans="1:6">
      <c r="A284" s="25">
        <v>44119</v>
      </c>
      <c r="B284" s="26">
        <v>40</v>
      </c>
      <c r="C284" s="22"/>
      <c r="D284" s="22"/>
      <c r="E284" s="22"/>
      <c r="F284" s="22"/>
    </row>
    <row r="285" spans="1:6">
      <c r="A285" s="25">
        <v>44120</v>
      </c>
      <c r="B285" s="26">
        <v>40</v>
      </c>
      <c r="C285" s="22"/>
      <c r="D285" s="22"/>
      <c r="E285" s="22"/>
      <c r="F285" s="22"/>
    </row>
    <row r="286" spans="1:6">
      <c r="A286" s="25">
        <v>44121</v>
      </c>
      <c r="B286" s="26">
        <v>40</v>
      </c>
      <c r="C286" s="22"/>
      <c r="D286" s="22"/>
      <c r="E286" s="22"/>
      <c r="F286" s="22"/>
    </row>
    <row r="287" spans="1:6">
      <c r="A287" s="25">
        <v>44122</v>
      </c>
      <c r="B287" s="26">
        <v>40</v>
      </c>
      <c r="C287" s="22"/>
      <c r="D287" s="22"/>
      <c r="E287" s="22"/>
      <c r="F287" s="22"/>
    </row>
    <row r="288" spans="1:6">
      <c r="A288" s="25">
        <v>44123</v>
      </c>
      <c r="B288" s="26">
        <v>41</v>
      </c>
      <c r="C288" s="22"/>
      <c r="D288" s="22"/>
      <c r="E288" s="22"/>
      <c r="F288" s="22"/>
    </row>
    <row r="289" spans="1:6">
      <c r="A289" s="25">
        <v>44124</v>
      </c>
      <c r="B289" s="26">
        <v>41</v>
      </c>
      <c r="C289" s="22"/>
      <c r="D289" s="22"/>
      <c r="E289" s="35"/>
      <c r="F289" s="22"/>
    </row>
    <row r="290" spans="1:6">
      <c r="A290" s="25">
        <v>44125</v>
      </c>
      <c r="B290" s="26">
        <v>41</v>
      </c>
      <c r="C290" s="22"/>
      <c r="D290" s="22"/>
      <c r="E290" s="22"/>
      <c r="F290" s="22"/>
    </row>
    <row r="291" spans="1:6">
      <c r="A291" s="25">
        <v>44126</v>
      </c>
      <c r="B291" s="26">
        <v>41</v>
      </c>
      <c r="C291" s="22"/>
      <c r="D291" s="22"/>
      <c r="E291" s="22"/>
      <c r="F291" s="22"/>
    </row>
    <row r="292" spans="1:6">
      <c r="A292" s="25">
        <v>44127</v>
      </c>
      <c r="B292" s="26">
        <v>41</v>
      </c>
      <c r="C292" s="22"/>
      <c r="D292" s="22"/>
      <c r="E292" s="22"/>
      <c r="F292" s="22"/>
    </row>
    <row r="293" spans="1:6">
      <c r="A293" s="25">
        <v>44128</v>
      </c>
      <c r="B293" s="26">
        <v>41</v>
      </c>
      <c r="C293" s="22">
        <v>1</v>
      </c>
      <c r="D293" s="22"/>
      <c r="E293" s="22"/>
      <c r="F293" s="22"/>
    </row>
    <row r="294" spans="1:6">
      <c r="A294" s="25">
        <v>44129</v>
      </c>
      <c r="B294" s="26">
        <v>41</v>
      </c>
      <c r="C294" s="22"/>
      <c r="D294" s="22"/>
      <c r="E294" s="22"/>
      <c r="F294" s="22"/>
    </row>
    <row r="295" spans="1:6">
      <c r="A295" s="25">
        <v>44130</v>
      </c>
      <c r="B295" s="26">
        <v>42</v>
      </c>
      <c r="C295" s="22"/>
      <c r="D295" s="22"/>
      <c r="E295" s="22"/>
      <c r="F295" s="22"/>
    </row>
    <row r="296" spans="1:6">
      <c r="A296" s="25">
        <v>44131</v>
      </c>
      <c r="B296" s="26">
        <v>42</v>
      </c>
      <c r="C296" s="22"/>
      <c r="D296" s="22"/>
      <c r="E296" s="22"/>
      <c r="F296" s="22"/>
    </row>
    <row r="297" spans="1:6">
      <c r="A297" s="25">
        <v>44132</v>
      </c>
      <c r="B297" s="26">
        <v>42</v>
      </c>
      <c r="C297" s="22"/>
      <c r="D297" s="22"/>
      <c r="E297" s="22"/>
      <c r="F297" s="22"/>
    </row>
    <row r="298" spans="1:6">
      <c r="A298" s="25">
        <v>44133</v>
      </c>
      <c r="B298" s="26">
        <v>42</v>
      </c>
      <c r="C298" s="22"/>
      <c r="D298" s="22"/>
      <c r="E298" s="22"/>
      <c r="F298" s="22"/>
    </row>
    <row r="299" spans="1:6">
      <c r="A299" s="25">
        <v>44134</v>
      </c>
      <c r="B299" s="26">
        <v>42</v>
      </c>
      <c r="C299" s="22"/>
      <c r="D299" s="22"/>
      <c r="E299" s="22"/>
      <c r="F299" s="22"/>
    </row>
    <row r="300" spans="1:6">
      <c r="A300" s="25">
        <v>44135</v>
      </c>
      <c r="B300" s="26">
        <v>42</v>
      </c>
      <c r="C300" s="22"/>
      <c r="D300" s="22"/>
      <c r="E300" s="22"/>
      <c r="F300" s="22"/>
    </row>
    <row r="301" spans="1:6">
      <c r="A301" s="25">
        <v>44136</v>
      </c>
      <c r="B301" s="26">
        <v>42</v>
      </c>
      <c r="C301" s="22"/>
      <c r="D301" s="22"/>
      <c r="E301" s="22"/>
      <c r="F301" s="22"/>
    </row>
    <row r="302" spans="1:6">
      <c r="A302" s="25">
        <v>44137</v>
      </c>
      <c r="B302" s="26">
        <v>43</v>
      </c>
      <c r="C302" s="22"/>
      <c r="D302" s="22"/>
      <c r="E302" s="22"/>
      <c r="F302" s="22"/>
    </row>
    <row r="303" spans="1:6">
      <c r="A303" s="25">
        <v>44138</v>
      </c>
      <c r="B303" s="26">
        <v>43</v>
      </c>
      <c r="C303" s="22"/>
      <c r="D303" s="22"/>
      <c r="E303" s="35"/>
      <c r="F303" s="22"/>
    </row>
    <row r="304" spans="1:6">
      <c r="A304" s="25">
        <v>44139</v>
      </c>
      <c r="B304" s="26">
        <v>43</v>
      </c>
      <c r="C304" s="22"/>
      <c r="D304" s="22"/>
      <c r="E304" s="22"/>
      <c r="F304" s="22"/>
    </row>
    <row r="305" spans="1:6">
      <c r="A305" s="25">
        <v>44140</v>
      </c>
      <c r="B305" s="26">
        <v>43</v>
      </c>
      <c r="C305" s="22"/>
      <c r="D305" s="22"/>
      <c r="E305" s="22"/>
      <c r="F305" s="22"/>
    </row>
    <row r="306" spans="1:6">
      <c r="A306" s="25">
        <v>44141</v>
      </c>
      <c r="B306" s="26">
        <v>43</v>
      </c>
      <c r="C306" s="22"/>
      <c r="D306" s="22"/>
      <c r="E306" s="22"/>
      <c r="F306" s="22"/>
    </row>
    <row r="307" spans="1:6">
      <c r="A307" s="25">
        <v>44142</v>
      </c>
      <c r="B307" s="26">
        <v>43</v>
      </c>
      <c r="C307" s="22"/>
      <c r="D307" s="22"/>
      <c r="E307" s="93"/>
      <c r="F307" s="22"/>
    </row>
    <row r="308" spans="1:6">
      <c r="A308" s="25">
        <v>44143</v>
      </c>
      <c r="B308" s="26">
        <v>43</v>
      </c>
      <c r="C308" s="22"/>
      <c r="D308" s="22"/>
      <c r="E308" s="22"/>
      <c r="F308" s="22"/>
    </row>
    <row r="309" spans="1:6">
      <c r="A309" s="25">
        <v>44144</v>
      </c>
      <c r="B309" s="26">
        <v>44</v>
      </c>
      <c r="C309" s="22"/>
      <c r="D309" s="22"/>
      <c r="E309" s="22"/>
      <c r="F309" s="22"/>
    </row>
    <row r="310" spans="1:6">
      <c r="A310" s="25">
        <v>44145</v>
      </c>
      <c r="B310" s="26">
        <v>44</v>
      </c>
      <c r="C310" s="22"/>
      <c r="D310" s="22"/>
      <c r="E310" s="22"/>
      <c r="F310" s="22"/>
    </row>
    <row r="311" spans="1:6">
      <c r="A311" s="25">
        <v>44146</v>
      </c>
      <c r="B311" s="26">
        <v>44</v>
      </c>
      <c r="C311" s="22"/>
      <c r="D311" s="22"/>
      <c r="E311" s="22"/>
      <c r="F311" s="22"/>
    </row>
    <row r="312" spans="1:6">
      <c r="A312" s="25">
        <v>44147</v>
      </c>
      <c r="B312" s="26">
        <v>44</v>
      </c>
      <c r="C312" s="22"/>
      <c r="D312" s="22"/>
      <c r="E312" s="22"/>
      <c r="F312" s="22"/>
    </row>
    <row r="313" spans="1:6">
      <c r="A313" s="25">
        <v>44148</v>
      </c>
      <c r="B313" s="26">
        <v>44</v>
      </c>
      <c r="C313" s="22"/>
      <c r="D313" s="22"/>
      <c r="E313" s="22"/>
      <c r="F313" s="22"/>
    </row>
    <row r="314" spans="1:6">
      <c r="A314" s="25">
        <v>44149</v>
      </c>
      <c r="B314" s="26">
        <v>44</v>
      </c>
      <c r="C314" s="22"/>
      <c r="D314" s="22"/>
      <c r="E314" s="22"/>
      <c r="F314" s="22"/>
    </row>
    <row r="315" spans="1:6">
      <c r="A315" s="25">
        <v>44150</v>
      </c>
      <c r="B315" s="26">
        <v>44</v>
      </c>
      <c r="C315" s="22"/>
      <c r="D315" s="22"/>
      <c r="E315" s="22"/>
      <c r="F315" s="22"/>
    </row>
    <row r="316" spans="1:6">
      <c r="A316" s="25">
        <v>44151</v>
      </c>
      <c r="B316" s="26">
        <v>45</v>
      </c>
      <c r="C316" s="22">
        <v>2</v>
      </c>
      <c r="D316" s="22"/>
      <c r="E316" s="93"/>
      <c r="F316" s="22"/>
    </row>
    <row r="317" spans="1:6">
      <c r="A317" s="25">
        <v>44152</v>
      </c>
      <c r="B317" s="26">
        <v>45</v>
      </c>
      <c r="C317" s="22"/>
      <c r="D317" s="22"/>
      <c r="E317" s="35"/>
      <c r="F317" s="22"/>
    </row>
    <row r="318" spans="1:6">
      <c r="A318" s="25">
        <v>44153</v>
      </c>
      <c r="B318" s="26">
        <v>45</v>
      </c>
      <c r="C318" s="22"/>
      <c r="D318" s="22"/>
      <c r="E318" s="22"/>
      <c r="F318" s="22"/>
    </row>
    <row r="319" spans="1:6">
      <c r="A319" s="25">
        <v>44154</v>
      </c>
      <c r="B319" s="26">
        <v>45</v>
      </c>
      <c r="C319" s="22">
        <v>2</v>
      </c>
      <c r="D319" s="22"/>
      <c r="E319" s="22"/>
      <c r="F319" s="22"/>
    </row>
    <row r="320" spans="1:6">
      <c r="A320" s="25">
        <v>44155</v>
      </c>
      <c r="B320" s="26">
        <v>45</v>
      </c>
      <c r="C320" s="22"/>
      <c r="D320" s="22"/>
      <c r="E320" s="22"/>
      <c r="F320" s="22"/>
    </row>
    <row r="321" spans="1:6">
      <c r="A321" s="25">
        <v>44156</v>
      </c>
      <c r="B321" s="26">
        <v>45</v>
      </c>
      <c r="C321" s="22"/>
      <c r="D321" s="22"/>
      <c r="E321" s="22"/>
      <c r="F321" s="22"/>
    </row>
    <row r="322" spans="1:6">
      <c r="A322" s="25">
        <v>44157</v>
      </c>
      <c r="B322" s="26">
        <v>45</v>
      </c>
      <c r="C322" s="22"/>
      <c r="D322" s="22"/>
      <c r="E322" s="22"/>
      <c r="F322" s="22"/>
    </row>
    <row r="323" spans="1:6">
      <c r="A323" s="25">
        <v>44158</v>
      </c>
      <c r="B323" s="26">
        <v>46</v>
      </c>
      <c r="C323" s="22"/>
      <c r="D323" s="22"/>
      <c r="E323" s="22"/>
      <c r="F323" s="22"/>
    </row>
    <row r="324" spans="1:6">
      <c r="A324" s="25">
        <v>44159</v>
      </c>
      <c r="B324" s="26">
        <v>46</v>
      </c>
      <c r="C324" s="22"/>
      <c r="D324" s="22"/>
      <c r="E324" s="22"/>
      <c r="F324" s="22"/>
    </row>
    <row r="325" spans="1:6">
      <c r="A325" s="25">
        <v>44160</v>
      </c>
      <c r="B325" s="26">
        <v>46</v>
      </c>
      <c r="C325" s="22"/>
      <c r="D325" s="22"/>
      <c r="E325" s="22"/>
      <c r="F325" s="22"/>
    </row>
    <row r="326" spans="1:6">
      <c r="A326" s="25">
        <v>44161</v>
      </c>
      <c r="B326" s="26">
        <v>46</v>
      </c>
      <c r="C326" s="22"/>
      <c r="D326" s="22"/>
      <c r="E326" s="22"/>
      <c r="F326" s="22"/>
    </row>
    <row r="327" spans="1:6">
      <c r="A327" s="25">
        <v>44162</v>
      </c>
      <c r="B327" s="26">
        <v>46</v>
      </c>
      <c r="C327" s="22"/>
      <c r="D327" s="22"/>
      <c r="E327" s="22"/>
      <c r="F327" s="22"/>
    </row>
    <row r="328" spans="1:6">
      <c r="A328" s="25">
        <v>44163</v>
      </c>
      <c r="B328" s="26">
        <v>46</v>
      </c>
      <c r="C328" s="22"/>
      <c r="D328" s="22"/>
      <c r="E328" s="35"/>
      <c r="F328" s="22"/>
    </row>
    <row r="329" spans="1:6">
      <c r="A329" s="25">
        <v>44164</v>
      </c>
      <c r="B329" s="26">
        <v>46</v>
      </c>
      <c r="C329" s="22"/>
      <c r="D329" s="22"/>
      <c r="E329" s="22"/>
      <c r="F329" s="22"/>
    </row>
    <row r="330" spans="1:6">
      <c r="A330" s="25">
        <v>44165</v>
      </c>
      <c r="B330" s="26">
        <v>47</v>
      </c>
      <c r="C330" s="22"/>
      <c r="D330" s="22"/>
      <c r="E330" s="22"/>
      <c r="F330" s="22"/>
    </row>
    <row r="331" spans="1:6">
      <c r="A331" s="25">
        <v>44166</v>
      </c>
      <c r="B331" s="26">
        <v>47</v>
      </c>
      <c r="C331" s="22"/>
      <c r="D331" s="22"/>
      <c r="E331" s="22"/>
      <c r="F331" s="22"/>
    </row>
    <row r="332" spans="1:6">
      <c r="A332" s="25">
        <v>44167</v>
      </c>
      <c r="B332" s="26">
        <v>47</v>
      </c>
      <c r="C332" s="22"/>
      <c r="D332" s="22"/>
      <c r="E332" s="35"/>
      <c r="F332" s="22"/>
    </row>
    <row r="333" spans="1:6">
      <c r="A333" s="25">
        <v>44168</v>
      </c>
      <c r="B333" s="26">
        <v>47</v>
      </c>
      <c r="C333" s="22"/>
      <c r="D333" s="22"/>
      <c r="E333" s="22"/>
      <c r="F333" s="22"/>
    </row>
    <row r="334" spans="1:6">
      <c r="A334" s="25">
        <v>44169</v>
      </c>
      <c r="B334" s="26">
        <v>47</v>
      </c>
      <c r="C334" s="22"/>
      <c r="D334" s="22"/>
      <c r="E334" s="35"/>
      <c r="F334" s="22"/>
    </row>
    <row r="335" spans="1:6">
      <c r="A335" s="25">
        <v>44170</v>
      </c>
      <c r="B335" s="26">
        <v>47</v>
      </c>
      <c r="C335" s="22"/>
      <c r="D335" s="22"/>
      <c r="E335" s="22"/>
      <c r="F335" s="22"/>
    </row>
    <row r="336" spans="1:6">
      <c r="A336" s="25">
        <v>44171</v>
      </c>
      <c r="B336" s="26">
        <v>47</v>
      </c>
      <c r="C336" s="22"/>
      <c r="D336" s="22"/>
      <c r="E336" s="22"/>
      <c r="F336" s="22"/>
    </row>
    <row r="337" spans="1:6">
      <c r="A337" s="25">
        <v>44172</v>
      </c>
      <c r="B337" s="26">
        <v>48</v>
      </c>
      <c r="C337" s="22"/>
      <c r="D337" s="22"/>
      <c r="E337" s="22"/>
      <c r="F337" s="22"/>
    </row>
    <row r="338" spans="1:6">
      <c r="A338" s="25">
        <v>44173</v>
      </c>
      <c r="B338" s="26">
        <v>48</v>
      </c>
      <c r="C338" s="22"/>
      <c r="D338" s="22"/>
      <c r="E338" s="22"/>
      <c r="F338" s="22"/>
    </row>
    <row r="339" spans="1:6">
      <c r="A339" s="25">
        <v>44174</v>
      </c>
      <c r="B339" s="26">
        <v>48</v>
      </c>
      <c r="C339" s="22"/>
      <c r="D339" s="22"/>
      <c r="E339" s="22"/>
      <c r="F339" s="22"/>
    </row>
    <row r="340" spans="1:6">
      <c r="A340" s="25">
        <v>44175</v>
      </c>
      <c r="B340" s="26">
        <v>48</v>
      </c>
      <c r="C340" s="22"/>
      <c r="D340" s="22"/>
      <c r="E340" s="93"/>
      <c r="F340" s="22"/>
    </row>
    <row r="341" spans="1:6">
      <c r="A341" s="25">
        <v>44176</v>
      </c>
      <c r="B341" s="26">
        <v>48</v>
      </c>
      <c r="C341" s="22"/>
      <c r="D341" s="22"/>
      <c r="E341" s="22"/>
      <c r="F341" s="22"/>
    </row>
    <row r="342" spans="1:6">
      <c r="A342" s="25">
        <v>44177</v>
      </c>
      <c r="B342" s="26">
        <v>48</v>
      </c>
      <c r="C342" s="22"/>
      <c r="D342" s="22"/>
      <c r="E342" s="22"/>
      <c r="F342" s="22"/>
    </row>
    <row r="343" spans="1:6">
      <c r="A343" s="25">
        <v>44178</v>
      </c>
      <c r="B343" s="26">
        <v>48</v>
      </c>
      <c r="C343" s="22"/>
      <c r="D343" s="22"/>
      <c r="E343" s="22"/>
      <c r="F343" s="22"/>
    </row>
    <row r="344" spans="1:6">
      <c r="A344" s="25">
        <v>44179</v>
      </c>
      <c r="B344" s="26">
        <v>49</v>
      </c>
      <c r="C344" s="22">
        <v>1</v>
      </c>
      <c r="D344" s="22"/>
      <c r="E344" s="22"/>
      <c r="F344" s="22"/>
    </row>
    <row r="345" spans="1:6">
      <c r="A345" s="25">
        <v>44180</v>
      </c>
      <c r="B345" s="26">
        <v>49</v>
      </c>
      <c r="C345" s="22"/>
      <c r="D345" s="22"/>
      <c r="E345" s="22"/>
      <c r="F345" s="22"/>
    </row>
    <row r="346" spans="1:6">
      <c r="A346" s="25">
        <v>44181</v>
      </c>
      <c r="B346" s="26">
        <v>49</v>
      </c>
      <c r="C346" s="22"/>
      <c r="D346" s="22"/>
      <c r="E346" s="22"/>
      <c r="F346" s="22"/>
    </row>
    <row r="347" spans="1:6">
      <c r="A347" s="25">
        <v>44182</v>
      </c>
      <c r="B347" s="26">
        <v>49</v>
      </c>
      <c r="C347" s="22">
        <v>1</v>
      </c>
      <c r="D347" s="22"/>
      <c r="E347" s="22"/>
      <c r="F347" s="22"/>
    </row>
    <row r="348" spans="1:6">
      <c r="A348" s="25">
        <v>44183</v>
      </c>
      <c r="B348" s="26">
        <v>49</v>
      </c>
      <c r="C348" s="22"/>
      <c r="D348" s="22"/>
      <c r="E348" s="22"/>
      <c r="F348" s="22"/>
    </row>
    <row r="349" spans="1:6">
      <c r="A349" s="25">
        <v>44184</v>
      </c>
      <c r="B349" s="26">
        <v>49</v>
      </c>
      <c r="C349" s="22"/>
      <c r="D349" s="22"/>
      <c r="E349" s="22"/>
      <c r="F349" s="22"/>
    </row>
    <row r="350" spans="1:6">
      <c r="A350" s="25">
        <v>44185</v>
      </c>
      <c r="B350" s="26">
        <v>49</v>
      </c>
      <c r="C350" s="22"/>
      <c r="D350" s="22"/>
      <c r="E350" s="22"/>
      <c r="F350" s="22"/>
    </row>
    <row r="351" spans="1:6">
      <c r="A351" s="25">
        <v>44186</v>
      </c>
      <c r="B351" s="26">
        <v>50</v>
      </c>
      <c r="C351" s="22"/>
      <c r="D351" s="22"/>
      <c r="E351" s="22"/>
      <c r="F351" s="22"/>
    </row>
    <row r="352" spans="1:6">
      <c r="A352" s="25">
        <v>44187</v>
      </c>
      <c r="B352" s="26">
        <v>50</v>
      </c>
      <c r="C352" s="22"/>
      <c r="D352" s="22"/>
      <c r="E352" s="22"/>
      <c r="F352" s="22"/>
    </row>
    <row r="353" spans="1:7">
      <c r="A353" s="25">
        <v>44188</v>
      </c>
      <c r="B353" s="26">
        <v>50</v>
      </c>
      <c r="C353" s="22"/>
      <c r="D353" s="22"/>
      <c r="E353" s="35"/>
      <c r="F353" s="22"/>
    </row>
    <row r="354" spans="1:7">
      <c r="A354" s="25">
        <v>44189</v>
      </c>
      <c r="B354" s="26">
        <v>50</v>
      </c>
      <c r="C354" s="22"/>
      <c r="D354" s="22"/>
      <c r="E354" s="93"/>
      <c r="F354" s="22"/>
    </row>
    <row r="355" spans="1:7">
      <c r="A355" s="25">
        <v>44190</v>
      </c>
      <c r="B355" s="26">
        <v>50</v>
      </c>
      <c r="C355" s="22"/>
      <c r="D355" s="22"/>
      <c r="E355" s="22"/>
      <c r="F355" s="22"/>
    </row>
    <row r="356" spans="1:7">
      <c r="A356" s="25">
        <v>44191</v>
      </c>
      <c r="B356" s="26">
        <v>50</v>
      </c>
      <c r="C356" s="22"/>
      <c r="D356" s="22"/>
      <c r="E356" s="22"/>
      <c r="F356" s="22"/>
    </row>
    <row r="357" spans="1:7">
      <c r="A357" s="25">
        <v>44192</v>
      </c>
      <c r="B357" s="26">
        <v>50</v>
      </c>
      <c r="C357" s="22"/>
      <c r="D357" s="22"/>
      <c r="E357" s="22"/>
      <c r="F357" s="22"/>
    </row>
    <row r="358" spans="1:7">
      <c r="A358" s="25">
        <v>44193</v>
      </c>
      <c r="B358" s="26">
        <v>51</v>
      </c>
      <c r="C358" s="22"/>
      <c r="D358" s="22"/>
      <c r="E358" s="22"/>
      <c r="F358" s="22"/>
    </row>
    <row r="359" spans="1:7">
      <c r="A359" s="25">
        <v>44194</v>
      </c>
      <c r="B359" s="26">
        <v>51</v>
      </c>
      <c r="C359" s="22"/>
      <c r="D359" s="22"/>
      <c r="E359" s="22"/>
      <c r="F359" s="22"/>
    </row>
    <row r="360" spans="1:7">
      <c r="A360" s="25">
        <v>44195</v>
      </c>
      <c r="B360" s="26">
        <v>51</v>
      </c>
      <c r="C360" s="22"/>
      <c r="D360" s="22"/>
      <c r="E360" s="22"/>
      <c r="F360" s="22"/>
    </row>
    <row r="361" spans="1:7">
      <c r="A361" s="25">
        <v>44196</v>
      </c>
      <c r="B361" s="26">
        <v>51</v>
      </c>
      <c r="C361" s="22"/>
      <c r="D361" s="22"/>
      <c r="E361" s="22"/>
      <c r="F361" s="22"/>
    </row>
    <row r="362" spans="1:7">
      <c r="A362" s="25">
        <v>44197</v>
      </c>
      <c r="B362" s="26">
        <v>51</v>
      </c>
      <c r="C362" s="22"/>
      <c r="D362" s="22"/>
      <c r="E362" s="22"/>
      <c r="F362" s="22"/>
    </row>
    <row r="363" spans="1:7">
      <c r="A363" s="25">
        <v>44198</v>
      </c>
      <c r="B363" s="26">
        <v>51</v>
      </c>
      <c r="C363" s="22"/>
      <c r="D363" s="22"/>
      <c r="E363" s="22"/>
      <c r="F363" s="22"/>
    </row>
    <row r="364" spans="1:7">
      <c r="A364" s="25">
        <v>44199</v>
      </c>
      <c r="B364" s="26">
        <v>51</v>
      </c>
      <c r="C364" s="22"/>
      <c r="D364" s="22"/>
      <c r="E364" s="22"/>
      <c r="F364" s="22"/>
    </row>
    <row r="365" spans="1:7">
      <c r="A365" s="25">
        <v>44200</v>
      </c>
      <c r="B365" s="26">
        <v>1</v>
      </c>
      <c r="C365" s="22"/>
      <c r="D365" s="22"/>
      <c r="E365" s="22"/>
      <c r="F365" s="22"/>
    </row>
    <row r="366" spans="1:7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>
      <c r="A368" s="25">
        <v>44203</v>
      </c>
      <c r="B368" s="26">
        <v>1</v>
      </c>
      <c r="C368" s="22"/>
      <c r="D368" s="22"/>
      <c r="E368" s="22"/>
      <c r="F368" s="22"/>
      <c r="G368" s="126"/>
    </row>
    <row r="369" spans="1:7">
      <c r="A369" s="25">
        <v>44204</v>
      </c>
      <c r="B369" s="26">
        <v>1</v>
      </c>
      <c r="C369" s="22">
        <v>1</v>
      </c>
      <c r="D369" s="22"/>
      <c r="E369" s="22"/>
      <c r="F369" s="22"/>
    </row>
    <row r="370" spans="1:7">
      <c r="A370" s="25">
        <v>44205</v>
      </c>
      <c r="B370" s="26">
        <v>1</v>
      </c>
      <c r="C370" s="22">
        <v>1</v>
      </c>
      <c r="D370" s="22"/>
      <c r="E370" s="22"/>
      <c r="F370" s="22"/>
      <c r="G370" s="126"/>
    </row>
    <row r="371" spans="1:7">
      <c r="A371" s="25">
        <v>44206</v>
      </c>
      <c r="B371" s="26">
        <v>1</v>
      </c>
      <c r="C371" s="22"/>
      <c r="D371" s="22"/>
      <c r="E371" s="22"/>
      <c r="F371" s="22"/>
      <c r="G371" s="126"/>
    </row>
    <row r="372" spans="1:7">
      <c r="A372" s="25">
        <v>44207</v>
      </c>
      <c r="B372" s="26">
        <v>2</v>
      </c>
      <c r="C372" s="22"/>
      <c r="D372" s="22">
        <v>1</v>
      </c>
      <c r="E372" s="22"/>
      <c r="F372" s="22"/>
    </row>
    <row r="373" spans="1:7">
      <c r="A373" s="25">
        <v>44208</v>
      </c>
      <c r="B373" s="26">
        <v>2</v>
      </c>
      <c r="C373" s="22"/>
      <c r="D373" s="22"/>
      <c r="E373" s="22"/>
      <c r="F373" s="22"/>
    </row>
    <row r="374" spans="1:7">
      <c r="A374" s="25">
        <v>44209</v>
      </c>
      <c r="B374" s="26">
        <v>2</v>
      </c>
      <c r="C374" s="22">
        <v>1</v>
      </c>
      <c r="D374" s="22"/>
      <c r="E374" s="22"/>
      <c r="F374" s="35"/>
    </row>
    <row r="375" spans="1:7">
      <c r="A375" s="25">
        <v>44210</v>
      </c>
      <c r="B375" s="26">
        <v>2</v>
      </c>
      <c r="C375" s="22"/>
      <c r="D375" s="22"/>
      <c r="E375" s="22"/>
      <c r="F375" s="22"/>
    </row>
    <row r="376" spans="1:7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>
      <c r="A377" s="25">
        <v>44212</v>
      </c>
      <c r="B377" s="26">
        <v>2</v>
      </c>
      <c r="C377" s="22"/>
      <c r="D377" s="22"/>
      <c r="E377" s="22"/>
      <c r="F377" s="22"/>
      <c r="G377" s="126"/>
    </row>
    <row r="378" spans="1:7">
      <c r="A378" s="25">
        <v>44213</v>
      </c>
      <c r="B378" s="26">
        <v>2</v>
      </c>
      <c r="C378" s="22"/>
      <c r="D378" s="22"/>
      <c r="F378" s="22"/>
    </row>
    <row r="379" spans="1:7">
      <c r="A379" s="25">
        <v>44214</v>
      </c>
      <c r="B379" s="26">
        <v>3</v>
      </c>
      <c r="C379" s="22"/>
      <c r="D379" s="22"/>
      <c r="E379" s="22"/>
      <c r="F379" s="22"/>
    </row>
    <row r="380" spans="1:7">
      <c r="A380" s="25">
        <v>44215</v>
      </c>
      <c r="B380" s="26">
        <v>3</v>
      </c>
      <c r="C380" s="22"/>
      <c r="D380" s="22"/>
      <c r="E380" s="22"/>
      <c r="F380" s="22"/>
    </row>
    <row r="381" spans="1:7">
      <c r="A381" s="25">
        <v>44216</v>
      </c>
      <c r="B381" s="26">
        <v>3</v>
      </c>
      <c r="C381" s="22">
        <v>1</v>
      </c>
      <c r="D381" s="22"/>
      <c r="E381" s="22"/>
      <c r="F381" s="22"/>
    </row>
    <row r="382" spans="1:7">
      <c r="A382" s="25">
        <v>44217</v>
      </c>
      <c r="B382" s="26">
        <v>3</v>
      </c>
      <c r="C382" s="22"/>
      <c r="D382" s="22"/>
      <c r="E382" s="22"/>
      <c r="F382" s="22"/>
    </row>
    <row r="383" spans="1:7">
      <c r="A383" s="25">
        <v>44218</v>
      </c>
      <c r="B383" s="26">
        <v>3</v>
      </c>
      <c r="C383" s="22"/>
      <c r="D383" s="22"/>
      <c r="E383" s="22"/>
      <c r="F383" s="22"/>
    </row>
    <row r="384" spans="1:7">
      <c r="A384" s="25">
        <v>44219</v>
      </c>
      <c r="B384" s="26">
        <v>3</v>
      </c>
      <c r="C384" s="22"/>
      <c r="D384" s="22"/>
      <c r="E384" s="35"/>
      <c r="F384" s="22"/>
    </row>
    <row r="385" spans="1:7">
      <c r="A385" s="25">
        <v>44220</v>
      </c>
      <c r="B385" s="26">
        <v>3</v>
      </c>
      <c r="C385" s="22"/>
      <c r="D385" s="22"/>
      <c r="E385" s="22"/>
      <c r="F385" s="22"/>
    </row>
    <row r="386" spans="1:7">
      <c r="A386" s="25">
        <v>44221</v>
      </c>
      <c r="B386" s="26">
        <v>4</v>
      </c>
      <c r="C386" s="22"/>
      <c r="D386" s="22"/>
      <c r="E386" s="22"/>
      <c r="F386" s="22"/>
    </row>
    <row r="387" spans="1:7">
      <c r="A387" s="25">
        <v>44222</v>
      </c>
      <c r="B387" s="26">
        <v>4</v>
      </c>
      <c r="C387" s="22"/>
      <c r="D387" s="22"/>
      <c r="E387" s="22"/>
      <c r="F387" s="22"/>
    </row>
    <row r="388" spans="1:7">
      <c r="A388" s="25">
        <v>44223</v>
      </c>
      <c r="B388" s="26">
        <v>4</v>
      </c>
      <c r="C388" s="22"/>
      <c r="D388" s="22"/>
      <c r="E388" s="22"/>
      <c r="F388" s="22"/>
    </row>
    <row r="389" spans="1:7">
      <c r="A389" s="25">
        <v>44224</v>
      </c>
      <c r="B389" s="26">
        <v>4</v>
      </c>
      <c r="C389" s="22"/>
      <c r="D389" s="22"/>
      <c r="E389" s="22"/>
      <c r="F389" s="22"/>
    </row>
    <row r="390" spans="1:7">
      <c r="A390" s="25">
        <v>44225</v>
      </c>
      <c r="B390" s="26">
        <v>4</v>
      </c>
      <c r="C390" s="22"/>
      <c r="D390" s="22"/>
      <c r="E390" s="22"/>
      <c r="F390" s="22"/>
    </row>
    <row r="391" spans="1:7">
      <c r="A391" s="25">
        <v>44226</v>
      </c>
      <c r="B391" s="26">
        <v>4</v>
      </c>
      <c r="C391" s="22"/>
      <c r="D391" s="22"/>
      <c r="E391" s="22"/>
      <c r="F391" s="22"/>
    </row>
    <row r="392" spans="1:7">
      <c r="A392" s="25">
        <v>44227</v>
      </c>
      <c r="B392" s="26">
        <v>4</v>
      </c>
      <c r="C392" s="22"/>
      <c r="D392" s="22"/>
      <c r="E392" s="22"/>
      <c r="F392" s="22"/>
    </row>
    <row r="393" spans="1:7">
      <c r="A393" s="25">
        <v>44228</v>
      </c>
      <c r="B393" s="26">
        <v>5</v>
      </c>
      <c r="C393" s="22"/>
      <c r="D393" s="22"/>
      <c r="E393" s="22"/>
      <c r="F393" s="22"/>
    </row>
    <row r="394" spans="1:7">
      <c r="A394" s="25">
        <v>44229</v>
      </c>
      <c r="B394" s="26">
        <v>5</v>
      </c>
      <c r="C394" s="22"/>
      <c r="D394" s="22"/>
      <c r="E394" s="22"/>
      <c r="F394" s="22"/>
    </row>
    <row r="395" spans="1:7">
      <c r="A395" s="25">
        <v>44230</v>
      </c>
      <c r="B395" s="26">
        <v>5</v>
      </c>
      <c r="C395" s="22"/>
      <c r="D395" s="22"/>
      <c r="E395" s="22"/>
      <c r="F395" s="22"/>
    </row>
    <row r="396" spans="1:7">
      <c r="A396" s="25">
        <v>44231</v>
      </c>
      <c r="B396" s="26">
        <v>5</v>
      </c>
      <c r="C396" s="22"/>
      <c r="D396" s="22"/>
      <c r="E396" s="22"/>
      <c r="F396" s="22"/>
    </row>
    <row r="397" spans="1:7" ht="15.5">
      <c r="A397" s="25">
        <v>44232</v>
      </c>
      <c r="B397" s="26">
        <v>5</v>
      </c>
      <c r="C397" s="22"/>
      <c r="D397" s="22"/>
      <c r="E397" s="22"/>
      <c r="F397" s="22"/>
      <c r="G397" s="77"/>
    </row>
    <row r="398" spans="1:7">
      <c r="A398" s="25">
        <v>44233</v>
      </c>
      <c r="B398" s="26">
        <v>5</v>
      </c>
      <c r="C398" s="22"/>
      <c r="D398" s="22"/>
      <c r="E398" s="22"/>
      <c r="F398" s="22"/>
    </row>
    <row r="399" spans="1:7">
      <c r="A399" s="25">
        <v>44234</v>
      </c>
      <c r="B399" s="26">
        <v>5</v>
      </c>
      <c r="C399" s="22"/>
      <c r="D399" s="22"/>
      <c r="E399" s="22"/>
      <c r="F399" s="22"/>
    </row>
    <row r="400" spans="1:7">
      <c r="A400" s="25">
        <v>44235</v>
      </c>
      <c r="B400" s="26">
        <v>6</v>
      </c>
      <c r="C400" s="22"/>
      <c r="D400" s="22"/>
      <c r="E400" s="22"/>
      <c r="F400" s="22"/>
    </row>
    <row r="401" spans="1:6">
      <c r="A401" s="25">
        <v>44236</v>
      </c>
      <c r="B401" s="26">
        <v>6</v>
      </c>
      <c r="C401" s="22"/>
      <c r="D401" s="22"/>
      <c r="E401" s="22"/>
      <c r="F401" s="22"/>
    </row>
    <row r="402" spans="1:6">
      <c r="A402" s="25">
        <v>44237</v>
      </c>
      <c r="B402" s="26">
        <v>6</v>
      </c>
      <c r="C402" s="22"/>
      <c r="D402" s="22"/>
      <c r="E402" s="22"/>
      <c r="F402" s="22"/>
    </row>
    <row r="403" spans="1:6">
      <c r="A403" s="25">
        <v>44238</v>
      </c>
      <c r="B403" s="26">
        <v>6</v>
      </c>
      <c r="C403" s="22"/>
      <c r="D403" s="22"/>
      <c r="E403" s="22"/>
      <c r="F403" s="22"/>
    </row>
    <row r="404" spans="1:6">
      <c r="A404" s="25">
        <v>44239</v>
      </c>
      <c r="B404" s="26">
        <v>6</v>
      </c>
      <c r="C404" s="22"/>
      <c r="D404" s="22"/>
      <c r="E404" s="22"/>
      <c r="F404" s="22"/>
    </row>
    <row r="405" spans="1:6">
      <c r="A405" s="25">
        <v>44240</v>
      </c>
      <c r="B405" s="26">
        <v>6</v>
      </c>
      <c r="C405" s="22"/>
      <c r="D405" s="22"/>
      <c r="E405" s="22"/>
      <c r="F405" s="22"/>
    </row>
    <row r="406" spans="1:6">
      <c r="A406" s="25">
        <v>44241</v>
      </c>
      <c r="B406" s="26">
        <v>6</v>
      </c>
      <c r="C406" s="22"/>
      <c r="D406" s="22"/>
      <c r="E406" s="22"/>
      <c r="F406" s="22"/>
    </row>
    <row r="407" spans="1:6">
      <c r="A407" s="25">
        <v>44242</v>
      </c>
      <c r="B407" s="26">
        <v>7</v>
      </c>
      <c r="C407" s="22"/>
      <c r="D407" s="22"/>
      <c r="E407" s="22"/>
      <c r="F407" s="22"/>
    </row>
    <row r="408" spans="1:6">
      <c r="A408" s="25">
        <v>44243</v>
      </c>
      <c r="B408" s="26">
        <v>7</v>
      </c>
      <c r="C408" s="22"/>
      <c r="D408" s="22"/>
      <c r="E408" s="22"/>
      <c r="F408" s="22"/>
    </row>
    <row r="409" spans="1:6">
      <c r="A409" s="25">
        <v>44244</v>
      </c>
      <c r="B409" s="26">
        <v>7</v>
      </c>
      <c r="C409" s="22"/>
      <c r="D409" s="22"/>
      <c r="E409" s="22"/>
      <c r="F409" s="35"/>
    </row>
    <row r="410" spans="1:6">
      <c r="A410" s="25">
        <v>44245</v>
      </c>
      <c r="B410" s="26">
        <v>7</v>
      </c>
      <c r="C410" s="22"/>
      <c r="D410" s="22"/>
      <c r="E410" s="22"/>
      <c r="F410" s="22"/>
    </row>
    <row r="411" spans="1:6">
      <c r="A411" s="25">
        <v>44246</v>
      </c>
      <c r="B411" s="26">
        <v>7</v>
      </c>
      <c r="C411" s="22"/>
      <c r="D411" s="22"/>
      <c r="E411" s="22"/>
      <c r="F411" s="22"/>
    </row>
    <row r="412" spans="1:6">
      <c r="A412" s="25">
        <v>44247</v>
      </c>
      <c r="B412" s="26">
        <v>7</v>
      </c>
      <c r="C412" s="22"/>
      <c r="D412" s="22"/>
      <c r="E412" s="22"/>
      <c r="F412" s="22"/>
    </row>
    <row r="413" spans="1:6">
      <c r="A413" s="25">
        <v>44248</v>
      </c>
      <c r="B413" s="26">
        <v>7</v>
      </c>
      <c r="C413" s="22"/>
      <c r="D413" s="22"/>
      <c r="E413" s="22"/>
      <c r="F413" s="22"/>
    </row>
    <row r="414" spans="1:6">
      <c r="A414" s="25">
        <v>44249</v>
      </c>
      <c r="B414" s="26">
        <v>8</v>
      </c>
      <c r="C414" s="22"/>
      <c r="D414" s="22"/>
      <c r="E414" s="22"/>
      <c r="F414" s="22"/>
    </row>
    <row r="415" spans="1:6">
      <c r="A415" s="25">
        <v>44250</v>
      </c>
      <c r="B415" s="26">
        <v>8</v>
      </c>
      <c r="C415" s="22"/>
      <c r="D415" s="22"/>
      <c r="E415" s="22"/>
      <c r="F415" s="22"/>
    </row>
    <row r="416" spans="1:6">
      <c r="A416" s="25">
        <v>44251</v>
      </c>
      <c r="B416" s="26">
        <v>8</v>
      </c>
      <c r="C416" s="22"/>
      <c r="D416" s="22"/>
      <c r="E416" s="22"/>
      <c r="F416" s="22"/>
    </row>
    <row r="417" spans="1:6">
      <c r="A417" s="25">
        <v>44252</v>
      </c>
      <c r="B417" s="26">
        <v>8</v>
      </c>
      <c r="C417" s="22"/>
      <c r="D417" s="22"/>
      <c r="E417" s="22"/>
      <c r="F417" s="22"/>
    </row>
    <row r="418" spans="1:6">
      <c r="A418" s="25">
        <v>44253</v>
      </c>
      <c r="B418" s="26">
        <v>8</v>
      </c>
      <c r="C418" s="22"/>
      <c r="D418" s="22"/>
      <c r="E418" s="22"/>
      <c r="F418" s="22"/>
    </row>
    <row r="419" spans="1:6">
      <c r="A419" s="25">
        <v>44254</v>
      </c>
      <c r="B419" s="26">
        <v>8</v>
      </c>
      <c r="C419" s="22"/>
      <c r="D419" s="22"/>
      <c r="E419" s="22"/>
      <c r="F419" s="22"/>
    </row>
    <row r="420" spans="1:6">
      <c r="A420" s="25">
        <v>44255</v>
      </c>
      <c r="B420" s="26">
        <v>8</v>
      </c>
      <c r="C420" s="22"/>
      <c r="D420" s="22"/>
      <c r="E420" s="22"/>
      <c r="F420" s="22"/>
    </row>
    <row r="421" spans="1:6">
      <c r="A421" s="25">
        <v>44256</v>
      </c>
      <c r="B421" s="26">
        <v>9</v>
      </c>
      <c r="C421" s="22"/>
      <c r="D421" s="22"/>
      <c r="E421" s="22"/>
      <c r="F421" s="22"/>
    </row>
    <row r="422" spans="1:6">
      <c r="A422" s="25">
        <v>44257</v>
      </c>
      <c r="B422" s="26">
        <v>9</v>
      </c>
      <c r="C422" s="22"/>
      <c r="D422" s="22"/>
      <c r="E422" s="22"/>
      <c r="F422" s="22"/>
    </row>
    <row r="423" spans="1:6">
      <c r="A423" s="25">
        <v>44258</v>
      </c>
      <c r="B423" s="26">
        <v>9</v>
      </c>
      <c r="C423" s="22"/>
      <c r="D423" s="22"/>
      <c r="E423" s="22"/>
      <c r="F423" s="22"/>
    </row>
    <row r="424" spans="1:6">
      <c r="A424" s="25">
        <v>44259</v>
      </c>
      <c r="B424" s="26">
        <v>9</v>
      </c>
      <c r="C424" s="22"/>
      <c r="D424" s="22"/>
      <c r="E424" s="22"/>
      <c r="F424" s="22"/>
    </row>
    <row r="425" spans="1:6">
      <c r="A425" s="25">
        <v>44260</v>
      </c>
      <c r="B425" s="26">
        <v>9</v>
      </c>
      <c r="C425" s="22"/>
      <c r="D425" s="22"/>
      <c r="E425" s="22"/>
      <c r="F425" s="22"/>
    </row>
    <row r="426" spans="1:6">
      <c r="A426" s="25">
        <v>44261</v>
      </c>
      <c r="B426" s="26">
        <v>9</v>
      </c>
      <c r="C426" s="22"/>
      <c r="D426" s="22"/>
      <c r="E426" s="22"/>
      <c r="F426" s="22"/>
    </row>
    <row r="427" spans="1:6">
      <c r="A427" s="25">
        <v>44262</v>
      </c>
      <c r="B427" s="26">
        <v>9</v>
      </c>
      <c r="C427" s="22"/>
      <c r="D427" s="22"/>
      <c r="E427" s="22"/>
      <c r="F427" s="22"/>
    </row>
    <row r="428" spans="1:6">
      <c r="A428" s="25">
        <v>44263</v>
      </c>
      <c r="B428" s="26">
        <v>10</v>
      </c>
      <c r="C428" s="22"/>
      <c r="D428" s="22"/>
      <c r="E428" s="22"/>
      <c r="F428" s="22"/>
    </row>
    <row r="429" spans="1:6">
      <c r="A429" s="25">
        <v>44264</v>
      </c>
      <c r="B429" s="26">
        <v>10</v>
      </c>
      <c r="C429" s="22"/>
      <c r="D429" s="22"/>
      <c r="E429" s="22"/>
      <c r="F429" s="22"/>
    </row>
    <row r="430" spans="1:6">
      <c r="A430" s="25">
        <v>44265</v>
      </c>
      <c r="B430" s="26">
        <v>10</v>
      </c>
      <c r="C430" s="22"/>
      <c r="D430" s="22"/>
      <c r="E430" s="22"/>
      <c r="F430" s="22"/>
    </row>
    <row r="431" spans="1:6">
      <c r="A431" s="25">
        <v>44266</v>
      </c>
      <c r="B431" s="26">
        <v>10</v>
      </c>
      <c r="C431" s="22"/>
      <c r="D431" s="22"/>
      <c r="E431" s="22"/>
      <c r="F431" s="22"/>
    </row>
    <row r="432" spans="1:6">
      <c r="A432" s="25">
        <v>44267</v>
      </c>
      <c r="B432" s="26">
        <v>10</v>
      </c>
      <c r="C432" s="22"/>
      <c r="D432" s="22"/>
      <c r="E432" s="22"/>
      <c r="F432" s="22"/>
    </row>
    <row r="433" spans="1:7">
      <c r="A433" s="25">
        <v>44268</v>
      </c>
      <c r="B433" s="26">
        <v>10</v>
      </c>
      <c r="C433" s="22"/>
      <c r="D433" s="22"/>
      <c r="E433" s="22"/>
      <c r="F433" s="22"/>
    </row>
    <row r="434" spans="1:7">
      <c r="A434" s="25">
        <v>44269</v>
      </c>
      <c r="B434" s="26">
        <v>10</v>
      </c>
      <c r="C434" s="22"/>
      <c r="D434" s="22"/>
      <c r="E434" s="22"/>
      <c r="F434" s="22"/>
    </row>
    <row r="435" spans="1:7">
      <c r="A435" s="25">
        <v>44270</v>
      </c>
      <c r="B435" s="26">
        <v>11</v>
      </c>
      <c r="C435" s="22"/>
      <c r="D435" s="22"/>
      <c r="E435" s="22"/>
      <c r="F435" s="22"/>
    </row>
    <row r="436" spans="1:7">
      <c r="A436" s="25">
        <v>44271</v>
      </c>
      <c r="B436" s="26">
        <v>11</v>
      </c>
      <c r="C436" s="22"/>
      <c r="D436" s="22"/>
      <c r="E436" s="22"/>
      <c r="F436" s="22"/>
    </row>
    <row r="437" spans="1:7">
      <c r="A437" s="25">
        <v>44272</v>
      </c>
      <c r="B437" s="26">
        <v>11</v>
      </c>
      <c r="C437" s="22"/>
      <c r="D437" s="22"/>
      <c r="E437" s="22"/>
      <c r="F437" s="22"/>
    </row>
    <row r="438" spans="1:7">
      <c r="A438" s="25">
        <v>44273</v>
      </c>
      <c r="B438" s="26">
        <v>11</v>
      </c>
      <c r="C438" s="22"/>
      <c r="D438" s="22"/>
      <c r="E438" s="22"/>
      <c r="F438" s="22"/>
    </row>
    <row r="439" spans="1:7">
      <c r="A439" s="25">
        <v>44274</v>
      </c>
      <c r="B439" s="26">
        <v>11</v>
      </c>
      <c r="C439" s="22"/>
      <c r="D439" s="22"/>
      <c r="E439" s="22"/>
      <c r="F439" s="22"/>
    </row>
    <row r="440" spans="1:7">
      <c r="A440" s="25">
        <v>44275</v>
      </c>
      <c r="B440" s="26">
        <v>11</v>
      </c>
      <c r="C440" s="22"/>
      <c r="D440" s="22"/>
      <c r="E440" s="22"/>
      <c r="F440" s="22"/>
    </row>
    <row r="441" spans="1:7">
      <c r="A441" s="25">
        <v>44276</v>
      </c>
      <c r="B441" s="26">
        <v>11</v>
      </c>
      <c r="C441" s="22"/>
      <c r="D441" s="22"/>
      <c r="E441" s="22"/>
      <c r="F441" s="22"/>
    </row>
    <row r="442" spans="1:7">
      <c r="A442" s="25">
        <v>44277</v>
      </c>
      <c r="B442" s="26">
        <v>12</v>
      </c>
      <c r="C442" s="22"/>
      <c r="D442" s="22"/>
      <c r="E442" s="22"/>
      <c r="F442" s="22"/>
    </row>
    <row r="443" spans="1:7">
      <c r="A443" s="25">
        <v>44278</v>
      </c>
      <c r="B443" s="26">
        <v>12</v>
      </c>
      <c r="C443" s="22"/>
      <c r="D443" s="22"/>
      <c r="E443" s="22"/>
      <c r="F443" s="22"/>
    </row>
    <row r="444" spans="1:7" ht="15.5">
      <c r="A444" s="25">
        <v>44279</v>
      </c>
      <c r="B444" s="26">
        <v>12</v>
      </c>
      <c r="C444" s="22"/>
      <c r="D444" s="22"/>
      <c r="E444" s="22"/>
      <c r="F444" s="22"/>
      <c r="G444" s="77"/>
    </row>
    <row r="445" spans="1:7">
      <c r="A445" s="25">
        <v>44280</v>
      </c>
      <c r="B445" s="26">
        <v>12</v>
      </c>
      <c r="C445" s="22"/>
      <c r="D445" s="22"/>
      <c r="E445" s="22"/>
      <c r="F445" s="22"/>
    </row>
    <row r="446" spans="1:7">
      <c r="A446" s="25">
        <v>44281</v>
      </c>
      <c r="B446" s="26">
        <v>12</v>
      </c>
      <c r="C446" s="32">
        <v>14</v>
      </c>
      <c r="D446" s="22"/>
      <c r="E446" s="22"/>
      <c r="F446" s="22"/>
      <c r="G446" s="20" t="s">
        <v>393</v>
      </c>
    </row>
    <row r="447" spans="1:7">
      <c r="A447" s="25">
        <v>44282</v>
      </c>
      <c r="B447" s="26">
        <v>12</v>
      </c>
      <c r="C447" s="22">
        <v>1</v>
      </c>
      <c r="D447" s="22"/>
      <c r="E447" s="22"/>
      <c r="F447" s="22"/>
    </row>
    <row r="448" spans="1:7">
      <c r="A448" s="25">
        <v>44283</v>
      </c>
      <c r="B448" s="26">
        <v>12</v>
      </c>
      <c r="C448" s="22"/>
      <c r="D448" s="22"/>
      <c r="E448" s="22"/>
      <c r="F448" s="22"/>
    </row>
    <row r="449" spans="1:7">
      <c r="A449" s="25">
        <v>44284</v>
      </c>
      <c r="B449" s="26">
        <v>13</v>
      </c>
      <c r="C449" s="22"/>
      <c r="D449" s="22"/>
      <c r="E449" s="22"/>
      <c r="F449" s="22"/>
    </row>
    <row r="450" spans="1:7">
      <c r="A450" s="25">
        <v>44285</v>
      </c>
      <c r="B450" s="26">
        <v>13</v>
      </c>
      <c r="C450" s="22"/>
      <c r="D450" s="22"/>
      <c r="E450" s="22"/>
      <c r="F450" s="22"/>
    </row>
    <row r="451" spans="1:7">
      <c r="A451" s="25">
        <v>44286</v>
      </c>
      <c r="B451" s="26">
        <v>13</v>
      </c>
      <c r="C451" s="22"/>
      <c r="D451" s="22"/>
      <c r="E451" s="22"/>
      <c r="F451" s="22"/>
    </row>
    <row r="452" spans="1:7">
      <c r="A452" s="25">
        <v>44287</v>
      </c>
      <c r="B452" s="26">
        <v>13</v>
      </c>
      <c r="C452" s="22">
        <v>1</v>
      </c>
      <c r="D452" s="22"/>
      <c r="E452" s="22"/>
      <c r="F452" s="22"/>
    </row>
    <row r="453" spans="1:7">
      <c r="A453" s="25">
        <v>44288</v>
      </c>
      <c r="B453" s="26">
        <v>13</v>
      </c>
      <c r="C453" s="32">
        <v>2</v>
      </c>
      <c r="D453" s="22"/>
      <c r="E453" s="22"/>
      <c r="F453" s="22"/>
      <c r="G453" s="20" t="s">
        <v>394</v>
      </c>
    </row>
    <row r="454" spans="1:7">
      <c r="A454" s="25">
        <v>44289</v>
      </c>
      <c r="B454" s="26">
        <v>13</v>
      </c>
      <c r="C454" s="22"/>
      <c r="D454" s="22"/>
      <c r="E454" s="22"/>
      <c r="F454" s="22"/>
    </row>
    <row r="455" spans="1:7">
      <c r="A455" s="25">
        <v>44290</v>
      </c>
      <c r="B455" s="26">
        <v>13</v>
      </c>
      <c r="C455" s="22"/>
      <c r="D455" s="22"/>
      <c r="E455" s="22"/>
      <c r="F455" s="22"/>
    </row>
    <row r="456" spans="1:7">
      <c r="A456" s="25">
        <v>44291</v>
      </c>
      <c r="B456" s="26">
        <v>14</v>
      </c>
      <c r="C456" s="32">
        <v>1</v>
      </c>
      <c r="D456" s="22"/>
      <c r="E456" s="22"/>
      <c r="F456" s="22"/>
      <c r="G456" s="20" t="s">
        <v>392</v>
      </c>
    </row>
    <row r="457" spans="1:7">
      <c r="A457" s="25">
        <v>44292</v>
      </c>
      <c r="B457" s="26">
        <v>14</v>
      </c>
      <c r="C457" s="22"/>
      <c r="D457" s="22"/>
      <c r="E457" s="22"/>
      <c r="F457" s="22"/>
    </row>
    <row r="458" spans="1:7">
      <c r="A458" s="25">
        <v>44293</v>
      </c>
      <c r="B458" s="26">
        <v>14</v>
      </c>
      <c r="C458" s="22"/>
      <c r="D458" s="22"/>
      <c r="E458" s="22"/>
      <c r="F458" s="22"/>
    </row>
    <row r="459" spans="1:7">
      <c r="A459" s="25">
        <v>44294</v>
      </c>
      <c r="B459" s="26">
        <v>14</v>
      </c>
      <c r="C459" s="22"/>
      <c r="D459" s="22"/>
      <c r="E459" s="22"/>
      <c r="F459" s="22"/>
    </row>
    <row r="460" spans="1:7">
      <c r="A460" s="25">
        <v>44295</v>
      </c>
      <c r="B460" s="26">
        <v>14</v>
      </c>
      <c r="C460" s="22">
        <v>2</v>
      </c>
      <c r="D460" s="22"/>
      <c r="E460" s="22"/>
      <c r="F460" s="22"/>
    </row>
    <row r="461" spans="1:7">
      <c r="A461" s="25">
        <v>44296</v>
      </c>
      <c r="B461" s="26">
        <v>14</v>
      </c>
      <c r="C461" s="22"/>
      <c r="D461" s="22"/>
      <c r="E461" s="22"/>
      <c r="F461" s="22"/>
    </row>
    <row r="462" spans="1:7">
      <c r="A462" s="25">
        <v>44297</v>
      </c>
      <c r="B462" s="26">
        <v>14</v>
      </c>
      <c r="C462" s="22"/>
      <c r="D462" s="22"/>
      <c r="E462" s="22"/>
      <c r="F462" s="22"/>
    </row>
    <row r="463" spans="1:7">
      <c r="A463" s="25">
        <v>44298</v>
      </c>
      <c r="B463" s="26">
        <v>15</v>
      </c>
      <c r="C463" s="22"/>
      <c r="D463" s="22"/>
      <c r="E463" s="22"/>
      <c r="F463" s="22"/>
    </row>
    <row r="464" spans="1:7">
      <c r="A464" s="25">
        <v>44299</v>
      </c>
      <c r="B464" s="26">
        <v>15</v>
      </c>
      <c r="C464" s="22">
        <v>1</v>
      </c>
      <c r="D464" s="22"/>
      <c r="E464" s="22"/>
      <c r="F464" s="22"/>
    </row>
    <row r="465" spans="1:7">
      <c r="A465" s="25">
        <v>44300</v>
      </c>
      <c r="B465" s="26">
        <v>15</v>
      </c>
      <c r="C465" s="22"/>
      <c r="D465" s="22"/>
      <c r="E465" s="22"/>
      <c r="F465" s="22"/>
    </row>
    <row r="466" spans="1:7">
      <c r="A466" s="25">
        <v>44301</v>
      </c>
      <c r="B466" s="26">
        <v>15</v>
      </c>
      <c r="C466" s="22"/>
      <c r="D466" s="22"/>
      <c r="E466" s="22"/>
      <c r="F466" s="22"/>
    </row>
    <row r="467" spans="1:7">
      <c r="A467" s="25">
        <v>44302</v>
      </c>
      <c r="B467" s="26">
        <v>15</v>
      </c>
      <c r="C467" s="22"/>
      <c r="D467" s="22"/>
      <c r="E467" s="22"/>
      <c r="F467" s="22"/>
    </row>
    <row r="468" spans="1:7">
      <c r="A468" s="25">
        <v>44303</v>
      </c>
      <c r="B468" s="26">
        <v>15</v>
      </c>
      <c r="C468" s="22"/>
      <c r="D468" s="22"/>
      <c r="E468" s="22"/>
      <c r="F468" s="22"/>
    </row>
    <row r="469" spans="1:7">
      <c r="A469" s="25">
        <v>44304</v>
      </c>
      <c r="B469" s="26">
        <v>15</v>
      </c>
      <c r="C469" s="22"/>
      <c r="D469" s="22"/>
      <c r="E469" s="22"/>
      <c r="F469" s="22"/>
    </row>
    <row r="470" spans="1:7">
      <c r="A470" s="25">
        <v>44305</v>
      </c>
      <c r="B470" s="26">
        <v>16</v>
      </c>
      <c r="C470" s="22"/>
      <c r="D470" s="22"/>
      <c r="E470" s="22"/>
      <c r="F470" s="22"/>
    </row>
    <row r="471" spans="1:7">
      <c r="A471" s="25">
        <v>44306</v>
      </c>
      <c r="B471" s="26">
        <v>16</v>
      </c>
      <c r="C471" s="22">
        <v>1</v>
      </c>
      <c r="D471" s="22"/>
      <c r="E471" s="22"/>
      <c r="F471" s="22"/>
      <c r="G471" s="126"/>
    </row>
    <row r="472" spans="1:7">
      <c r="A472" s="25">
        <v>44307</v>
      </c>
      <c r="B472" s="26">
        <v>16</v>
      </c>
      <c r="C472" s="22">
        <v>1</v>
      </c>
      <c r="D472" s="22"/>
      <c r="E472" s="22"/>
      <c r="F472" s="22"/>
      <c r="G472" s="126"/>
    </row>
    <row r="473" spans="1:7">
      <c r="A473" s="25">
        <v>44308</v>
      </c>
      <c r="B473" s="26">
        <v>16</v>
      </c>
      <c r="C473" s="22">
        <v>3</v>
      </c>
      <c r="D473" s="22">
        <v>1</v>
      </c>
      <c r="E473" s="22"/>
      <c r="F473" s="22"/>
    </row>
    <row r="474" spans="1:7">
      <c r="A474" s="25">
        <v>44309</v>
      </c>
      <c r="B474" s="26">
        <v>16</v>
      </c>
      <c r="C474" s="22"/>
      <c r="D474" s="22"/>
      <c r="E474" s="22"/>
      <c r="F474" s="22"/>
    </row>
    <row r="475" spans="1:7">
      <c r="A475" s="25">
        <v>44310</v>
      </c>
      <c r="B475" s="26">
        <v>16</v>
      </c>
      <c r="C475" s="22">
        <v>1</v>
      </c>
      <c r="D475" s="22"/>
      <c r="E475" s="22"/>
      <c r="F475" s="22"/>
    </row>
    <row r="476" spans="1:7">
      <c r="A476" s="25">
        <v>44311</v>
      </c>
      <c r="B476" s="26">
        <v>16</v>
      </c>
      <c r="C476" s="22"/>
      <c r="D476" s="22">
        <v>1</v>
      </c>
      <c r="E476" s="22"/>
      <c r="F476" s="22"/>
    </row>
    <row r="477" spans="1:7">
      <c r="A477" s="25">
        <v>44312</v>
      </c>
      <c r="B477" s="26">
        <v>17</v>
      </c>
      <c r="C477" s="22">
        <v>2</v>
      </c>
      <c r="D477" s="22"/>
      <c r="E477" s="22"/>
      <c r="F477" s="22"/>
    </row>
    <row r="478" spans="1:7">
      <c r="A478" s="25">
        <v>44313</v>
      </c>
      <c r="B478" s="26">
        <v>17</v>
      </c>
      <c r="C478" s="22">
        <v>2</v>
      </c>
      <c r="D478" s="22"/>
      <c r="E478" s="22"/>
      <c r="F478" s="22"/>
    </row>
    <row r="479" spans="1:7">
      <c r="A479" s="25">
        <v>44314</v>
      </c>
      <c r="B479" s="26">
        <v>17</v>
      </c>
      <c r="C479" s="22"/>
      <c r="D479" s="22"/>
      <c r="E479" s="22"/>
      <c r="F479" s="22"/>
    </row>
    <row r="480" spans="1:7">
      <c r="A480" s="25">
        <v>44315</v>
      </c>
      <c r="B480" s="26">
        <v>17</v>
      </c>
      <c r="C480" s="22"/>
      <c r="D480" s="22"/>
      <c r="E480" s="22"/>
      <c r="F480" s="22"/>
    </row>
    <row r="481" spans="1:7">
      <c r="A481" s="25">
        <v>44316</v>
      </c>
      <c r="B481" s="26">
        <v>17</v>
      </c>
      <c r="C481" s="22">
        <v>1</v>
      </c>
      <c r="D481" s="22">
        <v>1</v>
      </c>
      <c r="E481" s="22"/>
      <c r="F481" s="22"/>
    </row>
    <row r="482" spans="1:7" ht="15.5">
      <c r="A482" s="25">
        <v>44317</v>
      </c>
      <c r="B482" s="26">
        <v>17</v>
      </c>
      <c r="C482" s="22"/>
      <c r="D482" s="22"/>
      <c r="E482" s="22"/>
      <c r="F482" s="22"/>
      <c r="G482" s="77"/>
    </row>
    <row r="483" spans="1:7">
      <c r="A483" s="25">
        <v>44318</v>
      </c>
      <c r="B483" s="26">
        <v>17</v>
      </c>
      <c r="C483" s="22"/>
      <c r="D483" s="22"/>
      <c r="E483" s="22"/>
      <c r="F483" s="22"/>
      <c r="G483" s="17"/>
    </row>
    <row r="484" spans="1:7">
      <c r="A484" s="25">
        <v>44319</v>
      </c>
      <c r="B484" s="26">
        <v>18</v>
      </c>
      <c r="C484" s="22"/>
      <c r="D484" s="22"/>
      <c r="E484" s="22"/>
      <c r="F484" s="22"/>
    </row>
    <row r="485" spans="1:7">
      <c r="A485" s="25">
        <v>44320</v>
      </c>
      <c r="B485" s="26">
        <v>18</v>
      </c>
      <c r="C485" s="22"/>
      <c r="D485" s="22"/>
      <c r="E485" s="22"/>
      <c r="F485" s="22"/>
    </row>
    <row r="486" spans="1:7">
      <c r="A486" s="25">
        <v>44321</v>
      </c>
      <c r="B486" s="26">
        <v>18</v>
      </c>
      <c r="C486" s="22"/>
      <c r="D486" s="22"/>
      <c r="E486" s="22"/>
      <c r="F486" s="22"/>
    </row>
    <row r="487" spans="1:7">
      <c r="A487" s="25">
        <v>44322</v>
      </c>
      <c r="B487" s="26">
        <v>18</v>
      </c>
      <c r="C487" s="22"/>
      <c r="D487" s="22"/>
      <c r="E487" s="22"/>
      <c r="F487" s="22"/>
    </row>
    <row r="488" spans="1:7">
      <c r="A488" s="25">
        <v>44323</v>
      </c>
      <c r="B488" s="26">
        <v>18</v>
      </c>
      <c r="C488" s="22"/>
      <c r="D488" s="22"/>
      <c r="E488" s="22"/>
      <c r="F488" s="22"/>
    </row>
    <row r="489" spans="1:7">
      <c r="A489" s="25">
        <v>44324</v>
      </c>
      <c r="B489" s="26">
        <v>18</v>
      </c>
      <c r="C489" s="22"/>
      <c r="D489" s="22"/>
      <c r="E489" s="22"/>
      <c r="F489" s="22"/>
    </row>
    <row r="490" spans="1:7">
      <c r="A490" s="25">
        <v>44325</v>
      </c>
      <c r="B490" s="26">
        <v>18</v>
      </c>
      <c r="C490" s="22"/>
      <c r="D490" s="22"/>
      <c r="E490" s="22"/>
      <c r="F490" s="22"/>
    </row>
    <row r="491" spans="1:7">
      <c r="A491" s="25">
        <v>44326</v>
      </c>
      <c r="B491" s="26">
        <v>19</v>
      </c>
      <c r="C491" s="22"/>
      <c r="D491" s="22">
        <v>1</v>
      </c>
      <c r="E491" s="22"/>
      <c r="F491" s="22"/>
    </row>
    <row r="492" spans="1:7">
      <c r="A492" s="25">
        <v>44327</v>
      </c>
      <c r="B492" s="26">
        <v>19</v>
      </c>
      <c r="C492" s="22"/>
      <c r="D492" s="22"/>
      <c r="E492" s="22"/>
      <c r="F492" s="22"/>
    </row>
    <row r="493" spans="1:7">
      <c r="A493" s="25">
        <v>44328</v>
      </c>
      <c r="B493" s="26">
        <v>19</v>
      </c>
      <c r="C493" s="22"/>
      <c r="D493" s="22"/>
      <c r="E493" s="22"/>
      <c r="F493" s="22"/>
    </row>
    <row r="494" spans="1:7">
      <c r="A494" s="25">
        <v>44329</v>
      </c>
      <c r="B494" s="26">
        <v>19</v>
      </c>
      <c r="C494" s="22"/>
      <c r="D494" s="22"/>
      <c r="E494" s="22"/>
      <c r="F494" s="22"/>
    </row>
    <row r="495" spans="1:7">
      <c r="A495" s="25">
        <v>44330</v>
      </c>
      <c r="B495" s="26">
        <v>19</v>
      </c>
      <c r="C495" s="22"/>
      <c r="D495" s="22"/>
      <c r="E495" s="22"/>
      <c r="F495" s="22"/>
    </row>
    <row r="496" spans="1:7">
      <c r="A496" s="25">
        <v>44331</v>
      </c>
      <c r="B496" s="26">
        <v>19</v>
      </c>
      <c r="C496" s="22"/>
      <c r="D496" s="22"/>
      <c r="E496" s="22"/>
      <c r="F496" s="22"/>
    </row>
    <row r="497" spans="1:7">
      <c r="A497" s="25">
        <v>44332</v>
      </c>
      <c r="B497" s="26">
        <v>19</v>
      </c>
      <c r="C497" s="22"/>
      <c r="D497" s="22"/>
      <c r="E497" s="22"/>
      <c r="F497" s="22"/>
    </row>
    <row r="498" spans="1:7">
      <c r="A498" s="25">
        <v>44333</v>
      </c>
      <c r="B498" s="26">
        <v>20</v>
      </c>
      <c r="C498" s="22"/>
      <c r="D498" s="22"/>
      <c r="E498" s="22"/>
      <c r="F498" s="22"/>
    </row>
    <row r="499" spans="1:7">
      <c r="A499" s="25">
        <v>44334</v>
      </c>
      <c r="B499" s="26">
        <v>20</v>
      </c>
      <c r="C499" s="22"/>
      <c r="D499" s="22"/>
      <c r="E499" s="22"/>
      <c r="F499" s="22"/>
    </row>
    <row r="500" spans="1:7">
      <c r="A500" s="25">
        <v>44335</v>
      </c>
      <c r="B500" s="26">
        <v>20</v>
      </c>
      <c r="C500" s="22"/>
      <c r="D500" s="22"/>
      <c r="E500" s="22"/>
      <c r="F500" s="22"/>
    </row>
    <row r="501" spans="1:7">
      <c r="A501" s="25">
        <v>44336</v>
      </c>
      <c r="B501" s="26">
        <v>20</v>
      </c>
      <c r="C501" s="22"/>
      <c r="D501" s="22"/>
      <c r="E501" s="22"/>
      <c r="F501" s="22"/>
    </row>
    <row r="502" spans="1:7" ht="15.5">
      <c r="A502" s="25">
        <v>44337</v>
      </c>
      <c r="B502" s="26">
        <v>20</v>
      </c>
      <c r="C502" s="22"/>
      <c r="D502" s="22"/>
      <c r="E502" s="22"/>
      <c r="F502" s="22"/>
      <c r="G502" s="77"/>
    </row>
    <row r="503" spans="1:7">
      <c r="A503" s="25">
        <v>44338</v>
      </c>
      <c r="B503" s="26">
        <v>20</v>
      </c>
      <c r="C503" s="22"/>
      <c r="D503" s="22"/>
      <c r="E503" s="22"/>
      <c r="F503" s="22"/>
    </row>
    <row r="504" spans="1:7">
      <c r="A504" s="25">
        <v>44339</v>
      </c>
      <c r="B504" s="26">
        <v>20</v>
      </c>
      <c r="C504" s="22"/>
      <c r="D504" s="22"/>
      <c r="E504" s="22"/>
      <c r="F504" s="22"/>
    </row>
    <row r="505" spans="1:7">
      <c r="A505" s="25">
        <v>44340</v>
      </c>
      <c r="B505" s="26">
        <v>21</v>
      </c>
      <c r="C505" s="22"/>
      <c r="D505" s="22"/>
      <c r="E505" s="22"/>
      <c r="F505" s="22"/>
    </row>
    <row r="506" spans="1:7">
      <c r="A506" s="25">
        <v>44341</v>
      </c>
      <c r="B506" s="26">
        <v>21</v>
      </c>
      <c r="C506" s="22"/>
      <c r="D506" s="22"/>
      <c r="E506" s="22"/>
      <c r="F506" s="22"/>
    </row>
    <row r="507" spans="1:7">
      <c r="A507" s="25">
        <v>44342</v>
      </c>
      <c r="B507" s="26">
        <v>21</v>
      </c>
      <c r="C507" s="22"/>
      <c r="D507" s="22"/>
      <c r="E507" s="22"/>
      <c r="F507" s="22"/>
    </row>
    <row r="508" spans="1:7">
      <c r="A508" s="25">
        <v>44343</v>
      </c>
      <c r="B508" s="26">
        <v>21</v>
      </c>
      <c r="C508" s="22"/>
      <c r="D508" s="22"/>
      <c r="E508" s="22"/>
      <c r="F508" s="22"/>
    </row>
    <row r="509" spans="1:7">
      <c r="A509" s="25">
        <v>44344</v>
      </c>
      <c r="B509" s="26">
        <v>21</v>
      </c>
      <c r="C509" s="22"/>
      <c r="D509" s="22">
        <v>1</v>
      </c>
      <c r="E509" s="22"/>
      <c r="F509" s="22"/>
    </row>
    <row r="510" spans="1:7">
      <c r="A510" s="25">
        <v>44345</v>
      </c>
      <c r="B510" s="26">
        <v>21</v>
      </c>
      <c r="C510" s="22"/>
      <c r="D510" s="22"/>
      <c r="E510" s="22"/>
      <c r="F510" s="22"/>
    </row>
    <row r="511" spans="1:7">
      <c r="A511" s="25">
        <v>44346</v>
      </c>
      <c r="B511" s="26">
        <v>21</v>
      </c>
      <c r="C511" s="22"/>
      <c r="D511" s="22"/>
      <c r="E511" s="22"/>
      <c r="F511" s="22"/>
    </row>
    <row r="512" spans="1:7">
      <c r="A512" s="25">
        <v>44347</v>
      </c>
      <c r="B512" s="26">
        <v>22</v>
      </c>
      <c r="C512" s="22"/>
      <c r="D512" s="22"/>
      <c r="E512" s="22"/>
      <c r="F512" s="22"/>
    </row>
    <row r="513" spans="1:6">
      <c r="A513" s="25">
        <v>44348</v>
      </c>
      <c r="B513" s="26">
        <v>22</v>
      </c>
      <c r="C513" s="22"/>
      <c r="D513" s="22"/>
      <c r="E513" s="22"/>
      <c r="F513" s="22"/>
    </row>
    <row r="514" spans="1:6">
      <c r="A514" s="25">
        <v>44349</v>
      </c>
      <c r="B514" s="26">
        <v>22</v>
      </c>
      <c r="C514" s="22">
        <v>1</v>
      </c>
      <c r="D514" s="22"/>
      <c r="E514" s="22"/>
      <c r="F514" s="22"/>
    </row>
    <row r="515" spans="1:6">
      <c r="A515" s="25">
        <v>44350</v>
      </c>
      <c r="B515" s="26">
        <v>22</v>
      </c>
      <c r="C515" s="22"/>
      <c r="D515" s="22"/>
      <c r="E515" s="22"/>
      <c r="F515" s="22"/>
    </row>
    <row r="516" spans="1:6">
      <c r="A516" s="25">
        <v>44351</v>
      </c>
      <c r="B516" s="26">
        <v>22</v>
      </c>
      <c r="C516" s="22">
        <v>1</v>
      </c>
      <c r="D516" s="22"/>
      <c r="E516" s="22"/>
      <c r="F516" s="22"/>
    </row>
    <row r="517" spans="1:6">
      <c r="A517" s="25">
        <v>44352</v>
      </c>
      <c r="B517" s="26">
        <v>22</v>
      </c>
      <c r="C517" s="22"/>
      <c r="D517" s="22"/>
      <c r="E517" s="22"/>
      <c r="F517" s="22"/>
    </row>
    <row r="518" spans="1:6">
      <c r="A518" s="25">
        <v>44353</v>
      </c>
      <c r="B518" s="26">
        <v>22</v>
      </c>
      <c r="C518" s="22"/>
      <c r="D518" s="22"/>
      <c r="E518" s="22"/>
      <c r="F518" s="22"/>
    </row>
    <row r="519" spans="1:6">
      <c r="A519" s="25">
        <v>44354</v>
      </c>
      <c r="B519" s="26">
        <v>23</v>
      </c>
      <c r="C519" s="22"/>
      <c r="D519" s="22"/>
      <c r="E519" s="22"/>
      <c r="F519" s="22"/>
    </row>
    <row r="520" spans="1:6">
      <c r="A520" s="25">
        <v>44355</v>
      </c>
      <c r="B520" s="26">
        <v>23</v>
      </c>
      <c r="C520" s="22"/>
      <c r="D520" s="22"/>
      <c r="E520" s="22"/>
      <c r="F520" s="22"/>
    </row>
    <row r="521" spans="1:6">
      <c r="A521" s="25">
        <v>44356</v>
      </c>
      <c r="B521" s="26">
        <v>23</v>
      </c>
      <c r="C521" s="22">
        <v>1</v>
      </c>
      <c r="D521" s="22"/>
      <c r="E521" s="22"/>
      <c r="F521" s="22"/>
    </row>
    <row r="522" spans="1:6">
      <c r="A522" s="25">
        <v>44357</v>
      </c>
      <c r="B522" s="26">
        <v>23</v>
      </c>
      <c r="C522" s="22"/>
      <c r="D522" s="22"/>
      <c r="E522" s="22"/>
      <c r="F522" s="22"/>
    </row>
    <row r="523" spans="1:6">
      <c r="A523" s="25">
        <v>44358</v>
      </c>
      <c r="B523" s="26">
        <v>23</v>
      </c>
      <c r="C523" s="22"/>
      <c r="D523" s="22"/>
      <c r="E523" s="22"/>
      <c r="F523" s="22"/>
    </row>
    <row r="524" spans="1:6">
      <c r="A524" s="25">
        <v>44359</v>
      </c>
      <c r="B524" s="26">
        <v>23</v>
      </c>
      <c r="C524" s="22"/>
      <c r="D524" s="22"/>
      <c r="E524" s="22"/>
      <c r="F524" s="22"/>
    </row>
    <row r="525" spans="1:6">
      <c r="A525" s="25">
        <v>44360</v>
      </c>
      <c r="B525" s="26">
        <v>23</v>
      </c>
      <c r="C525" s="22"/>
      <c r="D525" s="22"/>
      <c r="E525" s="22"/>
      <c r="F525" s="22"/>
    </row>
    <row r="526" spans="1:6">
      <c r="A526" s="25">
        <v>44361</v>
      </c>
      <c r="B526" s="26">
        <v>24</v>
      </c>
      <c r="C526" s="22"/>
      <c r="D526" s="22"/>
      <c r="E526" s="22"/>
      <c r="F526" s="22"/>
    </row>
    <row r="527" spans="1:6">
      <c r="A527" s="25">
        <v>44362</v>
      </c>
      <c r="B527" s="26">
        <v>24</v>
      </c>
      <c r="C527" s="22"/>
      <c r="D527" s="22"/>
      <c r="E527" s="22"/>
      <c r="F527" s="22"/>
    </row>
    <row r="528" spans="1:6">
      <c r="A528" s="25">
        <v>44363</v>
      </c>
      <c r="B528" s="26">
        <v>24</v>
      </c>
      <c r="C528" s="22"/>
      <c r="D528" s="22"/>
      <c r="E528" s="22"/>
      <c r="F528" s="22"/>
    </row>
    <row r="529" spans="1:6">
      <c r="A529" s="25">
        <v>44364</v>
      </c>
      <c r="B529" s="26">
        <v>24</v>
      </c>
      <c r="C529" s="22"/>
      <c r="D529" s="22"/>
      <c r="E529" s="22"/>
      <c r="F529" s="22"/>
    </row>
    <row r="530" spans="1:6">
      <c r="A530" s="25">
        <v>44365</v>
      </c>
      <c r="B530" s="26">
        <v>24</v>
      </c>
      <c r="C530" s="22"/>
      <c r="D530" s="22"/>
      <c r="E530" s="22"/>
      <c r="F530" s="22"/>
    </row>
    <row r="531" spans="1:6">
      <c r="A531" s="25">
        <v>44366</v>
      </c>
      <c r="B531" s="26">
        <v>24</v>
      </c>
      <c r="C531" s="22"/>
      <c r="D531" s="22"/>
      <c r="E531" s="22"/>
      <c r="F531" s="22"/>
    </row>
    <row r="532" spans="1:6">
      <c r="A532" s="25">
        <v>44367</v>
      </c>
      <c r="B532" s="26">
        <v>24</v>
      </c>
      <c r="C532" s="22"/>
      <c r="D532" s="22"/>
      <c r="E532" s="22"/>
      <c r="F532" s="22"/>
    </row>
    <row r="533" spans="1:6">
      <c r="A533" s="25">
        <v>44368</v>
      </c>
      <c r="B533" s="26">
        <v>25</v>
      </c>
      <c r="C533" s="22"/>
      <c r="D533" s="22"/>
      <c r="E533" s="22"/>
      <c r="F533" s="22"/>
    </row>
    <row r="534" spans="1:6">
      <c r="A534" s="25">
        <v>44369</v>
      </c>
      <c r="B534" s="26">
        <v>25</v>
      </c>
      <c r="C534" s="22"/>
      <c r="D534" s="22"/>
      <c r="E534" s="22"/>
      <c r="F534" s="22"/>
    </row>
    <row r="535" spans="1:6">
      <c r="A535" s="25">
        <v>44370</v>
      </c>
      <c r="B535" s="26">
        <v>25</v>
      </c>
      <c r="C535" s="22"/>
      <c r="D535" s="22"/>
      <c r="E535" s="94"/>
      <c r="F535" s="22"/>
    </row>
    <row r="536" spans="1:6">
      <c r="A536" s="25">
        <v>44371</v>
      </c>
      <c r="B536" s="26">
        <v>25</v>
      </c>
      <c r="C536" s="22"/>
      <c r="D536" s="22"/>
      <c r="E536" s="94"/>
      <c r="F536" s="22"/>
    </row>
    <row r="537" spans="1:6">
      <c r="A537" s="25">
        <v>44372</v>
      </c>
      <c r="B537" s="26">
        <v>25</v>
      </c>
      <c r="C537" s="22"/>
      <c r="D537" s="22"/>
      <c r="E537" s="94"/>
      <c r="F537" s="22"/>
    </row>
    <row r="538" spans="1:6">
      <c r="A538" s="25">
        <v>44373</v>
      </c>
      <c r="B538" s="26">
        <v>25</v>
      </c>
      <c r="C538" s="22"/>
      <c r="D538" s="22"/>
      <c r="E538" s="94"/>
      <c r="F538" s="22"/>
    </row>
    <row r="539" spans="1:6">
      <c r="A539" s="25">
        <v>44374</v>
      </c>
      <c r="B539" s="26">
        <v>25</v>
      </c>
      <c r="C539" s="22"/>
      <c r="D539" s="22"/>
      <c r="E539" s="94"/>
      <c r="F539" s="22"/>
    </row>
    <row r="540" spans="1:6">
      <c r="A540" s="25">
        <v>44375</v>
      </c>
      <c r="B540" s="26">
        <v>25</v>
      </c>
      <c r="C540" s="22"/>
      <c r="D540" s="22"/>
      <c r="E540" s="94"/>
      <c r="F540" s="22"/>
    </row>
    <row r="541" spans="1:6">
      <c r="A541" s="25">
        <v>44376</v>
      </c>
      <c r="B541" s="26">
        <v>26</v>
      </c>
      <c r="C541" s="22"/>
      <c r="D541" s="22"/>
      <c r="E541" s="94"/>
      <c r="F541" s="22"/>
    </row>
    <row r="542" spans="1:6">
      <c r="A542" s="25">
        <v>44377</v>
      </c>
      <c r="B542" s="26">
        <v>26</v>
      </c>
      <c r="C542" s="22"/>
      <c r="D542" s="22"/>
      <c r="E542" s="22"/>
      <c r="F542" s="22"/>
    </row>
    <row r="543" spans="1:6">
      <c r="A543" s="25">
        <v>44378</v>
      </c>
      <c r="B543" s="26">
        <v>26</v>
      </c>
      <c r="C543" s="22"/>
      <c r="D543" s="22"/>
      <c r="E543" s="22"/>
      <c r="F543" s="22"/>
    </row>
    <row r="544" spans="1:6">
      <c r="A544" s="25">
        <v>44379</v>
      </c>
      <c r="B544" s="26">
        <v>26</v>
      </c>
      <c r="C544" s="22"/>
      <c r="D544" s="22"/>
      <c r="E544" s="22"/>
      <c r="F544" s="22"/>
    </row>
    <row r="545" spans="1:7">
      <c r="A545" s="25">
        <v>44380</v>
      </c>
      <c r="B545" s="26">
        <v>26</v>
      </c>
      <c r="C545" s="22"/>
      <c r="D545" s="22"/>
      <c r="E545" s="22"/>
      <c r="F545" s="22"/>
    </row>
    <row r="546" spans="1:7">
      <c r="A546" s="25">
        <v>44381</v>
      </c>
      <c r="B546" s="26">
        <v>26</v>
      </c>
      <c r="C546" s="22"/>
      <c r="D546" s="22"/>
      <c r="E546" s="22"/>
      <c r="F546" s="22"/>
    </row>
    <row r="547" spans="1:7">
      <c r="A547" s="25">
        <v>44382</v>
      </c>
      <c r="B547" s="22">
        <v>27</v>
      </c>
      <c r="C547" s="22"/>
      <c r="D547" s="22"/>
      <c r="E547" s="22"/>
      <c r="F547" s="22"/>
    </row>
    <row r="548" spans="1:7">
      <c r="A548" s="25">
        <v>44383</v>
      </c>
      <c r="B548" s="22">
        <v>27</v>
      </c>
      <c r="C548" s="22"/>
      <c r="D548" s="22"/>
      <c r="E548" s="22"/>
      <c r="F548" s="22"/>
    </row>
    <row r="549" spans="1:7">
      <c r="A549" s="25">
        <v>44384</v>
      </c>
      <c r="B549" s="22">
        <v>27</v>
      </c>
      <c r="C549" s="22"/>
      <c r="D549" s="22"/>
      <c r="E549" s="22"/>
      <c r="F549" s="22"/>
    </row>
    <row r="550" spans="1:7">
      <c r="A550" s="25">
        <v>44385</v>
      </c>
      <c r="B550" s="22">
        <v>27</v>
      </c>
      <c r="C550" s="22"/>
      <c r="D550" s="22"/>
      <c r="E550" s="22"/>
      <c r="F550" s="22"/>
    </row>
    <row r="551" spans="1:7">
      <c r="A551" s="25">
        <v>44386</v>
      </c>
      <c r="B551" s="22">
        <v>27</v>
      </c>
      <c r="C551" s="22">
        <v>2</v>
      </c>
      <c r="D551" s="22"/>
      <c r="E551" s="22"/>
      <c r="F551" s="22"/>
    </row>
    <row r="552" spans="1:7">
      <c r="A552" s="25">
        <v>44387</v>
      </c>
      <c r="B552" s="22">
        <v>27</v>
      </c>
      <c r="C552" s="22"/>
      <c r="D552" s="22"/>
      <c r="E552" s="22"/>
      <c r="F552" s="22"/>
    </row>
    <row r="553" spans="1:7">
      <c r="A553" s="25">
        <v>44388</v>
      </c>
      <c r="B553" s="22">
        <v>27</v>
      </c>
      <c r="C553" s="22"/>
      <c r="D553" s="22"/>
      <c r="E553" s="22"/>
      <c r="F553" s="22"/>
    </row>
    <row r="554" spans="1:7">
      <c r="A554" s="25">
        <v>44389</v>
      </c>
      <c r="B554" s="22">
        <v>28</v>
      </c>
      <c r="C554" s="22"/>
      <c r="D554" s="22"/>
      <c r="E554" s="22"/>
      <c r="F554" s="22"/>
    </row>
    <row r="555" spans="1:7">
      <c r="A555" s="25">
        <v>44390</v>
      </c>
      <c r="B555" s="22">
        <v>28</v>
      </c>
      <c r="C555" s="32">
        <v>2</v>
      </c>
      <c r="D555" s="22">
        <v>1</v>
      </c>
      <c r="E555" s="22"/>
      <c r="F555" s="22"/>
      <c r="G555" s="20" t="s">
        <v>395</v>
      </c>
    </row>
    <row r="556" spans="1:7">
      <c r="A556" s="25">
        <v>44391</v>
      </c>
      <c r="B556" s="22">
        <v>28</v>
      </c>
      <c r="C556" s="22"/>
      <c r="D556" s="22"/>
      <c r="E556" s="22"/>
      <c r="F556" s="22"/>
    </row>
    <row r="557" spans="1:7">
      <c r="A557" s="25">
        <v>44392</v>
      </c>
      <c r="B557" s="22">
        <v>28</v>
      </c>
      <c r="C557" s="22"/>
      <c r="D557" s="22">
        <v>1</v>
      </c>
      <c r="E557" s="22"/>
      <c r="F557" s="22"/>
    </row>
    <row r="558" spans="1:7">
      <c r="A558" s="25">
        <v>44393</v>
      </c>
      <c r="B558" s="22">
        <v>28</v>
      </c>
      <c r="C558" s="32">
        <f>9+1</f>
        <v>10</v>
      </c>
      <c r="D558" s="22"/>
      <c r="E558" s="22"/>
      <c r="F558" s="22"/>
      <c r="G558" s="20" t="s">
        <v>396</v>
      </c>
    </row>
    <row r="559" spans="1:7">
      <c r="A559" s="25">
        <v>44394</v>
      </c>
      <c r="B559" s="22">
        <v>28</v>
      </c>
      <c r="C559" s="22">
        <f>1</f>
        <v>1</v>
      </c>
      <c r="D559" s="22"/>
      <c r="E559" s="22"/>
      <c r="F559" s="22"/>
    </row>
    <row r="560" spans="1:7">
      <c r="A560" s="25">
        <v>44395</v>
      </c>
      <c r="B560" s="22">
        <v>28</v>
      </c>
      <c r="C560" s="22">
        <f>1</f>
        <v>1</v>
      </c>
      <c r="D560" s="22"/>
      <c r="E560" s="22"/>
      <c r="F560" s="22"/>
    </row>
    <row r="561" spans="1:7">
      <c r="A561" s="25">
        <v>44396</v>
      </c>
      <c r="B561" s="22">
        <v>29</v>
      </c>
      <c r="C561" s="22"/>
      <c r="D561" s="22"/>
      <c r="E561" s="22"/>
      <c r="F561" s="22"/>
    </row>
    <row r="562" spans="1:7">
      <c r="A562" s="25">
        <v>44397</v>
      </c>
      <c r="B562" s="22">
        <v>29</v>
      </c>
      <c r="C562" s="22">
        <f>1+1</f>
        <v>2</v>
      </c>
      <c r="D562" s="22"/>
      <c r="E562" s="22"/>
      <c r="F562" s="22"/>
    </row>
    <row r="563" spans="1:7">
      <c r="A563" s="25">
        <v>44398</v>
      </c>
      <c r="B563" s="22">
        <v>29</v>
      </c>
      <c r="C563" s="22">
        <v>1</v>
      </c>
      <c r="D563" s="22"/>
      <c r="E563" s="22"/>
      <c r="F563" s="22"/>
    </row>
    <row r="564" spans="1:7">
      <c r="A564" s="25">
        <v>44399</v>
      </c>
      <c r="B564" s="22">
        <v>29</v>
      </c>
      <c r="C564" s="22"/>
      <c r="D564" s="22"/>
      <c r="E564" s="14"/>
      <c r="F564" s="14"/>
    </row>
    <row r="565" spans="1:7">
      <c r="A565" s="25">
        <v>44400</v>
      </c>
      <c r="B565" s="22">
        <v>29</v>
      </c>
      <c r="C565" s="22"/>
      <c r="D565" s="22"/>
      <c r="E565" s="22"/>
      <c r="F565" s="22"/>
    </row>
    <row r="566" spans="1:7">
      <c r="A566" s="25">
        <v>44401</v>
      </c>
      <c r="B566" s="22">
        <v>29</v>
      </c>
      <c r="C566" s="22"/>
      <c r="D566" s="22"/>
      <c r="E566" s="22"/>
      <c r="F566" s="22"/>
    </row>
    <row r="567" spans="1:7">
      <c r="A567" s="25">
        <v>44402</v>
      </c>
      <c r="B567" s="22">
        <v>29</v>
      </c>
      <c r="C567" s="22"/>
      <c r="D567" s="22"/>
      <c r="E567" s="22"/>
      <c r="F567" s="22"/>
    </row>
    <row r="568" spans="1:7">
      <c r="A568" s="25">
        <v>44403</v>
      </c>
      <c r="B568" s="22">
        <v>30</v>
      </c>
      <c r="C568" s="22"/>
      <c r="D568" s="22"/>
      <c r="E568" s="22"/>
      <c r="F568" s="22"/>
    </row>
    <row r="569" spans="1:7">
      <c r="A569" s="25">
        <v>44404</v>
      </c>
      <c r="B569" s="22">
        <v>30</v>
      </c>
      <c r="C569" s="32">
        <v>2</v>
      </c>
      <c r="D569" s="22"/>
      <c r="E569" s="22"/>
      <c r="F569" s="22"/>
      <c r="G569" s="20" t="s">
        <v>395</v>
      </c>
    </row>
    <row r="570" spans="1:7">
      <c r="A570" s="25">
        <v>44405</v>
      </c>
      <c r="B570" s="22">
        <v>30</v>
      </c>
      <c r="C570" s="22">
        <f>1+7</f>
        <v>8</v>
      </c>
      <c r="D570" s="22"/>
      <c r="E570" s="22"/>
      <c r="F570" s="22"/>
      <c r="G570" s="20" t="s">
        <v>397</v>
      </c>
    </row>
    <row r="571" spans="1:7">
      <c r="A571" s="28">
        <v>44406</v>
      </c>
      <c r="B571" s="22">
        <v>30</v>
      </c>
      <c r="C571" s="22">
        <f>1</f>
        <v>1</v>
      </c>
      <c r="D571" s="22"/>
      <c r="E571" s="22"/>
      <c r="F571" s="22"/>
    </row>
    <row r="572" spans="1:7">
      <c r="A572" s="28">
        <v>44407</v>
      </c>
      <c r="B572" s="22">
        <v>30</v>
      </c>
      <c r="C572" s="22">
        <f>1</f>
        <v>1</v>
      </c>
      <c r="D572" s="22"/>
      <c r="E572" s="22"/>
      <c r="F572" s="22"/>
    </row>
    <row r="573" spans="1:7">
      <c r="A573" s="28">
        <v>44408</v>
      </c>
      <c r="B573" s="22">
        <v>30</v>
      </c>
      <c r="C573" s="22"/>
      <c r="D573" s="22"/>
      <c r="E573" s="22"/>
      <c r="F573" s="22"/>
    </row>
    <row r="574" spans="1:7">
      <c r="A574" s="28">
        <v>44409</v>
      </c>
      <c r="B574" s="22">
        <v>30</v>
      </c>
      <c r="C574" s="22">
        <f>1</f>
        <v>1</v>
      </c>
      <c r="D574" s="22"/>
      <c r="E574" s="22"/>
      <c r="F574" s="22"/>
    </row>
    <row r="575" spans="1:7">
      <c r="A575" s="28">
        <v>44410</v>
      </c>
      <c r="B575" s="22">
        <v>31</v>
      </c>
      <c r="C575" s="22">
        <f>1</f>
        <v>1</v>
      </c>
      <c r="D575" s="22"/>
      <c r="E575" s="22"/>
      <c r="F575" s="22"/>
    </row>
    <row r="576" spans="1:7">
      <c r="A576" s="28">
        <v>44411</v>
      </c>
      <c r="B576" s="22">
        <v>31</v>
      </c>
      <c r="C576" s="22">
        <f>1+1</f>
        <v>2</v>
      </c>
      <c r="D576" s="22"/>
      <c r="E576" s="22"/>
      <c r="F576" s="22"/>
      <c r="G576" s="20" t="s">
        <v>398</v>
      </c>
    </row>
    <row r="577" spans="1:7">
      <c r="A577" s="28">
        <v>44412</v>
      </c>
      <c r="B577" s="22">
        <v>31</v>
      </c>
      <c r="C577" s="22"/>
      <c r="D577" s="22"/>
      <c r="E577" s="22"/>
      <c r="F577" s="22"/>
    </row>
    <row r="578" spans="1:7">
      <c r="A578" s="28">
        <v>44413</v>
      </c>
      <c r="B578" s="22">
        <v>31</v>
      </c>
      <c r="C578" s="22">
        <f>1</f>
        <v>1</v>
      </c>
      <c r="D578" s="22">
        <f>1</f>
        <v>1</v>
      </c>
      <c r="E578" s="22"/>
      <c r="F578" s="22"/>
    </row>
    <row r="579" spans="1:7">
      <c r="A579" s="28">
        <v>44414</v>
      </c>
      <c r="B579" s="22">
        <v>31</v>
      </c>
      <c r="C579" s="22">
        <f>1</f>
        <v>1</v>
      </c>
      <c r="D579" s="22"/>
      <c r="E579" s="22"/>
      <c r="F579" s="22"/>
    </row>
    <row r="580" spans="1:7">
      <c r="A580" s="28">
        <v>44415</v>
      </c>
      <c r="B580" s="22">
        <v>31</v>
      </c>
      <c r="C580" s="22">
        <f>1</f>
        <v>1</v>
      </c>
      <c r="D580" s="22"/>
      <c r="E580" s="22"/>
      <c r="F580" s="22"/>
    </row>
    <row r="581" spans="1:7">
      <c r="A581" s="28">
        <v>44416</v>
      </c>
      <c r="B581" s="22">
        <v>31</v>
      </c>
      <c r="C581" s="22">
        <f>1</f>
        <v>1</v>
      </c>
      <c r="D581" s="22"/>
      <c r="E581" s="22"/>
      <c r="F581" s="22"/>
    </row>
    <row r="582" spans="1:7">
      <c r="A582" s="28">
        <v>44417</v>
      </c>
      <c r="B582" s="22">
        <v>32</v>
      </c>
      <c r="C582" s="22"/>
      <c r="D582" s="22"/>
      <c r="E582" s="22"/>
      <c r="F582" s="22"/>
    </row>
    <row r="583" spans="1:7">
      <c r="A583" s="28">
        <v>44418</v>
      </c>
      <c r="B583" s="22">
        <v>32</v>
      </c>
      <c r="C583" s="22"/>
      <c r="D583" s="22"/>
      <c r="E583" s="22"/>
      <c r="F583" s="22"/>
    </row>
    <row r="584" spans="1:7">
      <c r="A584" s="28">
        <v>44419</v>
      </c>
      <c r="B584" s="22">
        <v>32</v>
      </c>
      <c r="C584" s="22">
        <f>1+5</f>
        <v>6</v>
      </c>
      <c r="D584" s="22"/>
      <c r="E584" s="22"/>
      <c r="F584" s="22"/>
      <c r="G584" s="20" t="s">
        <v>399</v>
      </c>
    </row>
    <row r="585" spans="1:7">
      <c r="A585" s="28">
        <v>44420</v>
      </c>
      <c r="B585" s="22">
        <v>32</v>
      </c>
      <c r="C585" s="22">
        <f>1+2</f>
        <v>3</v>
      </c>
      <c r="D585" s="22"/>
      <c r="E585" s="22"/>
      <c r="F585" s="22"/>
    </row>
    <row r="586" spans="1:7">
      <c r="A586" s="28">
        <v>44421</v>
      </c>
      <c r="B586" s="22">
        <v>32</v>
      </c>
      <c r="C586" s="22">
        <f>3</f>
        <v>3</v>
      </c>
      <c r="D586" s="22"/>
      <c r="E586" s="22"/>
      <c r="F586" s="22"/>
    </row>
    <row r="587" spans="1:7">
      <c r="A587" s="28">
        <v>44422</v>
      </c>
      <c r="B587" s="22">
        <v>32</v>
      </c>
      <c r="C587" s="22">
        <f>1</f>
        <v>1</v>
      </c>
      <c r="D587" s="22"/>
      <c r="E587" s="22"/>
      <c r="F587" s="22"/>
    </row>
    <row r="588" spans="1:7">
      <c r="A588" s="28">
        <v>44423</v>
      </c>
      <c r="B588" s="22">
        <v>32</v>
      </c>
      <c r="C588" s="22">
        <f>1</f>
        <v>1</v>
      </c>
      <c r="D588" s="22"/>
      <c r="E588" s="22"/>
      <c r="F588" s="22"/>
    </row>
    <row r="589" spans="1:7">
      <c r="A589" s="28">
        <v>44424</v>
      </c>
      <c r="B589" s="22">
        <v>33</v>
      </c>
      <c r="C589" s="22"/>
      <c r="D589" s="22"/>
      <c r="E589" s="22"/>
      <c r="F589" s="22"/>
    </row>
    <row r="590" spans="1:7">
      <c r="A590" s="28">
        <v>44425</v>
      </c>
      <c r="B590" s="22">
        <v>33</v>
      </c>
      <c r="C590" s="22"/>
      <c r="D590" s="22"/>
      <c r="E590" s="22"/>
      <c r="F590" s="22"/>
    </row>
    <row r="591" spans="1:7">
      <c r="A591" s="28">
        <v>44426</v>
      </c>
      <c r="B591" s="22">
        <v>33</v>
      </c>
      <c r="C591" s="22"/>
      <c r="D591" s="22">
        <f>1</f>
        <v>1</v>
      </c>
      <c r="E591" s="22"/>
      <c r="F591" s="22"/>
    </row>
    <row r="592" spans="1:7">
      <c r="A592" s="28">
        <v>44427</v>
      </c>
      <c r="B592" s="22">
        <v>33</v>
      </c>
      <c r="C592" s="22"/>
      <c r="D592" s="22">
        <f>1</f>
        <v>1</v>
      </c>
      <c r="E592" s="22"/>
      <c r="F592" s="22"/>
    </row>
    <row r="593" spans="1:7">
      <c r="A593" s="28">
        <v>44428</v>
      </c>
      <c r="B593" s="22">
        <v>33</v>
      </c>
      <c r="C593" s="22">
        <f>3</f>
        <v>3</v>
      </c>
      <c r="D593" s="22"/>
      <c r="E593" s="22"/>
      <c r="F593" s="22"/>
      <c r="G593" s="20" t="s">
        <v>400</v>
      </c>
    </row>
    <row r="594" spans="1:7">
      <c r="A594" s="28">
        <v>44429</v>
      </c>
      <c r="B594" s="22">
        <v>33</v>
      </c>
      <c r="C594" s="22">
        <f>1</f>
        <v>1</v>
      </c>
      <c r="D594" s="22"/>
      <c r="E594" s="22"/>
      <c r="F594" s="22"/>
    </row>
    <row r="595" spans="1:7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7">
      <c r="A596" s="28">
        <v>44431</v>
      </c>
      <c r="B596" s="22">
        <v>34</v>
      </c>
      <c r="C596" s="22"/>
      <c r="D596" s="22"/>
      <c r="E596" s="22"/>
      <c r="F596" s="22"/>
    </row>
    <row r="597" spans="1:7">
      <c r="A597" s="28">
        <v>44432</v>
      </c>
      <c r="B597" s="22">
        <v>34</v>
      </c>
      <c r="C597" s="22"/>
      <c r="D597" s="22"/>
      <c r="E597" s="22"/>
      <c r="F597" s="22"/>
    </row>
    <row r="598" spans="1:7">
      <c r="A598" s="28">
        <v>44433</v>
      </c>
      <c r="B598" s="22">
        <v>34</v>
      </c>
      <c r="C598" s="22">
        <f>1</f>
        <v>1</v>
      </c>
      <c r="D598" s="22"/>
      <c r="E598" s="22"/>
      <c r="F598" s="22"/>
    </row>
    <row r="599" spans="1:7">
      <c r="A599" s="28">
        <v>44434</v>
      </c>
      <c r="B599" s="22">
        <v>34</v>
      </c>
      <c r="C599" s="22"/>
      <c r="D599" s="22"/>
      <c r="E599" s="22"/>
      <c r="F599" s="22"/>
    </row>
    <row r="600" spans="1:7">
      <c r="A600" s="28">
        <v>44435</v>
      </c>
      <c r="B600" s="22">
        <v>34</v>
      </c>
      <c r="C600" s="22">
        <f>3</f>
        <v>3</v>
      </c>
      <c r="D600" s="22"/>
      <c r="E600" s="22"/>
      <c r="F600" s="22"/>
    </row>
    <row r="601" spans="1:7">
      <c r="A601" s="28">
        <v>44436</v>
      </c>
      <c r="B601" s="22">
        <v>34</v>
      </c>
      <c r="C601" s="22"/>
      <c r="D601" s="22"/>
      <c r="E601" s="22"/>
      <c r="F601" s="22"/>
    </row>
    <row r="602" spans="1:7">
      <c r="A602" s="28">
        <v>44437</v>
      </c>
      <c r="B602" s="22">
        <v>34</v>
      </c>
      <c r="C602" s="22">
        <f>1</f>
        <v>1</v>
      </c>
      <c r="D602" s="22"/>
      <c r="E602" s="22"/>
      <c r="F602" s="22"/>
    </row>
    <row r="603" spans="1:7">
      <c r="A603" s="28">
        <v>44438</v>
      </c>
      <c r="B603" s="22">
        <v>35</v>
      </c>
      <c r="C603" s="22">
        <f>1+1</f>
        <v>2</v>
      </c>
      <c r="D603" s="22"/>
      <c r="E603" s="22"/>
      <c r="F603" s="22"/>
    </row>
    <row r="604" spans="1:7">
      <c r="A604" s="28">
        <v>44439</v>
      </c>
      <c r="B604" s="22">
        <v>35</v>
      </c>
      <c r="C604" s="22"/>
      <c r="D604" s="22"/>
      <c r="E604" s="22"/>
      <c r="F604" s="22"/>
    </row>
    <row r="605" spans="1:7">
      <c r="A605" s="28">
        <v>44440</v>
      </c>
      <c r="B605" s="22">
        <v>35</v>
      </c>
      <c r="C605" s="22"/>
      <c r="D605" s="22"/>
      <c r="E605" s="22"/>
      <c r="F605" s="22"/>
    </row>
    <row r="606" spans="1:7">
      <c r="A606" s="28">
        <v>44441</v>
      </c>
      <c r="B606" s="22">
        <v>35</v>
      </c>
      <c r="C606" s="22"/>
      <c r="D606" s="22"/>
      <c r="E606" s="22"/>
      <c r="F606" s="22"/>
    </row>
    <row r="607" spans="1:7">
      <c r="A607" s="28">
        <v>44442</v>
      </c>
      <c r="B607" s="22">
        <v>35</v>
      </c>
      <c r="C607" s="22" t="s">
        <v>36</v>
      </c>
      <c r="D607" s="22"/>
      <c r="E607" s="22"/>
      <c r="F607" s="22"/>
      <c r="G607" s="20" t="s">
        <v>401</v>
      </c>
    </row>
    <row r="608" spans="1:7">
      <c r="A608" s="28">
        <v>44443</v>
      </c>
      <c r="B608" s="22">
        <v>35</v>
      </c>
      <c r="C608" s="22"/>
      <c r="D608" s="22"/>
      <c r="E608" s="22"/>
      <c r="F608" s="22"/>
    </row>
    <row r="609" spans="1:6">
      <c r="A609" s="28">
        <v>44444</v>
      </c>
      <c r="B609" s="22">
        <v>35</v>
      </c>
      <c r="C609" s="22"/>
      <c r="D609" s="22"/>
      <c r="E609" s="22"/>
      <c r="F609" s="22"/>
    </row>
    <row r="610" spans="1:6">
      <c r="A610" s="28">
        <v>44445</v>
      </c>
      <c r="B610" s="22">
        <v>36</v>
      </c>
      <c r="C610" s="22"/>
      <c r="D610" s="22"/>
      <c r="E610" s="22"/>
      <c r="F610" s="22"/>
    </row>
    <row r="611" spans="1:6">
      <c r="A611" s="28">
        <v>44446</v>
      </c>
      <c r="B611" s="22">
        <v>36</v>
      </c>
      <c r="C611" s="22"/>
      <c r="D611" s="22"/>
      <c r="E611" s="22"/>
      <c r="F611" s="22"/>
    </row>
    <row r="612" spans="1:6">
      <c r="A612" s="28">
        <v>44447</v>
      </c>
      <c r="B612" s="22">
        <v>36</v>
      </c>
      <c r="C612" s="22"/>
      <c r="D612" s="22"/>
      <c r="E612" s="22"/>
      <c r="F612" s="22"/>
    </row>
    <row r="613" spans="1:6">
      <c r="A613" s="28">
        <v>44448</v>
      </c>
      <c r="B613" s="22">
        <v>36</v>
      </c>
      <c r="C613" s="22"/>
      <c r="D613" s="22"/>
      <c r="E613" s="22"/>
      <c r="F613" s="22"/>
    </row>
    <row r="614" spans="1:6">
      <c r="A614" s="28">
        <v>44449</v>
      </c>
      <c r="B614" s="22">
        <v>36</v>
      </c>
      <c r="C614" s="22"/>
      <c r="D614" s="22"/>
      <c r="E614" s="22"/>
      <c r="F614" s="22"/>
    </row>
    <row r="615" spans="1:6">
      <c r="A615" s="28">
        <v>44450</v>
      </c>
      <c r="B615" s="22">
        <v>36</v>
      </c>
      <c r="C615" s="22"/>
      <c r="D615" s="22"/>
      <c r="E615" s="22"/>
      <c r="F615" s="22"/>
    </row>
    <row r="616" spans="1:6">
      <c r="A616" s="28">
        <v>44451</v>
      </c>
      <c r="B616" s="22">
        <v>36</v>
      </c>
      <c r="C616" s="22"/>
      <c r="D616" s="22"/>
      <c r="E616" s="22"/>
      <c r="F616" s="22"/>
    </row>
    <row r="617" spans="1:6">
      <c r="A617" s="28">
        <v>44452</v>
      </c>
      <c r="B617" s="22">
        <v>37</v>
      </c>
      <c r="C617" s="22"/>
      <c r="D617" s="22"/>
      <c r="E617" s="22"/>
      <c r="F617" s="22"/>
    </row>
    <row r="618" spans="1:6">
      <c r="A618" s="28">
        <v>44453</v>
      </c>
      <c r="B618" s="22">
        <v>37</v>
      </c>
      <c r="C618" s="22"/>
      <c r="D618" s="22"/>
      <c r="E618" s="22"/>
      <c r="F618" s="22"/>
    </row>
    <row r="619" spans="1:6">
      <c r="A619" s="28">
        <v>44454</v>
      </c>
      <c r="B619" s="22">
        <v>37</v>
      </c>
      <c r="C619" s="22"/>
      <c r="D619" s="22"/>
      <c r="E619" s="22"/>
      <c r="F619" s="22"/>
    </row>
    <row r="620" spans="1:6">
      <c r="A620" s="28">
        <v>44455</v>
      </c>
      <c r="B620" s="22">
        <v>37</v>
      </c>
      <c r="C620" s="22"/>
      <c r="D620" s="22"/>
      <c r="E620" s="22"/>
      <c r="F620" s="22"/>
    </row>
    <row r="621" spans="1:6">
      <c r="A621" s="28">
        <v>44456</v>
      </c>
      <c r="B621" s="22">
        <v>37</v>
      </c>
      <c r="C621" s="22"/>
      <c r="D621" s="22"/>
      <c r="E621" s="22"/>
      <c r="F621" s="22"/>
    </row>
    <row r="622" spans="1:6">
      <c r="A622" s="28">
        <v>44457</v>
      </c>
      <c r="B622" s="22">
        <v>37</v>
      </c>
      <c r="C622" s="22"/>
      <c r="D622" s="22"/>
      <c r="E622" s="22"/>
      <c r="F622" s="22"/>
    </row>
    <row r="623" spans="1:6">
      <c r="A623" s="28">
        <v>44458</v>
      </c>
      <c r="B623" s="22">
        <v>37</v>
      </c>
      <c r="C623" s="22"/>
      <c r="D623" s="22"/>
      <c r="E623" s="22"/>
      <c r="F623" s="22"/>
    </row>
    <row r="624" spans="1:6">
      <c r="A624" s="28">
        <v>44459</v>
      </c>
      <c r="B624" s="22">
        <v>38</v>
      </c>
      <c r="C624" s="22"/>
      <c r="D624" s="22"/>
      <c r="E624" s="22"/>
      <c r="F624" s="22"/>
    </row>
    <row r="625" spans="1:6">
      <c r="A625" s="28">
        <v>44460</v>
      </c>
      <c r="B625" s="22">
        <v>38</v>
      </c>
      <c r="C625" s="22"/>
      <c r="D625" s="22"/>
      <c r="E625" s="22"/>
      <c r="F625" s="22"/>
    </row>
    <row r="626" spans="1:6">
      <c r="A626" s="28">
        <v>44461</v>
      </c>
      <c r="B626" s="22">
        <v>38</v>
      </c>
      <c r="C626" s="22"/>
      <c r="D626" s="22"/>
      <c r="E626" s="22"/>
      <c r="F626" s="22"/>
    </row>
    <row r="627" spans="1:6">
      <c r="A627" s="28">
        <v>44462</v>
      </c>
      <c r="B627" s="22">
        <v>38</v>
      </c>
      <c r="C627" s="22"/>
      <c r="D627" s="22"/>
      <c r="E627" s="22"/>
      <c r="F627" s="22"/>
    </row>
    <row r="628" spans="1:6">
      <c r="A628" s="28">
        <v>44463</v>
      </c>
      <c r="B628" s="22">
        <v>38</v>
      </c>
      <c r="C628" s="22"/>
      <c r="D628" s="22"/>
      <c r="E628" s="22"/>
      <c r="F628" s="22"/>
    </row>
    <row r="629" spans="1:6">
      <c r="A629" s="28">
        <v>44464</v>
      </c>
      <c r="B629" s="22">
        <v>38</v>
      </c>
      <c r="C629" s="22"/>
      <c r="D629" s="22"/>
      <c r="E629" s="22"/>
      <c r="F629" s="22"/>
    </row>
    <row r="630" spans="1:6">
      <c r="A630" s="28">
        <v>44465</v>
      </c>
      <c r="B630" s="22">
        <v>38</v>
      </c>
      <c r="C630" s="22"/>
      <c r="D630" s="22"/>
      <c r="E630" s="22"/>
      <c r="F630" s="22"/>
    </row>
    <row r="631" spans="1:6">
      <c r="A631" s="28">
        <v>44466</v>
      </c>
      <c r="B631" s="22">
        <v>39</v>
      </c>
      <c r="C631" s="22"/>
      <c r="D631" s="22"/>
      <c r="E631" s="22"/>
      <c r="F631" s="22"/>
    </row>
    <row r="632" spans="1:6">
      <c r="A632" s="28">
        <v>44467</v>
      </c>
      <c r="B632" s="22">
        <v>39</v>
      </c>
      <c r="C632" s="22"/>
      <c r="D632" s="22"/>
      <c r="E632" s="22"/>
      <c r="F632" s="22"/>
    </row>
    <row r="633" spans="1:6">
      <c r="A633" s="28">
        <v>44468</v>
      </c>
      <c r="B633" s="22">
        <v>39</v>
      </c>
      <c r="C633" s="22"/>
      <c r="D633" s="22"/>
      <c r="E633" s="22"/>
      <c r="F633" s="22"/>
    </row>
    <row r="634" spans="1:6">
      <c r="A634" s="28">
        <v>44469</v>
      </c>
      <c r="B634" s="22">
        <v>39</v>
      </c>
      <c r="C634" s="22"/>
      <c r="D634" s="22"/>
      <c r="E634" s="22"/>
      <c r="F634" s="22"/>
    </row>
    <row r="635" spans="1:6">
      <c r="A635" s="28">
        <v>44470</v>
      </c>
      <c r="B635" s="22">
        <v>39</v>
      </c>
      <c r="C635" s="22"/>
      <c r="D635" s="22"/>
      <c r="E635" s="22"/>
      <c r="F635" s="22"/>
    </row>
    <row r="636" spans="1:6">
      <c r="A636" s="28">
        <v>44471</v>
      </c>
      <c r="B636" s="22">
        <v>39</v>
      </c>
      <c r="C636" s="22"/>
      <c r="D636" s="22"/>
      <c r="E636" s="22"/>
      <c r="F636" s="22"/>
    </row>
    <row r="637" spans="1:6">
      <c r="A637" s="28">
        <v>44472</v>
      </c>
      <c r="B637" s="22">
        <v>39</v>
      </c>
      <c r="C637" s="22"/>
      <c r="D637" s="22"/>
      <c r="E637" s="22"/>
      <c r="F637" s="22"/>
    </row>
    <row r="638" spans="1:6">
      <c r="A638" s="28">
        <v>44473</v>
      </c>
      <c r="B638" s="22">
        <v>40</v>
      </c>
      <c r="C638" s="22"/>
      <c r="D638" s="22"/>
      <c r="E638" s="22"/>
      <c r="F638" s="22"/>
    </row>
    <row r="639" spans="1:6">
      <c r="A639" s="28">
        <v>44474</v>
      </c>
      <c r="B639" s="22">
        <v>40</v>
      </c>
      <c r="C639" s="22"/>
      <c r="D639" s="22"/>
      <c r="E639" s="22"/>
      <c r="F639" s="22"/>
    </row>
    <row r="640" spans="1:6">
      <c r="A640" s="28">
        <v>44475</v>
      </c>
      <c r="B640" s="22">
        <v>40</v>
      </c>
      <c r="C640" s="22"/>
      <c r="D640" s="22"/>
      <c r="E640" s="22"/>
      <c r="F640" s="22"/>
    </row>
    <row r="641" spans="1:6">
      <c r="A641" s="28">
        <v>44476</v>
      </c>
      <c r="B641" s="22">
        <v>40</v>
      </c>
      <c r="C641" s="22"/>
      <c r="D641" s="22"/>
      <c r="E641" s="22"/>
      <c r="F641" s="22"/>
    </row>
    <row r="642" spans="1:6">
      <c r="A642" s="28">
        <v>44477</v>
      </c>
      <c r="B642" s="22">
        <v>40</v>
      </c>
      <c r="C642" s="22"/>
      <c r="D642" s="22"/>
      <c r="E642" s="22"/>
      <c r="F642" s="22"/>
    </row>
    <row r="643" spans="1:6">
      <c r="A643" s="28">
        <v>44478</v>
      </c>
      <c r="B643" s="22">
        <v>40</v>
      </c>
      <c r="C643" s="22"/>
      <c r="D643" s="22"/>
      <c r="E643" s="22"/>
      <c r="F643" s="22"/>
    </row>
    <row r="644" spans="1:6">
      <c r="A644" s="28">
        <v>44479</v>
      </c>
      <c r="B644" s="22">
        <v>40</v>
      </c>
      <c r="C644" s="22"/>
      <c r="D644" s="22"/>
      <c r="E644" s="22"/>
      <c r="F644" s="22"/>
    </row>
    <row r="645" spans="1:6">
      <c r="A645" s="28">
        <v>44480</v>
      </c>
      <c r="B645" s="22">
        <v>41</v>
      </c>
      <c r="C645" s="22"/>
      <c r="D645" s="22"/>
      <c r="E645" s="22"/>
      <c r="F645" s="22"/>
    </row>
    <row r="646" spans="1:6">
      <c r="A646" s="28">
        <v>44481</v>
      </c>
      <c r="B646" s="22">
        <v>41</v>
      </c>
      <c r="C646" s="22"/>
      <c r="D646" s="22"/>
      <c r="E646" s="22"/>
      <c r="F646" s="22"/>
    </row>
    <row r="647" spans="1:6">
      <c r="A647" s="28">
        <v>44482</v>
      </c>
      <c r="B647" s="22">
        <v>41</v>
      </c>
      <c r="C647" s="22"/>
      <c r="D647" s="22"/>
      <c r="E647" s="22"/>
      <c r="F647" s="22"/>
    </row>
    <row r="648" spans="1:6">
      <c r="A648" s="28">
        <v>44483</v>
      </c>
      <c r="B648" s="22">
        <v>41</v>
      </c>
      <c r="C648" s="22"/>
      <c r="D648" s="22"/>
      <c r="E648" s="22"/>
      <c r="F648" s="22"/>
    </row>
    <row r="649" spans="1:6">
      <c r="A649" s="28">
        <v>44484</v>
      </c>
      <c r="B649" s="22">
        <v>41</v>
      </c>
      <c r="C649" s="22"/>
      <c r="D649" s="22"/>
      <c r="E649" s="22"/>
      <c r="F649" s="22"/>
    </row>
    <row r="650" spans="1:6">
      <c r="A650" s="28">
        <v>44485</v>
      </c>
      <c r="B650" s="22">
        <v>41</v>
      </c>
      <c r="C650" s="22"/>
      <c r="D650" s="22"/>
      <c r="E650" s="22"/>
      <c r="F650" s="22"/>
    </row>
    <row r="651" spans="1:6">
      <c r="A651" s="28">
        <v>44486</v>
      </c>
      <c r="B651" s="22">
        <v>41</v>
      </c>
      <c r="C651" s="22"/>
      <c r="D651" s="22"/>
      <c r="E651" s="22"/>
      <c r="F651" s="22"/>
    </row>
    <row r="652" spans="1:6">
      <c r="A652" s="28">
        <v>44487</v>
      </c>
      <c r="B652" s="22">
        <v>42</v>
      </c>
      <c r="C652" s="22"/>
      <c r="D652" s="22"/>
      <c r="E652" s="22"/>
      <c r="F652" s="22"/>
    </row>
    <row r="653" spans="1:6">
      <c r="A653" s="28">
        <v>44488</v>
      </c>
      <c r="B653" s="22">
        <v>42</v>
      </c>
      <c r="C653" s="22"/>
      <c r="D653" s="22"/>
      <c r="E653" s="22"/>
      <c r="F653" s="22"/>
    </row>
    <row r="654" spans="1:6">
      <c r="A654" s="28">
        <v>44489</v>
      </c>
      <c r="B654" s="22">
        <v>42</v>
      </c>
      <c r="C654" s="22"/>
      <c r="D654" s="22"/>
      <c r="E654" s="22"/>
      <c r="F654" s="22"/>
    </row>
    <row r="655" spans="1:6">
      <c r="A655" s="28">
        <v>44490</v>
      </c>
      <c r="B655" s="22">
        <v>42</v>
      </c>
      <c r="C655" s="22"/>
      <c r="D655" s="22"/>
      <c r="E655" s="22"/>
      <c r="F655" s="22"/>
    </row>
    <row r="656" spans="1:6">
      <c r="A656" s="28">
        <v>44491</v>
      </c>
      <c r="B656" s="22">
        <v>42</v>
      </c>
      <c r="C656" s="22"/>
      <c r="D656" s="22"/>
      <c r="E656" s="22"/>
      <c r="F656" s="22"/>
    </row>
    <row r="657" spans="1:6">
      <c r="A657" s="28">
        <v>44492</v>
      </c>
      <c r="B657" s="22">
        <v>42</v>
      </c>
      <c r="C657" s="22"/>
      <c r="D657" s="22"/>
      <c r="E657" s="22"/>
      <c r="F657" s="22"/>
    </row>
    <row r="658" spans="1:6">
      <c r="A658" s="28">
        <v>44493</v>
      </c>
      <c r="B658" s="22">
        <v>42</v>
      </c>
      <c r="C658" s="22"/>
      <c r="D658" s="22"/>
      <c r="E658" s="22"/>
      <c r="F658" s="22"/>
    </row>
    <row r="659" spans="1:6">
      <c r="A659" s="28">
        <v>44494</v>
      </c>
      <c r="B659" s="22">
        <v>43</v>
      </c>
      <c r="C659" s="22"/>
      <c r="D659" s="22">
        <f>1</f>
        <v>1</v>
      </c>
      <c r="E659" s="22"/>
      <c r="F659" s="22"/>
    </row>
    <row r="660" spans="1:6">
      <c r="A660" s="28">
        <v>44495</v>
      </c>
      <c r="B660" s="22">
        <v>43</v>
      </c>
      <c r="C660" s="22"/>
      <c r="D660" s="22"/>
      <c r="E660" s="22"/>
      <c r="F660" s="22"/>
    </row>
    <row r="661" spans="1:6">
      <c r="A661" s="28">
        <v>44496</v>
      </c>
      <c r="B661" s="22">
        <v>43</v>
      </c>
      <c r="C661" s="22"/>
      <c r="D661" s="22"/>
      <c r="E661" s="22"/>
      <c r="F661" s="22"/>
    </row>
    <row r="662" spans="1:6">
      <c r="A662" s="28">
        <v>44497</v>
      </c>
      <c r="B662" s="22">
        <v>43</v>
      </c>
      <c r="C662" s="22"/>
      <c r="D662" s="22"/>
      <c r="E662" s="22"/>
      <c r="F662" s="22"/>
    </row>
    <row r="663" spans="1:6">
      <c r="A663" s="28">
        <v>44498</v>
      </c>
      <c r="B663" s="22">
        <v>43</v>
      </c>
      <c r="C663" s="22"/>
      <c r="D663" s="22"/>
      <c r="E663" s="22"/>
      <c r="F663" s="22"/>
    </row>
    <row r="664" spans="1:6">
      <c r="A664" s="28">
        <v>44499</v>
      </c>
      <c r="B664" s="22">
        <v>43</v>
      </c>
      <c r="C664" s="22"/>
      <c r="D664" s="22"/>
      <c r="E664" s="22"/>
      <c r="F664" s="22"/>
    </row>
    <row r="665" spans="1:6">
      <c r="A665" s="28">
        <v>44500</v>
      </c>
      <c r="B665" s="22">
        <v>43</v>
      </c>
      <c r="C665" s="22"/>
      <c r="D665" s="22"/>
      <c r="E665" s="22"/>
      <c r="F665" s="22"/>
    </row>
    <row r="666" spans="1:6">
      <c r="A666" s="28">
        <v>44501</v>
      </c>
      <c r="B666" s="22">
        <v>44</v>
      </c>
      <c r="C666" s="22">
        <f>1</f>
        <v>1</v>
      </c>
      <c r="D666" s="22"/>
      <c r="E666" s="22"/>
      <c r="F666" s="22"/>
    </row>
    <row r="667" spans="1:6">
      <c r="A667" s="28">
        <v>44502</v>
      </c>
      <c r="B667" s="22">
        <v>44</v>
      </c>
      <c r="C667" s="22"/>
      <c r="D667" s="22"/>
      <c r="E667" s="22"/>
      <c r="F667" s="22"/>
    </row>
    <row r="668" spans="1:6">
      <c r="A668" s="28">
        <v>44503</v>
      </c>
      <c r="B668" s="22">
        <v>44</v>
      </c>
      <c r="C668" s="22"/>
      <c r="D668" s="22"/>
      <c r="E668" s="22"/>
      <c r="F668" s="22"/>
    </row>
    <row r="669" spans="1:6">
      <c r="A669" s="28">
        <v>44504</v>
      </c>
      <c r="B669" s="22">
        <v>44</v>
      </c>
      <c r="C669" s="22"/>
      <c r="D669" s="22"/>
      <c r="E669" s="22"/>
      <c r="F669" s="22"/>
    </row>
    <row r="670" spans="1:6">
      <c r="A670" s="28">
        <v>44505</v>
      </c>
      <c r="B670" s="22">
        <v>44</v>
      </c>
      <c r="C670" s="22"/>
      <c r="D670" s="22"/>
      <c r="E670" s="22"/>
      <c r="F670" s="22"/>
    </row>
    <row r="671" spans="1:6">
      <c r="A671" s="28">
        <v>44506</v>
      </c>
      <c r="B671" s="22">
        <v>44</v>
      </c>
      <c r="C671" s="22"/>
      <c r="D671" s="22"/>
      <c r="E671" s="22"/>
      <c r="F671" s="22"/>
    </row>
    <row r="672" spans="1:6">
      <c r="A672" s="28">
        <v>44507</v>
      </c>
      <c r="B672" s="22">
        <v>44</v>
      </c>
      <c r="C672" s="22"/>
      <c r="D672" s="22"/>
      <c r="E672" s="22"/>
      <c r="F672" s="22"/>
    </row>
    <row r="673" spans="1:6">
      <c r="A673" s="28">
        <v>44508</v>
      </c>
      <c r="B673" s="22">
        <v>45</v>
      </c>
      <c r="C673" s="22"/>
      <c r="D673" s="22"/>
      <c r="E673" s="22"/>
      <c r="F673" s="22"/>
    </row>
    <row r="674" spans="1:6">
      <c r="A674" s="28">
        <v>44509</v>
      </c>
      <c r="B674" s="22">
        <v>45</v>
      </c>
      <c r="C674" s="22"/>
      <c r="D674" s="22"/>
      <c r="E674" s="22"/>
      <c r="F674" s="22"/>
    </row>
    <row r="675" spans="1:6">
      <c r="A675" s="28">
        <v>44510</v>
      </c>
      <c r="B675" s="22">
        <v>45</v>
      </c>
      <c r="C675" s="22"/>
      <c r="D675" s="22"/>
      <c r="E675" s="22"/>
      <c r="F675" s="22"/>
    </row>
    <row r="676" spans="1:6">
      <c r="A676" s="28">
        <v>44511</v>
      </c>
      <c r="B676" s="22">
        <v>45</v>
      </c>
      <c r="C676" s="22"/>
      <c r="D676" s="22"/>
      <c r="E676" s="22"/>
      <c r="F676" s="22"/>
    </row>
    <row r="677" spans="1:6">
      <c r="A677" s="28">
        <v>44512</v>
      </c>
      <c r="B677" s="22">
        <v>45</v>
      </c>
      <c r="C677" s="22"/>
      <c r="D677" s="22"/>
      <c r="E677" s="22"/>
      <c r="F677" s="22"/>
    </row>
    <row r="678" spans="1:6">
      <c r="A678" s="28">
        <v>44513</v>
      </c>
      <c r="B678" s="22">
        <v>45</v>
      </c>
      <c r="C678" s="22"/>
      <c r="D678" s="22"/>
      <c r="E678" s="22"/>
      <c r="F678" s="22"/>
    </row>
    <row r="679" spans="1:6">
      <c r="A679" s="28">
        <v>44514</v>
      </c>
      <c r="B679" s="22">
        <v>45</v>
      </c>
      <c r="C679" s="22"/>
      <c r="D679" s="22"/>
      <c r="E679" s="22"/>
      <c r="F679" s="22"/>
    </row>
    <row r="680" spans="1:6">
      <c r="A680" s="28">
        <v>44515</v>
      </c>
      <c r="B680" s="22">
        <v>46</v>
      </c>
      <c r="C680" s="22"/>
      <c r="D680" s="22"/>
      <c r="E680" s="22"/>
      <c r="F680" s="22"/>
    </row>
    <row r="681" spans="1:6">
      <c r="A681" s="28">
        <v>44516</v>
      </c>
      <c r="B681" s="22">
        <v>46</v>
      </c>
      <c r="C681" s="22"/>
      <c r="D681" s="22"/>
      <c r="E681" s="22"/>
      <c r="F681" s="22"/>
    </row>
    <row r="682" spans="1:6">
      <c r="A682" s="28">
        <v>44517</v>
      </c>
      <c r="B682" s="22">
        <v>46</v>
      </c>
      <c r="C682" s="22"/>
      <c r="D682" s="22"/>
      <c r="E682" s="22"/>
      <c r="F682" s="22"/>
    </row>
    <row r="683" spans="1:6">
      <c r="A683" s="28">
        <v>44518</v>
      </c>
      <c r="B683" s="22">
        <v>46</v>
      </c>
      <c r="C683" s="22"/>
      <c r="D683" s="22"/>
      <c r="E683" s="22"/>
      <c r="F683" s="22"/>
    </row>
    <row r="684" spans="1:6">
      <c r="A684" s="28">
        <v>44519</v>
      </c>
      <c r="B684" s="22">
        <v>46</v>
      </c>
      <c r="C684" s="22"/>
      <c r="D684" s="22"/>
      <c r="E684" s="22"/>
      <c r="F684" s="22"/>
    </row>
    <row r="685" spans="1:6">
      <c r="A685" s="28">
        <v>44520</v>
      </c>
      <c r="B685" s="22">
        <v>46</v>
      </c>
      <c r="C685" s="22"/>
      <c r="D685" s="22"/>
      <c r="E685" s="22"/>
      <c r="F685" s="22"/>
    </row>
    <row r="686" spans="1:6">
      <c r="A686" s="28">
        <v>44521</v>
      </c>
      <c r="B686" s="22">
        <v>46</v>
      </c>
      <c r="C686" s="22"/>
      <c r="D686" s="22"/>
      <c r="E686" s="22"/>
      <c r="F686" s="22"/>
    </row>
    <row r="687" spans="1:6">
      <c r="A687" s="28">
        <v>44522</v>
      </c>
      <c r="B687" s="22">
        <v>47</v>
      </c>
      <c r="C687" s="22"/>
      <c r="D687" s="22"/>
      <c r="E687" s="22"/>
      <c r="F687" s="22"/>
    </row>
    <row r="688" spans="1:6">
      <c r="A688" s="28">
        <v>44523</v>
      </c>
      <c r="B688" s="22">
        <v>47</v>
      </c>
      <c r="C688" s="22"/>
      <c r="D688" s="22"/>
      <c r="E688" s="22"/>
      <c r="F688" s="22"/>
    </row>
    <row r="689" spans="1:6">
      <c r="A689" s="28">
        <v>44524</v>
      </c>
      <c r="B689" s="22">
        <v>47</v>
      </c>
      <c r="C689" s="22"/>
      <c r="D689" s="22"/>
      <c r="E689" s="22"/>
      <c r="F689" s="22"/>
    </row>
    <row r="690" spans="1:6">
      <c r="A690" s="28">
        <v>44525</v>
      </c>
      <c r="B690" s="22">
        <v>47</v>
      </c>
      <c r="C690" s="22"/>
      <c r="D690" s="22"/>
      <c r="E690" s="22"/>
      <c r="F690" s="22"/>
    </row>
    <row r="691" spans="1:6">
      <c r="A691" s="28">
        <v>44526</v>
      </c>
      <c r="B691" s="22">
        <v>47</v>
      </c>
      <c r="C691" s="22"/>
      <c r="D691" s="22"/>
      <c r="E691" s="22"/>
      <c r="F691" s="22"/>
    </row>
    <row r="692" spans="1:6">
      <c r="A692" s="28">
        <v>44527</v>
      </c>
      <c r="B692" s="22">
        <v>47</v>
      </c>
      <c r="C692" s="22"/>
      <c r="D692" s="22"/>
      <c r="E692" s="22"/>
      <c r="F692" s="22"/>
    </row>
    <row r="693" spans="1:6">
      <c r="A693" s="28">
        <v>44528</v>
      </c>
      <c r="B693" s="22">
        <v>47</v>
      </c>
      <c r="C693" s="22"/>
      <c r="D693" s="22"/>
      <c r="E693" s="22"/>
      <c r="F693" s="22"/>
    </row>
    <row r="694" spans="1:6">
      <c r="A694" s="28">
        <v>44529</v>
      </c>
      <c r="B694" s="22">
        <v>48</v>
      </c>
      <c r="C694" s="22"/>
      <c r="D694" s="22"/>
      <c r="E694" s="22"/>
      <c r="F694" s="22"/>
    </row>
    <row r="695" spans="1:6">
      <c r="A695" s="28">
        <v>44530</v>
      </c>
      <c r="B695" s="22">
        <v>48</v>
      </c>
      <c r="C695" s="22"/>
      <c r="D695" s="22"/>
      <c r="E695" s="22"/>
      <c r="F695" s="22"/>
    </row>
    <row r="696" spans="1:6">
      <c r="A696" s="28">
        <v>44531</v>
      </c>
      <c r="B696" s="22">
        <v>48</v>
      </c>
      <c r="C696" s="22"/>
      <c r="D696" s="22"/>
      <c r="E696" s="22"/>
      <c r="F696" s="22"/>
    </row>
    <row r="697" spans="1:6">
      <c r="A697" s="28">
        <v>44532</v>
      </c>
      <c r="B697" s="22">
        <v>48</v>
      </c>
      <c r="C697" s="22"/>
      <c r="D697" s="22"/>
      <c r="E697" s="22"/>
      <c r="F697" s="22"/>
    </row>
    <row r="698" spans="1:6">
      <c r="A698" s="28">
        <v>44533</v>
      </c>
      <c r="B698" s="22">
        <v>48</v>
      </c>
      <c r="C698" s="22"/>
      <c r="D698" s="22"/>
      <c r="E698" s="22"/>
      <c r="F698" s="22"/>
    </row>
    <row r="699" spans="1:6">
      <c r="A699" s="28">
        <v>44534</v>
      </c>
      <c r="B699" s="22">
        <v>48</v>
      </c>
      <c r="C699" s="22"/>
      <c r="D699" s="22"/>
      <c r="E699" s="22"/>
      <c r="F699" s="22"/>
    </row>
    <row r="700" spans="1:6">
      <c r="A700" s="28">
        <v>44535</v>
      </c>
      <c r="B700" s="22">
        <v>48</v>
      </c>
      <c r="C700" s="22"/>
      <c r="D700" s="22"/>
      <c r="E700" s="22"/>
      <c r="F700" s="22"/>
    </row>
    <row r="701" spans="1:6">
      <c r="A701" s="28">
        <v>44536</v>
      </c>
      <c r="B701" s="22">
        <v>49</v>
      </c>
      <c r="C701" s="22"/>
      <c r="D701" s="22"/>
      <c r="E701" s="22"/>
      <c r="F701" s="22"/>
    </row>
    <row r="702" spans="1:6">
      <c r="A702" s="28">
        <v>44537</v>
      </c>
      <c r="B702" s="22">
        <v>49</v>
      </c>
      <c r="C702" s="22"/>
      <c r="D702" s="22"/>
      <c r="E702" s="22"/>
      <c r="F702" s="22"/>
    </row>
    <row r="703" spans="1:6">
      <c r="A703" s="28">
        <v>44538</v>
      </c>
      <c r="B703" s="22">
        <v>49</v>
      </c>
      <c r="C703" s="22"/>
      <c r="D703" s="22"/>
      <c r="E703" s="22"/>
      <c r="F703" s="22"/>
    </row>
    <row r="704" spans="1:6">
      <c r="A704" s="28">
        <v>44539</v>
      </c>
      <c r="B704" s="22">
        <v>49</v>
      </c>
      <c r="C704" s="22"/>
      <c r="D704" s="22"/>
      <c r="E704" s="22"/>
      <c r="F704" s="22"/>
    </row>
    <row r="705" spans="1:6">
      <c r="A705" s="28">
        <v>44540</v>
      </c>
      <c r="B705" s="22">
        <v>49</v>
      </c>
      <c r="C705" s="22"/>
      <c r="D705" s="22"/>
      <c r="E705" s="22"/>
      <c r="F705" s="22"/>
    </row>
    <row r="706" spans="1:6">
      <c r="A706" s="28">
        <v>44541</v>
      </c>
      <c r="B706" s="22">
        <v>49</v>
      </c>
      <c r="C706" s="22"/>
      <c r="D706" s="22"/>
      <c r="E706" s="22"/>
      <c r="F706" s="22"/>
    </row>
    <row r="707" spans="1:6">
      <c r="A707" s="28">
        <v>44542</v>
      </c>
      <c r="B707" s="22">
        <v>49</v>
      </c>
      <c r="C707" s="22"/>
      <c r="D707" s="22"/>
      <c r="E707" s="22"/>
      <c r="F707" s="22"/>
    </row>
    <row r="708" spans="1:6">
      <c r="A708" s="28">
        <v>44543</v>
      </c>
      <c r="B708" s="22">
        <v>50</v>
      </c>
      <c r="C708" s="22"/>
      <c r="D708" s="22"/>
      <c r="E708" s="22"/>
      <c r="F708" s="22"/>
    </row>
    <row r="709" spans="1:6">
      <c r="A709" s="28">
        <v>44544</v>
      </c>
      <c r="B709" s="22">
        <v>50</v>
      </c>
      <c r="C709" s="22"/>
      <c r="D709" s="22"/>
      <c r="E709" s="22"/>
      <c r="F709" s="22"/>
    </row>
    <row r="710" spans="1:6">
      <c r="A710" s="28">
        <v>44545</v>
      </c>
      <c r="B710" s="22">
        <v>50</v>
      </c>
      <c r="C710" s="22"/>
      <c r="D710" s="22"/>
      <c r="E710" s="22"/>
      <c r="F710" s="22"/>
    </row>
    <row r="711" spans="1:6">
      <c r="A711" s="28">
        <v>44546</v>
      </c>
      <c r="B711" s="22">
        <v>50</v>
      </c>
      <c r="C711" s="22"/>
      <c r="D711" s="22"/>
      <c r="E711" s="22"/>
      <c r="F711" s="22"/>
    </row>
    <row r="712" spans="1:6">
      <c r="A712" s="28">
        <v>44547</v>
      </c>
      <c r="B712" s="22">
        <v>50</v>
      </c>
      <c r="C712" s="22"/>
      <c r="D712" s="22"/>
      <c r="E712" s="22"/>
      <c r="F712" s="22"/>
    </row>
    <row r="713" spans="1:6">
      <c r="A713" s="28">
        <v>44548</v>
      </c>
      <c r="B713" s="22">
        <v>50</v>
      </c>
      <c r="C713" s="22"/>
      <c r="D713" s="22"/>
      <c r="E713" s="22"/>
      <c r="F713" s="22"/>
    </row>
    <row r="714" spans="1:6">
      <c r="A714" s="28">
        <v>44549</v>
      </c>
      <c r="B714" s="22">
        <v>50</v>
      </c>
      <c r="C714" s="22">
        <f>1</f>
        <v>1</v>
      </c>
      <c r="D714" s="22"/>
      <c r="E714" s="22"/>
      <c r="F714" s="22"/>
    </row>
    <row r="715" spans="1:6">
      <c r="A715" s="28">
        <v>44550</v>
      </c>
      <c r="B715" s="22">
        <v>51</v>
      </c>
      <c r="C715" s="22"/>
      <c r="D715" s="22"/>
      <c r="E715" s="22"/>
      <c r="F715" s="22"/>
    </row>
    <row r="716" spans="1:6">
      <c r="A716" s="28">
        <v>44551</v>
      </c>
      <c r="B716" s="22">
        <v>51</v>
      </c>
      <c r="C716" s="22"/>
      <c r="D716" s="22"/>
      <c r="E716" s="22"/>
      <c r="F716" s="22"/>
    </row>
    <row r="717" spans="1:6">
      <c r="A717" s="28">
        <v>44552</v>
      </c>
      <c r="B717" s="22">
        <v>51</v>
      </c>
      <c r="C717" s="22"/>
      <c r="D717" s="22"/>
      <c r="E717" s="22"/>
      <c r="F717" s="22"/>
    </row>
    <row r="718" spans="1:6">
      <c r="A718" s="28">
        <v>44553</v>
      </c>
      <c r="B718" s="22">
        <v>51</v>
      </c>
      <c r="C718" s="22"/>
      <c r="D718" s="22"/>
      <c r="E718" s="22"/>
      <c r="F718" s="22"/>
    </row>
    <row r="719" spans="1:6">
      <c r="A719" s="28">
        <v>44554</v>
      </c>
      <c r="B719" s="22">
        <v>51</v>
      </c>
      <c r="C719" s="22"/>
      <c r="D719" s="22"/>
      <c r="E719" s="22"/>
      <c r="F719" s="22"/>
    </row>
    <row r="720" spans="1:6">
      <c r="A720" s="28">
        <v>44555</v>
      </c>
      <c r="B720" s="22">
        <v>51</v>
      </c>
      <c r="C720" s="22"/>
      <c r="D720" s="22"/>
      <c r="E720" s="22"/>
      <c r="F720" s="22"/>
    </row>
    <row r="721" spans="1:6">
      <c r="A721" s="28">
        <v>44556</v>
      </c>
      <c r="B721" s="22">
        <v>51</v>
      </c>
      <c r="C721" s="22"/>
      <c r="D721" s="22"/>
      <c r="E721" s="22"/>
      <c r="F721" s="22"/>
    </row>
    <row r="722" spans="1:6">
      <c r="A722" s="28">
        <v>44557</v>
      </c>
      <c r="B722" s="22">
        <v>52</v>
      </c>
      <c r="C722" s="22"/>
      <c r="D722" s="22"/>
      <c r="E722" s="22"/>
      <c r="F722" s="22"/>
    </row>
    <row r="723" spans="1:6">
      <c r="A723" s="28">
        <v>44558</v>
      </c>
      <c r="B723" s="22">
        <v>52</v>
      </c>
      <c r="C723" s="22"/>
      <c r="D723" s="22"/>
      <c r="E723" s="22"/>
      <c r="F723" s="22"/>
    </row>
    <row r="724" spans="1:6">
      <c r="A724" s="28">
        <v>44559</v>
      </c>
      <c r="B724" s="22">
        <v>52</v>
      </c>
      <c r="C724" s="22"/>
      <c r="D724" s="22"/>
      <c r="E724" s="22"/>
      <c r="F724" s="22"/>
    </row>
    <row r="725" spans="1:6">
      <c r="A725" s="28">
        <v>44560</v>
      </c>
      <c r="B725" s="22">
        <v>52</v>
      </c>
      <c r="C725" s="22"/>
      <c r="D725" s="22"/>
      <c r="E725" s="22"/>
      <c r="F725" s="22"/>
    </row>
    <row r="726" spans="1:6">
      <c r="A726" s="28">
        <v>44561</v>
      </c>
      <c r="B726" s="22">
        <v>52</v>
      </c>
      <c r="C726" s="22"/>
      <c r="D726" s="22"/>
      <c r="E726" s="22"/>
      <c r="F726" s="22"/>
    </row>
    <row r="727" spans="1:6">
      <c r="A727" s="28">
        <v>44562</v>
      </c>
      <c r="B727" s="22">
        <v>52</v>
      </c>
      <c r="C727" s="22"/>
      <c r="D727" s="22"/>
      <c r="E727" s="22"/>
      <c r="F727" s="22"/>
    </row>
    <row r="728" spans="1:6">
      <c r="A728" s="28">
        <v>44563</v>
      </c>
      <c r="B728" s="22">
        <v>52</v>
      </c>
      <c r="C728" s="22"/>
      <c r="D728" s="22"/>
      <c r="E728" s="22"/>
      <c r="F728" s="22"/>
    </row>
    <row r="729" spans="1:6">
      <c r="A729" s="28">
        <v>44564</v>
      </c>
      <c r="B729" s="22">
        <v>1</v>
      </c>
      <c r="C729" s="22"/>
      <c r="D729" s="22"/>
      <c r="E729" s="22"/>
      <c r="F729" s="22"/>
    </row>
    <row r="730" spans="1:6">
      <c r="A730" s="28">
        <v>44565</v>
      </c>
      <c r="B730" s="22">
        <v>1</v>
      </c>
      <c r="C730" s="22"/>
      <c r="D730" s="22"/>
      <c r="E730" s="22"/>
      <c r="F730" s="22"/>
    </row>
    <row r="731" spans="1:6">
      <c r="A731" s="28">
        <v>44566</v>
      </c>
      <c r="B731" s="22">
        <v>1</v>
      </c>
      <c r="C731" s="22"/>
      <c r="D731" s="22"/>
      <c r="E731" s="22"/>
      <c r="F731" s="22"/>
    </row>
    <row r="732" spans="1:6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>
      <c r="A733" s="28">
        <v>44568</v>
      </c>
      <c r="B733" s="22">
        <v>1</v>
      </c>
      <c r="C733" s="22"/>
      <c r="D733" s="22"/>
      <c r="E733" s="22"/>
      <c r="F733" s="22"/>
    </row>
    <row r="734" spans="1:6">
      <c r="A734" s="28">
        <v>44569</v>
      </c>
      <c r="B734" s="22">
        <v>1</v>
      </c>
      <c r="C734" s="22">
        <f>1</f>
        <v>1</v>
      </c>
      <c r="D734" s="22"/>
      <c r="E734" s="22"/>
      <c r="F734" s="22"/>
    </row>
    <row r="735" spans="1:6">
      <c r="A735" s="28">
        <v>44570</v>
      </c>
      <c r="B735" s="22">
        <v>1</v>
      </c>
      <c r="C735" s="22"/>
      <c r="D735" s="22"/>
      <c r="E735" s="22"/>
      <c r="F735" s="22"/>
    </row>
    <row r="736" spans="1:6">
      <c r="A736" s="28">
        <v>44571</v>
      </c>
      <c r="B736" s="22">
        <v>2</v>
      </c>
      <c r="C736" s="22"/>
      <c r="D736" s="22"/>
      <c r="E736" s="22"/>
      <c r="F736" s="22"/>
    </row>
    <row r="737" spans="1:6">
      <c r="A737" s="28">
        <v>44572</v>
      </c>
      <c r="B737" s="22">
        <v>2</v>
      </c>
      <c r="C737" s="22">
        <f>1</f>
        <v>1</v>
      </c>
      <c r="D737" s="22"/>
      <c r="E737" s="22"/>
      <c r="F737" s="22"/>
    </row>
    <row r="738" spans="1:6">
      <c r="A738" s="28">
        <v>44573</v>
      </c>
      <c r="B738" s="22">
        <v>2</v>
      </c>
      <c r="C738" s="22">
        <f>3+1</f>
        <v>4</v>
      </c>
      <c r="D738" s="22"/>
      <c r="E738" s="22"/>
      <c r="F738" s="22"/>
    </row>
    <row r="739" spans="1:6">
      <c r="A739" s="28">
        <v>44574</v>
      </c>
      <c r="B739" s="22">
        <v>2</v>
      </c>
      <c r="C739" s="22">
        <f>4+4+1</f>
        <v>9</v>
      </c>
      <c r="D739" s="22"/>
      <c r="E739" s="22"/>
      <c r="F739" s="22"/>
    </row>
    <row r="740" spans="1:6">
      <c r="A740" s="28">
        <v>44575</v>
      </c>
      <c r="B740" s="22">
        <v>2</v>
      </c>
      <c r="C740" s="22">
        <f>10+6+2</f>
        <v>18</v>
      </c>
      <c r="D740" s="22"/>
      <c r="E740" s="22"/>
      <c r="F740" s="22"/>
    </row>
    <row r="741" spans="1:6">
      <c r="A741" s="28">
        <v>44576</v>
      </c>
      <c r="B741" s="22">
        <v>2</v>
      </c>
      <c r="C741" s="22">
        <f>2+16+1</f>
        <v>19</v>
      </c>
      <c r="D741" s="22"/>
      <c r="E741" s="22"/>
      <c r="F741" s="22"/>
    </row>
    <row r="742" spans="1:6">
      <c r="A742" s="28">
        <v>44577</v>
      </c>
      <c r="B742" s="22">
        <v>2</v>
      </c>
      <c r="C742" s="22">
        <f>4</f>
        <v>4</v>
      </c>
      <c r="D742" s="22"/>
      <c r="E742" s="22"/>
      <c r="F742" s="22"/>
    </row>
    <row r="743" spans="1:6">
      <c r="A743" s="28">
        <v>44578</v>
      </c>
      <c r="B743" s="22">
        <v>3</v>
      </c>
      <c r="C743" s="22">
        <f>13</f>
        <v>13</v>
      </c>
      <c r="D743" s="22"/>
      <c r="E743" s="22"/>
      <c r="F743" s="22"/>
    </row>
    <row r="744" spans="1:6">
      <c r="A744" s="28">
        <v>44579</v>
      </c>
      <c r="B744" s="22">
        <v>3</v>
      </c>
      <c r="C744" s="22">
        <f>7+6</f>
        <v>13</v>
      </c>
      <c r="D744" s="22"/>
      <c r="E744" s="22"/>
      <c r="F744" s="22"/>
    </row>
    <row r="745" spans="1:6">
      <c r="A745" s="28">
        <v>44580</v>
      </c>
      <c r="B745" s="22">
        <v>3</v>
      </c>
      <c r="C745" s="22">
        <f>4+2</f>
        <v>6</v>
      </c>
      <c r="D745" s="22"/>
      <c r="E745" s="22"/>
      <c r="F745" s="22"/>
    </row>
    <row r="746" spans="1:6">
      <c r="A746" s="28">
        <v>44581</v>
      </c>
      <c r="B746" s="22">
        <v>3</v>
      </c>
      <c r="C746" s="22">
        <f>13</f>
        <v>13</v>
      </c>
      <c r="D746" s="22">
        <f>1</f>
        <v>1</v>
      </c>
      <c r="E746" s="22"/>
      <c r="F746" s="22"/>
    </row>
    <row r="747" spans="1:6">
      <c r="A747" s="28">
        <v>44582</v>
      </c>
      <c r="B747" s="22">
        <v>3</v>
      </c>
      <c r="C747" s="22">
        <f>9</f>
        <v>9</v>
      </c>
      <c r="D747" s="22"/>
      <c r="E747" s="22"/>
      <c r="F747" s="22"/>
    </row>
    <row r="748" spans="1:6">
      <c r="A748" s="28">
        <v>44583</v>
      </c>
      <c r="B748" s="22">
        <v>3</v>
      </c>
      <c r="C748" s="22">
        <f>4</f>
        <v>4</v>
      </c>
      <c r="D748" s="22"/>
      <c r="E748" s="22"/>
      <c r="F748" s="22"/>
    </row>
    <row r="749" spans="1:6">
      <c r="A749" s="28">
        <v>44584</v>
      </c>
      <c r="B749" s="22">
        <v>3</v>
      </c>
      <c r="C749" s="22">
        <f>4</f>
        <v>4</v>
      </c>
      <c r="D749" s="22"/>
      <c r="E749" s="22"/>
      <c r="F749" s="22"/>
    </row>
    <row r="750" spans="1:6">
      <c r="A750" s="28">
        <v>44585</v>
      </c>
      <c r="B750" s="22">
        <v>4</v>
      </c>
      <c r="C750" s="22">
        <f>1</f>
        <v>1</v>
      </c>
      <c r="D750" s="22">
        <f>1</f>
        <v>1</v>
      </c>
      <c r="E750" s="22"/>
      <c r="F750" s="22"/>
    </row>
    <row r="751" spans="1:6">
      <c r="A751" s="28">
        <v>44586</v>
      </c>
      <c r="B751" s="22">
        <v>4</v>
      </c>
      <c r="C751" s="22">
        <f>1</f>
        <v>1</v>
      </c>
      <c r="D751" s="22"/>
      <c r="E751" s="22"/>
      <c r="F751" s="22"/>
    </row>
    <row r="752" spans="1:6">
      <c r="A752" s="28">
        <v>44587</v>
      </c>
      <c r="B752" s="22">
        <v>4</v>
      </c>
      <c r="C752" s="22">
        <f>5</f>
        <v>5</v>
      </c>
      <c r="D752" s="22">
        <f>2</f>
        <v>2</v>
      </c>
      <c r="E752" s="22"/>
      <c r="F752" s="22"/>
    </row>
    <row r="753" spans="1:6">
      <c r="A753" s="28">
        <v>44588</v>
      </c>
      <c r="B753" s="22">
        <v>4</v>
      </c>
      <c r="C753" s="22">
        <f>5</f>
        <v>5</v>
      </c>
      <c r="D753" s="22"/>
      <c r="E753" s="22"/>
      <c r="F753" s="22"/>
    </row>
    <row r="754" spans="1:6">
      <c r="A754" s="28">
        <v>44589</v>
      </c>
      <c r="B754" s="22">
        <v>4</v>
      </c>
      <c r="C754" s="22">
        <f>5</f>
        <v>5</v>
      </c>
      <c r="D754" s="22"/>
      <c r="E754" s="22"/>
      <c r="F754" s="22"/>
    </row>
    <row r="755" spans="1:6">
      <c r="A755" s="28">
        <v>44590</v>
      </c>
      <c r="B755" s="22">
        <v>4</v>
      </c>
      <c r="C755" s="22">
        <f>4+1</f>
        <v>5</v>
      </c>
      <c r="D755" s="22"/>
      <c r="E755" s="22"/>
      <c r="F755" s="22"/>
    </row>
    <row r="756" spans="1:6">
      <c r="A756" s="28">
        <v>44591</v>
      </c>
      <c r="B756" s="22">
        <v>4</v>
      </c>
      <c r="C756" s="22">
        <f>2</f>
        <v>2</v>
      </c>
      <c r="D756" s="22"/>
      <c r="E756" s="22"/>
      <c r="F756" s="22"/>
    </row>
    <row r="757" spans="1:6">
      <c r="A757" s="28">
        <v>44592</v>
      </c>
      <c r="B757" s="22">
        <v>5</v>
      </c>
      <c r="C757" s="22">
        <f>5</f>
        <v>5</v>
      </c>
      <c r="D757" s="22"/>
      <c r="E757" s="22"/>
      <c r="F757" s="22"/>
    </row>
    <row r="758" spans="1:6">
      <c r="A758" s="49">
        <v>44593</v>
      </c>
      <c r="B758" s="52">
        <v>5</v>
      </c>
      <c r="C758" s="52">
        <f>2</f>
        <v>2</v>
      </c>
      <c r="D758" s="52"/>
      <c r="E758" s="52"/>
      <c r="F758" s="52"/>
    </row>
    <row r="759" spans="1:6">
      <c r="A759" s="49">
        <v>44594</v>
      </c>
      <c r="B759" s="52">
        <v>5</v>
      </c>
      <c r="C759" s="52">
        <f>1</f>
        <v>1</v>
      </c>
      <c r="D759" s="52"/>
      <c r="E759" s="52"/>
      <c r="F759" s="52"/>
    </row>
    <row r="760" spans="1:6">
      <c r="A760" s="49">
        <v>44595</v>
      </c>
      <c r="B760" s="52">
        <v>5</v>
      </c>
      <c r="C760" s="52"/>
      <c r="D760" s="52"/>
      <c r="E760" s="52"/>
      <c r="F760" s="52"/>
    </row>
    <row r="761" spans="1:6">
      <c r="A761" s="49">
        <v>44596</v>
      </c>
      <c r="B761" s="52">
        <v>5</v>
      </c>
      <c r="C761" s="52">
        <f>3</f>
        <v>3</v>
      </c>
      <c r="D761" s="52"/>
      <c r="E761" s="52"/>
      <c r="F761" s="52"/>
    </row>
    <row r="762" spans="1:6">
      <c r="A762" s="49">
        <v>44597</v>
      </c>
      <c r="B762" s="52">
        <v>5</v>
      </c>
      <c r="C762" s="52"/>
      <c r="D762" s="52">
        <f>1</f>
        <v>1</v>
      </c>
      <c r="E762" s="52"/>
      <c r="F762" s="52"/>
    </row>
    <row r="763" spans="1:6">
      <c r="A763" s="49">
        <v>44598</v>
      </c>
      <c r="B763" s="52">
        <v>5</v>
      </c>
      <c r="C763" s="52">
        <f>1</f>
        <v>1</v>
      </c>
      <c r="D763" s="52"/>
      <c r="E763" s="52"/>
      <c r="F763" s="52"/>
    </row>
    <row r="764" spans="1:6">
      <c r="A764" s="49">
        <v>44599</v>
      </c>
      <c r="B764" s="52">
        <v>6</v>
      </c>
      <c r="C764" s="52">
        <f>2</f>
        <v>2</v>
      </c>
      <c r="D764" s="52">
        <f>1</f>
        <v>1</v>
      </c>
      <c r="E764" s="52"/>
      <c r="F764" s="52"/>
    </row>
    <row r="765" spans="1:6">
      <c r="A765" s="49">
        <v>44600</v>
      </c>
      <c r="B765" s="52">
        <v>6</v>
      </c>
      <c r="C765" s="52">
        <f>4</f>
        <v>4</v>
      </c>
      <c r="D765" s="52"/>
      <c r="E765" s="52"/>
      <c r="F765" s="52"/>
    </row>
    <row r="766" spans="1:6">
      <c r="A766" s="49">
        <v>44601</v>
      </c>
      <c r="B766" s="52">
        <v>6</v>
      </c>
      <c r="C766" s="52">
        <f>2</f>
        <v>2</v>
      </c>
      <c r="D766" s="52">
        <f>1</f>
        <v>1</v>
      </c>
      <c r="E766" s="52"/>
      <c r="F766" s="52"/>
    </row>
    <row r="767" spans="1:6">
      <c r="A767" s="49">
        <v>44602</v>
      </c>
      <c r="B767" s="52">
        <v>6</v>
      </c>
      <c r="C767" s="52">
        <f>3</f>
        <v>3</v>
      </c>
      <c r="D767" s="52">
        <f>1+1</f>
        <v>2</v>
      </c>
      <c r="E767" s="52"/>
      <c r="F767" s="52"/>
    </row>
    <row r="768" spans="1:6">
      <c r="A768" s="49">
        <v>44603</v>
      </c>
      <c r="B768" s="52">
        <v>6</v>
      </c>
      <c r="C768" s="52"/>
      <c r="D768" s="52"/>
      <c r="E768" s="52"/>
      <c r="F768" s="52"/>
    </row>
    <row r="769" spans="1:6">
      <c r="A769" s="49">
        <v>44604</v>
      </c>
      <c r="B769" s="52">
        <v>6</v>
      </c>
      <c r="C769" s="52">
        <f>1</f>
        <v>1</v>
      </c>
      <c r="D769" s="52"/>
      <c r="E769" s="52"/>
      <c r="F769" s="52"/>
    </row>
    <row r="770" spans="1:6">
      <c r="A770" s="49">
        <v>44605</v>
      </c>
      <c r="B770" s="52">
        <v>6</v>
      </c>
      <c r="C770" s="52"/>
      <c r="D770" s="52"/>
      <c r="E770" s="52"/>
      <c r="F770" s="52"/>
    </row>
    <row r="771" spans="1:6">
      <c r="A771" s="49">
        <v>44606</v>
      </c>
      <c r="B771" s="52">
        <v>7</v>
      </c>
      <c r="C771" s="52">
        <f>2</f>
        <v>2</v>
      </c>
      <c r="D771" s="52">
        <f>1</f>
        <v>1</v>
      </c>
      <c r="E771" s="52"/>
      <c r="F771" s="52"/>
    </row>
    <row r="772" spans="1:6">
      <c r="A772" s="49">
        <v>44607</v>
      </c>
      <c r="B772" s="52">
        <v>7</v>
      </c>
      <c r="C772" s="52">
        <f>2</f>
        <v>2</v>
      </c>
      <c r="D772" s="52"/>
      <c r="E772" s="52"/>
      <c r="F772" s="52"/>
    </row>
    <row r="773" spans="1:6">
      <c r="A773" s="49">
        <v>44608</v>
      </c>
      <c r="B773" s="52">
        <v>7</v>
      </c>
      <c r="C773" s="52">
        <f>1</f>
        <v>1</v>
      </c>
      <c r="D773" s="52"/>
      <c r="E773" s="52"/>
      <c r="F773" s="52"/>
    </row>
    <row r="774" spans="1:6">
      <c r="A774" s="49">
        <v>44609</v>
      </c>
      <c r="B774" s="52">
        <v>7</v>
      </c>
      <c r="C774" s="52">
        <f>1</f>
        <v>1</v>
      </c>
      <c r="D774" s="52"/>
      <c r="E774" s="52"/>
      <c r="F774" s="52"/>
    </row>
    <row r="775" spans="1:6">
      <c r="A775" s="49">
        <v>44610</v>
      </c>
      <c r="B775" s="52">
        <v>7</v>
      </c>
      <c r="C775" s="52">
        <f>2</f>
        <v>2</v>
      </c>
      <c r="D775" s="52"/>
      <c r="E775" s="52"/>
      <c r="F775" s="52"/>
    </row>
    <row r="776" spans="1:6">
      <c r="A776" s="49">
        <v>44611</v>
      </c>
      <c r="B776" s="52">
        <v>7</v>
      </c>
      <c r="C776" s="52"/>
      <c r="D776" s="52"/>
      <c r="E776" s="52"/>
      <c r="F776" s="52"/>
    </row>
    <row r="777" spans="1:6">
      <c r="A777" s="49">
        <v>44612</v>
      </c>
      <c r="B777" s="52">
        <v>7</v>
      </c>
      <c r="C777" s="52"/>
      <c r="D777" s="52"/>
      <c r="E777" s="52"/>
      <c r="F777" s="52"/>
    </row>
    <row r="778" spans="1:6">
      <c r="A778" s="49">
        <v>44613</v>
      </c>
      <c r="B778" s="52">
        <v>8</v>
      </c>
      <c r="C778" s="52">
        <f>2</f>
        <v>2</v>
      </c>
      <c r="D778" s="52"/>
      <c r="E778" s="52"/>
      <c r="F778" s="52"/>
    </row>
    <row r="779" spans="1:6">
      <c r="A779" s="49">
        <v>44614</v>
      </c>
      <c r="B779" s="52">
        <v>8</v>
      </c>
      <c r="C779" s="52">
        <f>1</f>
        <v>1</v>
      </c>
      <c r="D779" s="52">
        <f>1+1</f>
        <v>2</v>
      </c>
      <c r="E779" s="52"/>
      <c r="F779" s="52"/>
    </row>
    <row r="780" spans="1:6">
      <c r="A780" s="49">
        <v>44615</v>
      </c>
      <c r="B780" s="52">
        <v>8</v>
      </c>
      <c r="C780" s="52"/>
      <c r="D780" s="52"/>
      <c r="E780" s="52"/>
      <c r="F780" s="52"/>
    </row>
    <row r="781" spans="1:6">
      <c r="A781" s="49">
        <v>44616</v>
      </c>
      <c r="B781" s="52">
        <v>8</v>
      </c>
      <c r="C781" s="52">
        <f>1</f>
        <v>1</v>
      </c>
      <c r="D781" s="52">
        <f>1+1</f>
        <v>2</v>
      </c>
      <c r="E781" s="52"/>
      <c r="F781" s="52"/>
    </row>
    <row r="782" spans="1:6">
      <c r="A782" s="49">
        <v>44617</v>
      </c>
      <c r="B782" s="52">
        <v>8</v>
      </c>
      <c r="C782" s="52">
        <f>1+2</f>
        <v>3</v>
      </c>
      <c r="D782" s="52"/>
      <c r="E782" s="52"/>
      <c r="F782" s="52"/>
    </row>
    <row r="783" spans="1:6">
      <c r="A783" s="49">
        <v>44618</v>
      </c>
      <c r="B783" s="52">
        <v>8</v>
      </c>
      <c r="C783" s="52">
        <f>1</f>
        <v>1</v>
      </c>
      <c r="D783" s="52">
        <f>1</f>
        <v>1</v>
      </c>
      <c r="E783" s="52"/>
      <c r="F783" s="52"/>
    </row>
    <row r="784" spans="1:6">
      <c r="A784" s="73">
        <v>44619</v>
      </c>
      <c r="B784" s="74">
        <v>8</v>
      </c>
      <c r="C784" s="74"/>
      <c r="D784" s="74"/>
      <c r="E784" s="74"/>
      <c r="F784" s="74"/>
    </row>
    <row r="785" spans="1:6">
      <c r="A785" s="64">
        <v>44620</v>
      </c>
      <c r="B785" s="52">
        <v>9</v>
      </c>
      <c r="C785" s="52"/>
      <c r="D785" s="52"/>
      <c r="E785" s="52"/>
      <c r="F785" s="52"/>
    </row>
    <row r="786" spans="1:6">
      <c r="A786" s="64">
        <v>44621</v>
      </c>
      <c r="B786" s="52">
        <v>9</v>
      </c>
      <c r="C786" s="52"/>
      <c r="D786" s="52">
        <f>1</f>
        <v>1</v>
      </c>
      <c r="E786" s="52"/>
      <c r="F786" s="52"/>
    </row>
    <row r="787" spans="1:6">
      <c r="A787" s="64">
        <v>44622</v>
      </c>
      <c r="B787" s="52">
        <v>9</v>
      </c>
      <c r="C787" s="52">
        <f>1</f>
        <v>1</v>
      </c>
      <c r="D787" s="52"/>
      <c r="E787" s="52"/>
      <c r="F787" s="52"/>
    </row>
    <row r="788" spans="1:6">
      <c r="C788" s="45"/>
      <c r="D788" s="45"/>
      <c r="E788" s="45"/>
      <c r="F788" s="45"/>
    </row>
    <row r="789" spans="1:6">
      <c r="C789" s="45"/>
      <c r="D789" s="45"/>
      <c r="E789" s="45"/>
      <c r="F789" s="45"/>
    </row>
    <row r="790" spans="1:6">
      <c r="C790" s="45"/>
      <c r="D790" s="45"/>
      <c r="E790" s="45"/>
      <c r="F790" s="45"/>
    </row>
    <row r="791" spans="1:6">
      <c r="C791" s="45"/>
      <c r="D791" s="45"/>
      <c r="E791" s="45"/>
      <c r="F791" s="45"/>
    </row>
    <row r="792" spans="1:6">
      <c r="C792" s="45"/>
      <c r="D792" s="45"/>
      <c r="E792" s="45"/>
      <c r="F792" s="45"/>
    </row>
    <row r="793" spans="1:6">
      <c r="C793" s="45"/>
      <c r="D793" s="45"/>
      <c r="E793" s="45"/>
      <c r="F793" s="45"/>
    </row>
    <row r="794" spans="1:6">
      <c r="C794" s="45"/>
      <c r="D794" s="45"/>
      <c r="E794" s="45"/>
      <c r="F794" s="45"/>
    </row>
    <row r="795" spans="1:6">
      <c r="C795" s="45"/>
      <c r="D795" s="45"/>
      <c r="E795" s="45"/>
      <c r="F795" s="45"/>
    </row>
    <row r="796" spans="1:6">
      <c r="C796" s="45"/>
      <c r="D796" s="45"/>
      <c r="E796" s="45"/>
      <c r="F796" s="45"/>
    </row>
    <row r="797" spans="1:6">
      <c r="C797" s="45"/>
      <c r="D797" s="45"/>
      <c r="E797" s="45"/>
      <c r="F797" s="45"/>
    </row>
    <row r="798" spans="1:6">
      <c r="C798" s="45"/>
      <c r="D798" s="45"/>
      <c r="E798" s="45"/>
      <c r="F798" s="45"/>
    </row>
    <row r="799" spans="1:6">
      <c r="C799" s="45"/>
      <c r="D799" s="45"/>
      <c r="E799" s="45"/>
      <c r="F799" s="45"/>
    </row>
    <row r="800" spans="1:6">
      <c r="C800" s="45"/>
      <c r="D800" s="45"/>
      <c r="E800" s="45"/>
      <c r="F800" s="45"/>
    </row>
    <row r="801" spans="3:6">
      <c r="C801" s="45"/>
      <c r="D801" s="45"/>
      <c r="E801" s="45"/>
      <c r="F801" s="45"/>
    </row>
    <row r="802" spans="3:6">
      <c r="C802" s="45"/>
      <c r="D802" s="45"/>
      <c r="E802" s="45"/>
      <c r="F802" s="45"/>
    </row>
    <row r="803" spans="3:6">
      <c r="C803" s="45"/>
      <c r="D803" s="45"/>
      <c r="E803" s="45"/>
      <c r="F803" s="45"/>
    </row>
    <row r="804" spans="3:6">
      <c r="C804" s="45"/>
      <c r="D804" s="45"/>
      <c r="E804" s="45"/>
      <c r="F804" s="45"/>
    </row>
    <row r="805" spans="3:6">
      <c r="C805" s="45"/>
      <c r="D805" s="45"/>
      <c r="E805" s="45"/>
      <c r="F805" s="45"/>
    </row>
    <row r="806" spans="3:6">
      <c r="C806" s="45"/>
      <c r="D806" s="45"/>
      <c r="E806" s="45"/>
      <c r="F806" s="45"/>
    </row>
    <row r="807" spans="3:6">
      <c r="C807" s="45"/>
      <c r="D807" s="45"/>
      <c r="E807" s="45"/>
      <c r="F807" s="45"/>
    </row>
    <row r="808" spans="3:6">
      <c r="C808" s="45"/>
      <c r="D808" s="45"/>
      <c r="E808" s="45"/>
      <c r="F808" s="45"/>
    </row>
    <row r="809" spans="3:6">
      <c r="C809" s="45"/>
      <c r="D809" s="45"/>
      <c r="E809" s="45"/>
      <c r="F809" s="45"/>
    </row>
    <row r="810" spans="3:6">
      <c r="C810" s="45"/>
      <c r="D810" s="45"/>
      <c r="E810" s="45"/>
      <c r="F810" s="45"/>
    </row>
    <row r="811" spans="3:6">
      <c r="C811" s="45"/>
      <c r="D811" s="45"/>
      <c r="E811" s="45"/>
      <c r="F811" s="45"/>
    </row>
    <row r="812" spans="3:6">
      <c r="C812" s="45"/>
      <c r="D812" s="45"/>
      <c r="E812" s="45"/>
      <c r="F812" s="45"/>
    </row>
    <row r="813" spans="3:6">
      <c r="C813" s="45"/>
      <c r="D813" s="45"/>
      <c r="E813" s="45"/>
      <c r="F813" s="45"/>
    </row>
    <row r="814" spans="3:6">
      <c r="C814" s="45"/>
      <c r="D814" s="45"/>
      <c r="E814" s="45"/>
      <c r="F814" s="45"/>
    </row>
    <row r="815" spans="3:6">
      <c r="C815" s="45"/>
      <c r="D815" s="45"/>
      <c r="E815" s="45"/>
      <c r="F815" s="45"/>
    </row>
    <row r="816" spans="3:6">
      <c r="C816" s="45"/>
      <c r="D816" s="45"/>
      <c r="E816" s="45"/>
      <c r="F816" s="45"/>
    </row>
    <row r="817" spans="3:6">
      <c r="C817" s="45"/>
      <c r="D817" s="45"/>
      <c r="E817" s="45"/>
      <c r="F817" s="45"/>
    </row>
    <row r="818" spans="3:6">
      <c r="C818" s="45"/>
      <c r="D818" s="45"/>
      <c r="E818" s="45"/>
      <c r="F818" s="45"/>
    </row>
    <row r="819" spans="3:6">
      <c r="C819" s="45"/>
      <c r="D819" s="45"/>
      <c r="E819" s="45"/>
      <c r="F819" s="45"/>
    </row>
    <row r="820" spans="3:6">
      <c r="C820" s="45"/>
      <c r="D820" s="45"/>
      <c r="E820" s="45"/>
      <c r="F820" s="45"/>
    </row>
    <row r="821" spans="3:6">
      <c r="C821" s="45"/>
      <c r="D821" s="45"/>
      <c r="E821" s="45"/>
      <c r="F821" s="45"/>
    </row>
    <row r="822" spans="3:6">
      <c r="C822" s="45"/>
      <c r="D822" s="45"/>
      <c r="E822" s="45"/>
      <c r="F822" s="45"/>
    </row>
    <row r="823" spans="3:6">
      <c r="C823" s="45"/>
      <c r="D823" s="45"/>
      <c r="E823" s="45"/>
      <c r="F823" s="45"/>
    </row>
    <row r="824" spans="3:6">
      <c r="C824" s="45"/>
      <c r="D824" s="45"/>
      <c r="E824" s="45"/>
      <c r="F824" s="45"/>
    </row>
    <row r="825" spans="3:6">
      <c r="C825" s="45"/>
      <c r="D825" s="45"/>
      <c r="E825" s="45"/>
      <c r="F825" s="45"/>
    </row>
    <row r="826" spans="3:6">
      <c r="C826" s="45"/>
      <c r="D826" s="45"/>
      <c r="E826" s="45"/>
      <c r="F826" s="45"/>
    </row>
    <row r="827" spans="3:6">
      <c r="C827" s="45"/>
      <c r="D827" s="45"/>
      <c r="E827" s="45"/>
      <c r="F827" s="45"/>
    </row>
    <row r="828" spans="3:6">
      <c r="C828" s="45"/>
      <c r="D828" s="45"/>
      <c r="E828" s="45"/>
      <c r="F828" s="45"/>
    </row>
    <row r="829" spans="3:6">
      <c r="C829" s="45"/>
      <c r="D829" s="45"/>
      <c r="E829" s="45"/>
      <c r="F829" s="45"/>
    </row>
    <row r="830" spans="3:6">
      <c r="C830" s="45"/>
      <c r="D830" s="45"/>
      <c r="E830" s="45"/>
      <c r="F830" s="45"/>
    </row>
    <row r="831" spans="3:6">
      <c r="C831" s="45"/>
      <c r="D831" s="45"/>
      <c r="E831" s="45"/>
      <c r="F831" s="45"/>
    </row>
    <row r="832" spans="3:6">
      <c r="C832" s="45"/>
      <c r="D832" s="45"/>
      <c r="E832" s="45"/>
      <c r="F832" s="45"/>
    </row>
    <row r="833" spans="3:6">
      <c r="C833" s="45"/>
      <c r="D833" s="45"/>
      <c r="E833" s="45"/>
      <c r="F833" s="45"/>
    </row>
    <row r="834" spans="3:6">
      <c r="C834" s="45"/>
      <c r="D834" s="45"/>
      <c r="E834" s="45"/>
      <c r="F834" s="45"/>
    </row>
    <row r="835" spans="3:6">
      <c r="C835" s="45"/>
      <c r="D835" s="45"/>
      <c r="E835" s="45"/>
      <c r="F835" s="45"/>
    </row>
    <row r="836" spans="3:6">
      <c r="C836" s="45"/>
      <c r="D836" s="45"/>
      <c r="E836" s="45"/>
      <c r="F836" s="45"/>
    </row>
    <row r="837" spans="3:6">
      <c r="C837" s="45"/>
      <c r="D837" s="45"/>
      <c r="E837" s="45"/>
      <c r="F837" s="45"/>
    </row>
    <row r="838" spans="3:6">
      <c r="C838" s="45"/>
      <c r="D838" s="45"/>
      <c r="E838" s="45"/>
      <c r="F838" s="45"/>
    </row>
    <row r="839" spans="3:6">
      <c r="C839" s="45"/>
      <c r="D839" s="45"/>
      <c r="E839" s="45"/>
      <c r="F839" s="45"/>
    </row>
    <row r="840" spans="3:6">
      <c r="C840" s="45"/>
      <c r="D840" s="45"/>
      <c r="E840" s="45"/>
      <c r="F840" s="45"/>
    </row>
    <row r="841" spans="3:6">
      <c r="C841" s="45"/>
      <c r="D841" s="45"/>
      <c r="E841" s="45"/>
      <c r="F841" s="45"/>
    </row>
    <row r="842" spans="3:6">
      <c r="C842" s="45"/>
      <c r="D842" s="45"/>
      <c r="E842" s="45"/>
      <c r="F842" s="45"/>
    </row>
    <row r="843" spans="3:6">
      <c r="C843" s="45"/>
      <c r="D843" s="45"/>
      <c r="E843" s="45"/>
      <c r="F843" s="45"/>
    </row>
    <row r="844" spans="3:6">
      <c r="C844" s="45"/>
      <c r="D844" s="45"/>
      <c r="E844" s="45"/>
      <c r="F844" s="45"/>
    </row>
    <row r="845" spans="3:6">
      <c r="C845" s="45"/>
      <c r="D845" s="45"/>
      <c r="E845" s="45"/>
      <c r="F845" s="45"/>
    </row>
    <row r="846" spans="3:6">
      <c r="C846" s="45"/>
      <c r="D846" s="45"/>
      <c r="E846" s="45"/>
      <c r="F846" s="45"/>
    </row>
    <row r="847" spans="3:6">
      <c r="C847" s="45"/>
      <c r="D847" s="45"/>
      <c r="E847" s="45"/>
      <c r="F847" s="45"/>
    </row>
    <row r="848" spans="3:6">
      <c r="C848" s="45"/>
      <c r="D848" s="45"/>
      <c r="E848" s="45"/>
      <c r="F848" s="45"/>
    </row>
    <row r="849" spans="3:6">
      <c r="C849" s="45"/>
      <c r="D849" s="45"/>
      <c r="E849" s="45"/>
      <c r="F849" s="45"/>
    </row>
    <row r="850" spans="3:6">
      <c r="C850" s="45"/>
      <c r="D850" s="45"/>
      <c r="E850" s="45"/>
      <c r="F850" s="45"/>
    </row>
    <row r="851" spans="3:6">
      <c r="C851" s="45"/>
      <c r="D851" s="45"/>
      <c r="E851" s="45"/>
      <c r="F851" s="45"/>
    </row>
    <row r="852" spans="3:6">
      <c r="C852" s="45"/>
      <c r="D852" s="45"/>
      <c r="E852" s="45"/>
      <c r="F852" s="45"/>
    </row>
    <row r="853" spans="3:6">
      <c r="C853" s="45"/>
      <c r="D853" s="45"/>
      <c r="E853" s="45"/>
      <c r="F853" s="45"/>
    </row>
    <row r="854" spans="3:6">
      <c r="C854" s="45"/>
      <c r="D854" s="45"/>
      <c r="E854" s="45"/>
      <c r="F854" s="45"/>
    </row>
    <row r="855" spans="3:6">
      <c r="C855" s="45"/>
      <c r="D855" s="45"/>
      <c r="E855" s="45"/>
      <c r="F855" s="45"/>
    </row>
    <row r="856" spans="3:6">
      <c r="C856" s="45"/>
      <c r="D856" s="45"/>
      <c r="E856" s="45"/>
      <c r="F856" s="45"/>
    </row>
    <row r="857" spans="3:6">
      <c r="C857" s="45"/>
      <c r="D857" s="45"/>
      <c r="E857" s="45"/>
      <c r="F857" s="45"/>
    </row>
    <row r="858" spans="3:6">
      <c r="C858" s="45"/>
      <c r="D858" s="45"/>
      <c r="E858" s="45"/>
      <c r="F858" s="45"/>
    </row>
    <row r="859" spans="3:6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location="00" xr:uid="{00000000-0004-0000-1F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61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9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402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21"/>
      <c r="F8" s="21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2"/>
    </row>
    <row r="24" spans="1:6" ht="15" customHeight="1">
      <c r="A24" s="25">
        <v>43859</v>
      </c>
      <c r="B24" s="26">
        <v>3</v>
      </c>
      <c r="C24" s="22"/>
      <c r="D24" s="22"/>
      <c r="E24" s="22"/>
      <c r="F24" s="29"/>
    </row>
    <row r="25" spans="1:6" ht="15" customHeight="1">
      <c r="A25" s="25">
        <v>43860</v>
      </c>
      <c r="B25" s="26">
        <v>3</v>
      </c>
      <c r="C25" s="22"/>
      <c r="D25" s="22"/>
      <c r="E25" s="22"/>
      <c r="F25" s="30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22"/>
    </row>
    <row r="30" spans="1:6" ht="15" customHeight="1">
      <c r="A30" s="25">
        <v>43865</v>
      </c>
      <c r="B30" s="26">
        <v>4</v>
      </c>
      <c r="C30" s="22"/>
      <c r="D30" s="22"/>
      <c r="E30" s="22"/>
      <c r="F30" s="30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9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22"/>
    </row>
    <row r="42" spans="1:6" ht="15" customHeight="1">
      <c r="A42" s="25">
        <v>43877</v>
      </c>
      <c r="B42" s="26">
        <v>5</v>
      </c>
      <c r="C42" s="22"/>
      <c r="D42" s="22"/>
      <c r="E42" s="22"/>
      <c r="F42" s="31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9"/>
    </row>
    <row r="45" spans="1:6" ht="15" customHeight="1">
      <c r="A45" s="25">
        <v>43880</v>
      </c>
      <c r="B45" s="26">
        <v>6</v>
      </c>
      <c r="C45" s="22"/>
      <c r="D45" s="22"/>
      <c r="E45" s="22"/>
      <c r="F45" s="22"/>
    </row>
    <row r="46" spans="1:6" ht="15" customHeight="1">
      <c r="A46" s="25">
        <v>43881</v>
      </c>
      <c r="B46" s="26">
        <v>6</v>
      </c>
      <c r="C46" s="22"/>
      <c r="D46" s="22"/>
      <c r="E46" s="22"/>
      <c r="F46" s="29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>
        <v>1</v>
      </c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  <c r="G123" s="70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92"/>
      <c r="F184" s="22"/>
    </row>
    <row r="185" spans="1:6" ht="14.5">
      <c r="A185" s="25">
        <v>44020</v>
      </c>
      <c r="B185" s="26">
        <v>26</v>
      </c>
      <c r="C185" s="22"/>
      <c r="D185" s="22"/>
      <c r="E185" s="92"/>
      <c r="F185" s="22"/>
    </row>
    <row r="186" spans="1:6" ht="14.5">
      <c r="A186" s="25">
        <v>44021</v>
      </c>
      <c r="B186" s="26">
        <v>26</v>
      </c>
      <c r="C186" s="22"/>
      <c r="D186" s="22"/>
      <c r="E186" s="92"/>
      <c r="F186" s="22"/>
    </row>
    <row r="187" spans="1:6" ht="14.5">
      <c r="A187" s="25">
        <v>44022</v>
      </c>
      <c r="B187" s="26">
        <v>26</v>
      </c>
      <c r="C187" s="22"/>
      <c r="D187" s="22"/>
      <c r="E187" s="92"/>
      <c r="F187" s="22"/>
    </row>
    <row r="188" spans="1:6" ht="14.5">
      <c r="A188" s="25">
        <v>44023</v>
      </c>
      <c r="B188" s="26">
        <v>26</v>
      </c>
      <c r="C188" s="22"/>
      <c r="D188" s="22"/>
      <c r="E188" s="92"/>
      <c r="F188" s="22"/>
    </row>
    <row r="189" spans="1:6" ht="14.5">
      <c r="A189" s="25">
        <v>44024</v>
      </c>
      <c r="B189" s="26">
        <v>26</v>
      </c>
      <c r="C189" s="22"/>
      <c r="D189" s="22"/>
      <c r="E189" s="92"/>
      <c r="F189" s="22"/>
    </row>
    <row r="190" spans="1:6" ht="14.5">
      <c r="A190" s="25">
        <v>44025</v>
      </c>
      <c r="B190" s="26">
        <v>27</v>
      </c>
      <c r="C190" s="22"/>
      <c r="D190" s="22"/>
      <c r="E190" s="9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/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/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/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35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35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35"/>
      <c r="F217" s="22"/>
    </row>
    <row r="218" spans="1:6" ht="14.5">
      <c r="A218" s="25">
        <v>44053</v>
      </c>
      <c r="B218" s="26">
        <v>31</v>
      </c>
      <c r="C218" s="22"/>
      <c r="D218" s="22"/>
      <c r="E218" s="35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/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  <c r="G232" s="70"/>
    </row>
    <row r="233" spans="1:7" ht="14.5">
      <c r="A233" s="25">
        <v>44068</v>
      </c>
      <c r="B233" s="26">
        <v>33</v>
      </c>
      <c r="C233" s="22"/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/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/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35"/>
      <c r="F270" s="22"/>
    </row>
    <row r="271" spans="1:6" ht="14.5">
      <c r="A271" s="25">
        <v>44106</v>
      </c>
      <c r="B271" s="26">
        <v>38</v>
      </c>
      <c r="C271" s="22"/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35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35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/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93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93"/>
      <c r="F316" s="22"/>
    </row>
    <row r="317" spans="1:6" ht="14.5">
      <c r="A317" s="25">
        <v>44152</v>
      </c>
      <c r="B317" s="26">
        <v>45</v>
      </c>
      <c r="C317" s="22"/>
      <c r="D317" s="22"/>
      <c r="E317" s="35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/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/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35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/>
      <c r="D330" s="22"/>
      <c r="E330" s="22"/>
      <c r="F330" s="22"/>
    </row>
    <row r="331" spans="1:6" ht="14.5">
      <c r="A331" s="25">
        <v>44166</v>
      </c>
      <c r="B331" s="26">
        <v>47</v>
      </c>
      <c r="C331" s="22"/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35"/>
      <c r="F332" s="22"/>
    </row>
    <row r="333" spans="1:6" ht="14.5">
      <c r="A333" s="25">
        <v>44168</v>
      </c>
      <c r="B333" s="26">
        <v>47</v>
      </c>
      <c r="C333" s="22"/>
      <c r="D333" s="22"/>
      <c r="E333" s="22"/>
      <c r="F333" s="22"/>
    </row>
    <row r="334" spans="1:6" ht="14.5">
      <c r="A334" s="25">
        <v>44169</v>
      </c>
      <c r="B334" s="26">
        <v>47</v>
      </c>
      <c r="C334" s="22"/>
      <c r="D334" s="22"/>
      <c r="E334" s="35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/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/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93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/>
      <c r="D342" s="22"/>
      <c r="E342" s="22"/>
      <c r="F342" s="22"/>
    </row>
    <row r="343" spans="1:6" ht="14.5">
      <c r="A343" s="25">
        <v>44178</v>
      </c>
      <c r="B343" s="26">
        <v>48</v>
      </c>
      <c r="C343" s="22">
        <v>1</v>
      </c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/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1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/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7" ht="14.5">
      <c r="A353" s="25">
        <v>44188</v>
      </c>
      <c r="B353" s="26">
        <v>50</v>
      </c>
      <c r="C353" s="22"/>
      <c r="D353" s="22"/>
      <c r="E353" s="35"/>
      <c r="F353" s="22"/>
    </row>
    <row r="354" spans="1:7" ht="14.5">
      <c r="A354" s="25">
        <v>44189</v>
      </c>
      <c r="B354" s="26">
        <v>50</v>
      </c>
      <c r="C354" s="22"/>
      <c r="D354" s="22"/>
      <c r="E354" s="93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/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>
        <v>1</v>
      </c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</row>
    <row r="366" spans="1:7" ht="14.5">
      <c r="A366" s="25">
        <v>44201</v>
      </c>
      <c r="B366" s="26">
        <v>1</v>
      </c>
      <c r="C366" s="22"/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>
        <v>1</v>
      </c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>
        <v>1</v>
      </c>
      <c r="D368" s="22"/>
      <c r="E368" s="22"/>
      <c r="F368" s="22"/>
      <c r="G368" s="126"/>
    </row>
    <row r="369" spans="1:7" ht="14.5">
      <c r="A369" s="25">
        <v>44204</v>
      </c>
      <c r="B369" s="26">
        <v>1</v>
      </c>
      <c r="C369" s="22"/>
      <c r="D369" s="22"/>
      <c r="E369" s="22"/>
      <c r="F369" s="22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  <c r="G371" s="126"/>
    </row>
    <row r="372" spans="1:7" ht="14.5">
      <c r="A372" s="25">
        <v>44207</v>
      </c>
      <c r="B372" s="26">
        <v>2</v>
      </c>
      <c r="C372" s="22">
        <v>2</v>
      </c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2</v>
      </c>
      <c r="D373" s="22"/>
      <c r="E373" s="22"/>
      <c r="F373" s="22"/>
    </row>
    <row r="374" spans="1:7" ht="14.5">
      <c r="A374" s="25">
        <v>44209</v>
      </c>
      <c r="B374" s="26">
        <v>2</v>
      </c>
      <c r="C374" s="22">
        <v>1</v>
      </c>
      <c r="D374" s="22"/>
      <c r="E374" s="22"/>
      <c r="F374" s="35"/>
    </row>
    <row r="375" spans="1:7" ht="14.5">
      <c r="A375" s="25">
        <v>44210</v>
      </c>
      <c r="B375" s="26">
        <v>2</v>
      </c>
      <c r="C375" s="22">
        <v>2</v>
      </c>
      <c r="D375" s="22"/>
      <c r="E375" s="22"/>
      <c r="F375" s="22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  <c r="G377" s="126"/>
    </row>
    <row r="378" spans="1:7" ht="14.5">
      <c r="A378" s="25">
        <v>44213</v>
      </c>
      <c r="B378" s="26">
        <v>2</v>
      </c>
      <c r="C378" s="22"/>
      <c r="D378" s="22"/>
      <c r="F378" s="22"/>
    </row>
    <row r="379" spans="1:7" ht="14.5">
      <c r="A379" s="25">
        <v>44214</v>
      </c>
      <c r="B379" s="26">
        <v>3</v>
      </c>
      <c r="C379" s="22"/>
      <c r="D379" s="22"/>
      <c r="E379" s="22"/>
      <c r="F379" s="22"/>
    </row>
    <row r="380" spans="1:7" ht="14.5">
      <c r="A380" s="25">
        <v>44215</v>
      </c>
      <c r="B380" s="26">
        <v>3</v>
      </c>
      <c r="C380" s="22">
        <v>1</v>
      </c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>
        <v>1</v>
      </c>
      <c r="D383" s="22"/>
      <c r="E383" s="22"/>
      <c r="F383" s="22"/>
    </row>
    <row r="384" spans="1:7" ht="14.5">
      <c r="A384" s="25">
        <v>44219</v>
      </c>
      <c r="B384" s="26">
        <v>3</v>
      </c>
      <c r="C384" s="22"/>
      <c r="D384" s="22"/>
      <c r="E384" s="35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/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/>
      <c r="D388" s="22"/>
      <c r="E388" s="22"/>
      <c r="F388" s="22"/>
    </row>
    <row r="389" spans="1:7" ht="14.5">
      <c r="A389" s="25">
        <v>44224</v>
      </c>
      <c r="B389" s="26">
        <v>4</v>
      </c>
      <c r="C389" s="22"/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22"/>
      <c r="F390" s="22"/>
    </row>
    <row r="391" spans="1:7" ht="14.5">
      <c r="A391" s="25">
        <v>44226</v>
      </c>
      <c r="B391" s="26">
        <v>4</v>
      </c>
      <c r="C391" s="22"/>
      <c r="D391" s="22"/>
      <c r="E391" s="22"/>
      <c r="F391" s="22"/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/>
      <c r="D393" s="22"/>
      <c r="E393" s="22"/>
      <c r="F393" s="22"/>
    </row>
    <row r="394" spans="1:7" ht="14.5">
      <c r="A394" s="25">
        <v>44229</v>
      </c>
      <c r="B394" s="26">
        <v>5</v>
      </c>
      <c r="C394" s="22"/>
      <c r="D394" s="22"/>
      <c r="E394" s="22"/>
      <c r="F394" s="22"/>
    </row>
    <row r="395" spans="1:7" ht="14.5">
      <c r="A395" s="25">
        <v>44230</v>
      </c>
      <c r="B395" s="26">
        <v>5</v>
      </c>
      <c r="C395" s="22"/>
      <c r="D395" s="22"/>
      <c r="E395" s="22"/>
      <c r="F395" s="22"/>
    </row>
    <row r="396" spans="1:7" ht="14.5">
      <c r="A396" s="25">
        <v>44231</v>
      </c>
      <c r="B396" s="26">
        <v>5</v>
      </c>
      <c r="C396" s="22"/>
      <c r="D396" s="22"/>
      <c r="E396" s="22"/>
      <c r="F396" s="22"/>
    </row>
    <row r="397" spans="1:7" ht="15.5">
      <c r="A397" s="25">
        <v>44232</v>
      </c>
      <c r="B397" s="26">
        <v>5</v>
      </c>
      <c r="C397" s="22"/>
      <c r="D397" s="22"/>
      <c r="E397" s="22"/>
      <c r="F397" s="22"/>
      <c r="G397" s="77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/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35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>
        <v>2</v>
      </c>
      <c r="D431" s="22"/>
      <c r="E431" s="22"/>
      <c r="F431" s="22"/>
    </row>
    <row r="432" spans="1:6" ht="14.5">
      <c r="A432" s="25">
        <v>44267</v>
      </c>
      <c r="B432" s="26">
        <v>10</v>
      </c>
      <c r="C432" s="22">
        <v>1</v>
      </c>
      <c r="D432" s="22"/>
      <c r="E432" s="22"/>
      <c r="F432" s="22"/>
    </row>
    <row r="433" spans="1:7" ht="14.5">
      <c r="A433" s="25">
        <v>44268</v>
      </c>
      <c r="B433" s="26">
        <v>10</v>
      </c>
      <c r="C433" s="22">
        <v>1</v>
      </c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>
        <v>1</v>
      </c>
      <c r="D435" s="22"/>
      <c r="E435" s="22"/>
      <c r="F435" s="22"/>
    </row>
    <row r="436" spans="1:7" ht="14.5">
      <c r="A436" s="25">
        <v>44271</v>
      </c>
      <c r="B436" s="26">
        <v>11</v>
      </c>
      <c r="C436" s="22"/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>
        <v>1</v>
      </c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>
        <v>2</v>
      </c>
      <c r="D442" s="22"/>
      <c r="E442" s="22"/>
      <c r="F442" s="22"/>
    </row>
    <row r="443" spans="1:7" ht="14.5">
      <c r="A443" s="25">
        <v>44278</v>
      </c>
      <c r="B443" s="26">
        <v>12</v>
      </c>
      <c r="C443" s="22"/>
      <c r="D443" s="22"/>
      <c r="E443" s="22"/>
      <c r="F443" s="22"/>
    </row>
    <row r="444" spans="1:7" ht="15.5">
      <c r="A444" s="25">
        <v>44279</v>
      </c>
      <c r="B444" s="26">
        <v>12</v>
      </c>
      <c r="C444" s="22">
        <v>1</v>
      </c>
      <c r="D444" s="22"/>
      <c r="E444" s="22"/>
      <c r="F444" s="22"/>
      <c r="G444" s="77"/>
    </row>
    <row r="445" spans="1:7" ht="14.5">
      <c r="A445" s="25">
        <v>44280</v>
      </c>
      <c r="B445" s="26">
        <v>12</v>
      </c>
      <c r="C445" s="22">
        <v>1</v>
      </c>
      <c r="D445" s="22"/>
      <c r="E445" s="22"/>
      <c r="F445" s="22"/>
    </row>
    <row r="446" spans="1:7" ht="14.5">
      <c r="A446" s="25">
        <v>44281</v>
      </c>
      <c r="B446" s="26">
        <v>12</v>
      </c>
      <c r="C446" s="22"/>
      <c r="D446" s="22"/>
      <c r="E446" s="22"/>
      <c r="F446" s="22"/>
    </row>
    <row r="447" spans="1:7" ht="14.5">
      <c r="A447" s="25">
        <v>44282</v>
      </c>
      <c r="B447" s="26">
        <v>12</v>
      </c>
      <c r="C447" s="22"/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/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>
        <v>1</v>
      </c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/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>
        <v>1</v>
      </c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>
        <v>1</v>
      </c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/>
      <c r="D470" s="22"/>
      <c r="E470" s="22"/>
      <c r="F470" s="22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/>
      <c r="D472" s="22"/>
      <c r="E472" s="22"/>
      <c r="F472" s="22"/>
      <c r="G472" s="126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/>
      <c r="D481" s="22"/>
      <c r="E481" s="22"/>
      <c r="F481" s="22"/>
    </row>
    <row r="482" spans="1:7" ht="15.5">
      <c r="A482" s="25">
        <v>44317</v>
      </c>
      <c r="B482" s="26">
        <v>17</v>
      </c>
      <c r="C482" s="22"/>
      <c r="D482" s="22"/>
      <c r="E482" s="22"/>
      <c r="F482" s="22"/>
      <c r="G482" s="7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  <c r="G483" s="17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>
        <v>1</v>
      </c>
      <c r="D486" s="22"/>
      <c r="E486" s="22"/>
      <c r="F486" s="22"/>
    </row>
    <row r="487" spans="1:7" ht="14.5">
      <c r="A487" s="25">
        <v>44322</v>
      </c>
      <c r="B487" s="26">
        <v>18</v>
      </c>
      <c r="C487" s="22"/>
      <c r="D487" s="22"/>
      <c r="E487" s="22"/>
      <c r="F487" s="22"/>
    </row>
    <row r="488" spans="1:7" ht="14.5">
      <c r="A488" s="25">
        <v>44323</v>
      </c>
      <c r="B488" s="26">
        <v>18</v>
      </c>
      <c r="C488" s="22">
        <v>1</v>
      </c>
      <c r="D488" s="22"/>
      <c r="E488" s="22"/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>
        <v>1</v>
      </c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/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/>
      <c r="E493" s="22"/>
      <c r="F493" s="22"/>
    </row>
    <row r="494" spans="1:7" ht="14.5">
      <c r="A494" s="25">
        <v>44329</v>
      </c>
      <c r="B494" s="26">
        <v>19</v>
      </c>
      <c r="C494" s="22"/>
      <c r="D494" s="22"/>
      <c r="E494" s="22"/>
      <c r="F494" s="22"/>
    </row>
    <row r="495" spans="1:7" ht="14.5">
      <c r="A495" s="25">
        <v>44330</v>
      </c>
      <c r="B495" s="26">
        <v>19</v>
      </c>
      <c r="C495" s="22"/>
      <c r="D495" s="22"/>
      <c r="E495" s="22"/>
      <c r="F495" s="22"/>
    </row>
    <row r="496" spans="1:7" ht="14.5">
      <c r="A496" s="25">
        <v>44331</v>
      </c>
      <c r="B496" s="26">
        <v>19</v>
      </c>
      <c r="C496" s="22"/>
      <c r="D496" s="22"/>
      <c r="E496" s="22"/>
      <c r="F496" s="22"/>
    </row>
    <row r="497" spans="1:7" ht="14.5">
      <c r="A497" s="25">
        <v>44332</v>
      </c>
      <c r="B497" s="26">
        <v>19</v>
      </c>
      <c r="C497" s="22"/>
      <c r="D497" s="22"/>
      <c r="E497" s="22"/>
      <c r="F497" s="22"/>
    </row>
    <row r="498" spans="1:7" ht="14.5">
      <c r="A498" s="25">
        <v>44333</v>
      </c>
      <c r="B498" s="26">
        <v>20</v>
      </c>
      <c r="C498" s="22"/>
      <c r="D498" s="22"/>
      <c r="E498" s="22"/>
      <c r="F498" s="22"/>
    </row>
    <row r="499" spans="1:7" ht="14.5">
      <c r="A499" s="25">
        <v>44334</v>
      </c>
      <c r="B499" s="26">
        <v>20</v>
      </c>
      <c r="C499" s="22"/>
      <c r="D499" s="22"/>
      <c r="E499" s="22"/>
      <c r="F499" s="22"/>
    </row>
    <row r="500" spans="1:7" ht="14.5">
      <c r="A500" s="25">
        <v>44335</v>
      </c>
      <c r="B500" s="26">
        <v>20</v>
      </c>
      <c r="C500" s="22"/>
      <c r="D500" s="22"/>
      <c r="E500" s="22"/>
      <c r="F500" s="22"/>
    </row>
    <row r="501" spans="1:7" ht="14.5">
      <c r="A501" s="25">
        <v>44336</v>
      </c>
      <c r="B501" s="26">
        <v>20</v>
      </c>
      <c r="C501" s="22"/>
      <c r="D501" s="22"/>
      <c r="E501" s="22"/>
      <c r="F501" s="22"/>
    </row>
    <row r="502" spans="1:7" ht="15.5">
      <c r="A502" s="25">
        <v>44337</v>
      </c>
      <c r="B502" s="26">
        <v>20</v>
      </c>
      <c r="C502" s="22"/>
      <c r="D502" s="22"/>
      <c r="E502" s="22"/>
      <c r="F502" s="22"/>
      <c r="G502" s="77"/>
    </row>
    <row r="503" spans="1:7" ht="14.5">
      <c r="A503" s="25">
        <v>44338</v>
      </c>
      <c r="B503" s="26">
        <v>20</v>
      </c>
      <c r="C503" s="22"/>
      <c r="D503" s="22"/>
      <c r="E503" s="22"/>
      <c r="F503" s="22"/>
    </row>
    <row r="504" spans="1:7" ht="14.5">
      <c r="A504" s="25">
        <v>44339</v>
      </c>
      <c r="B504" s="26">
        <v>20</v>
      </c>
      <c r="C504" s="22"/>
      <c r="D504" s="22"/>
      <c r="E504" s="22"/>
      <c r="F504" s="22"/>
    </row>
    <row r="505" spans="1:7" ht="14.5">
      <c r="A505" s="25">
        <v>44340</v>
      </c>
      <c r="B505" s="26">
        <v>21</v>
      </c>
      <c r="C505" s="22"/>
      <c r="D505" s="22"/>
      <c r="E505" s="22"/>
      <c r="F505" s="22"/>
    </row>
    <row r="506" spans="1:7" ht="14.5">
      <c r="A506" s="25">
        <v>44341</v>
      </c>
      <c r="B506" s="26">
        <v>21</v>
      </c>
      <c r="C506" s="22"/>
      <c r="D506" s="22"/>
      <c r="E506" s="22"/>
      <c r="F506" s="22"/>
    </row>
    <row r="507" spans="1:7" ht="14.5">
      <c r="A507" s="25">
        <v>44342</v>
      </c>
      <c r="B507" s="26">
        <v>21</v>
      </c>
      <c r="C507" s="22"/>
      <c r="D507" s="22"/>
      <c r="E507" s="22"/>
      <c r="F507" s="22"/>
    </row>
    <row r="508" spans="1:7" ht="14.5">
      <c r="A508" s="25">
        <v>44343</v>
      </c>
      <c r="B508" s="26">
        <v>21</v>
      </c>
      <c r="C508" s="22"/>
      <c r="D508" s="22"/>
      <c r="E508" s="22"/>
      <c r="F508" s="22"/>
    </row>
    <row r="509" spans="1:7" ht="14.5">
      <c r="A509" s="25">
        <v>44344</v>
      </c>
      <c r="B509" s="26">
        <v>21</v>
      </c>
      <c r="C509" s="22"/>
      <c r="D509" s="22"/>
      <c r="E509" s="22"/>
      <c r="F509" s="22"/>
    </row>
    <row r="510" spans="1:7" ht="14.5">
      <c r="A510" s="25">
        <v>44345</v>
      </c>
      <c r="B510" s="26">
        <v>21</v>
      </c>
      <c r="C510" s="22"/>
      <c r="D510" s="22"/>
      <c r="E510" s="22"/>
      <c r="F510" s="22"/>
    </row>
    <row r="511" spans="1:7" ht="14.5">
      <c r="A511" s="25">
        <v>44346</v>
      </c>
      <c r="B511" s="26">
        <v>21</v>
      </c>
      <c r="C511" s="22"/>
      <c r="D511" s="22"/>
      <c r="E511" s="22"/>
      <c r="F511" s="22"/>
    </row>
    <row r="512" spans="1:7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>
        <v>1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/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/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>
        <v>1</v>
      </c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/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>
        <v>1</v>
      </c>
      <c r="D533" s="22"/>
      <c r="E533" s="22"/>
      <c r="F533" s="22"/>
    </row>
    <row r="534" spans="1:6" ht="14.5">
      <c r="A534" s="25">
        <v>44369</v>
      </c>
      <c r="B534" s="26">
        <v>25</v>
      </c>
      <c r="C534" s="22"/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94"/>
      <c r="F535" s="22"/>
    </row>
    <row r="536" spans="1:6" ht="14.5">
      <c r="A536" s="25">
        <v>44371</v>
      </c>
      <c r="B536" s="26">
        <v>25</v>
      </c>
      <c r="C536" s="22"/>
      <c r="D536" s="22"/>
      <c r="E536" s="94"/>
      <c r="F536" s="22"/>
    </row>
    <row r="537" spans="1:6" ht="14.5">
      <c r="A537" s="25">
        <v>44372</v>
      </c>
      <c r="B537" s="26">
        <v>25</v>
      </c>
      <c r="C537" s="22"/>
      <c r="D537" s="22"/>
      <c r="E537" s="94"/>
      <c r="F537" s="22"/>
    </row>
    <row r="538" spans="1:6" ht="14.5">
      <c r="A538" s="25">
        <v>44373</v>
      </c>
      <c r="B538" s="26">
        <v>25</v>
      </c>
      <c r="C538" s="22">
        <v>1</v>
      </c>
      <c r="D538" s="22"/>
      <c r="E538" s="94"/>
      <c r="F538" s="22"/>
    </row>
    <row r="539" spans="1:6" ht="14.5">
      <c r="A539" s="25">
        <v>44374</v>
      </c>
      <c r="B539" s="26">
        <v>25</v>
      </c>
      <c r="C539" s="22"/>
      <c r="D539" s="22"/>
      <c r="E539" s="94"/>
      <c r="F539" s="22"/>
    </row>
    <row r="540" spans="1:6" ht="14.5">
      <c r="A540" s="25">
        <v>44375</v>
      </c>
      <c r="B540" s="26">
        <v>25</v>
      </c>
      <c r="C540" s="22"/>
      <c r="D540" s="22"/>
      <c r="E540" s="94"/>
      <c r="F540" s="22"/>
    </row>
    <row r="541" spans="1:6" ht="14.5">
      <c r="A541" s="25">
        <v>44376</v>
      </c>
      <c r="B541" s="26">
        <v>26</v>
      </c>
      <c r="C541" s="22"/>
      <c r="D541" s="22"/>
      <c r="E541" s="94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2">
        <v>27</v>
      </c>
      <c r="C547" s="22"/>
      <c r="D547" s="22"/>
      <c r="E547" s="22"/>
      <c r="F547" s="22"/>
    </row>
    <row r="548" spans="1:6" ht="14.5">
      <c r="A548" s="25">
        <v>44383</v>
      </c>
      <c r="B548" s="22">
        <v>27</v>
      </c>
      <c r="C548" s="22"/>
      <c r="D548" s="22"/>
      <c r="E548" s="22"/>
      <c r="F548" s="22"/>
    </row>
    <row r="549" spans="1:6" ht="14.5">
      <c r="A549" s="25">
        <v>44384</v>
      </c>
      <c r="B549" s="22">
        <v>27</v>
      </c>
      <c r="C549" s="22">
        <v>1</v>
      </c>
      <c r="D549" s="22"/>
      <c r="E549" s="22"/>
      <c r="F549" s="22"/>
    </row>
    <row r="550" spans="1:6" ht="14.5">
      <c r="A550" s="25">
        <v>44385</v>
      </c>
      <c r="B550" s="22">
        <v>27</v>
      </c>
      <c r="C550" s="22"/>
      <c r="D550" s="22"/>
      <c r="E550" s="22"/>
      <c r="F550" s="22"/>
    </row>
    <row r="551" spans="1:6" ht="14.5">
      <c r="A551" s="25">
        <v>44386</v>
      </c>
      <c r="B551" s="22">
        <v>27</v>
      </c>
      <c r="C551" s="22"/>
      <c r="D551" s="22"/>
      <c r="E551" s="22"/>
      <c r="F551" s="22"/>
    </row>
    <row r="552" spans="1:6" ht="14.5">
      <c r="A552" s="25">
        <v>44387</v>
      </c>
      <c r="B552" s="22">
        <v>27</v>
      </c>
      <c r="C552" s="22">
        <v>1</v>
      </c>
      <c r="D552" s="22"/>
      <c r="E552" s="22"/>
      <c r="F552" s="22"/>
    </row>
    <row r="553" spans="1:6" ht="14.5">
      <c r="A553" s="25">
        <v>44388</v>
      </c>
      <c r="B553" s="22">
        <v>27</v>
      </c>
      <c r="C553" s="22"/>
      <c r="D553" s="22"/>
      <c r="E553" s="22"/>
      <c r="F553" s="22"/>
    </row>
    <row r="554" spans="1:6" ht="14.5">
      <c r="A554" s="25">
        <v>44389</v>
      </c>
      <c r="B554" s="22">
        <v>28</v>
      </c>
      <c r="C554" s="22"/>
      <c r="D554" s="22"/>
      <c r="E554" s="22"/>
      <c r="F554" s="22"/>
    </row>
    <row r="555" spans="1:6" ht="14.5">
      <c r="A555" s="25">
        <v>44390</v>
      </c>
      <c r="B555" s="22">
        <v>28</v>
      </c>
      <c r="C555" s="22">
        <v>3</v>
      </c>
      <c r="D555" s="22"/>
      <c r="E555" s="22"/>
      <c r="F555" s="22"/>
    </row>
    <row r="556" spans="1:6" ht="14.5">
      <c r="A556" s="25">
        <v>44391</v>
      </c>
      <c r="B556" s="22">
        <v>28</v>
      </c>
      <c r="C556" s="22">
        <v>3</v>
      </c>
      <c r="D556" s="22"/>
      <c r="E556" s="22"/>
      <c r="F556" s="22"/>
    </row>
    <row r="557" spans="1:6" ht="14.5">
      <c r="A557" s="25">
        <v>44392</v>
      </c>
      <c r="B557" s="22">
        <v>28</v>
      </c>
      <c r="C557" s="22">
        <v>1</v>
      </c>
      <c r="D557" s="22"/>
      <c r="E557" s="22"/>
      <c r="F557" s="22"/>
    </row>
    <row r="558" spans="1:6" ht="14.5">
      <c r="A558" s="25">
        <v>44393</v>
      </c>
      <c r="B558" s="22">
        <v>28</v>
      </c>
      <c r="C558" s="22">
        <v>1</v>
      </c>
      <c r="D558" s="22"/>
      <c r="E558" s="22"/>
      <c r="F558" s="22"/>
    </row>
    <row r="559" spans="1:6" ht="14.5">
      <c r="A559" s="25">
        <v>44394</v>
      </c>
      <c r="B559" s="22">
        <v>28</v>
      </c>
      <c r="C559" s="22">
        <v>2</v>
      </c>
      <c r="D559" s="22"/>
      <c r="E559" s="22"/>
      <c r="F559" s="22"/>
    </row>
    <row r="560" spans="1:6" ht="14.5">
      <c r="A560" s="25">
        <v>44395</v>
      </c>
      <c r="B560" s="22">
        <v>28</v>
      </c>
      <c r="C560" s="22"/>
      <c r="D560" s="22"/>
      <c r="E560" s="22"/>
      <c r="F560" s="22"/>
    </row>
    <row r="561" spans="1:6" ht="14.5">
      <c r="A561" s="25">
        <v>44396</v>
      </c>
      <c r="B561" s="22">
        <v>29</v>
      </c>
      <c r="C561" s="22"/>
      <c r="D561" s="22"/>
      <c r="E561" s="22"/>
      <c r="F561" s="22"/>
    </row>
    <row r="562" spans="1:6" ht="14.5">
      <c r="A562" s="25">
        <v>44397</v>
      </c>
      <c r="B562" s="22">
        <v>29</v>
      </c>
      <c r="C562" s="22"/>
      <c r="D562" s="22"/>
      <c r="E562" s="22"/>
      <c r="F562" s="22"/>
    </row>
    <row r="563" spans="1:6" ht="14.5">
      <c r="A563" s="25">
        <v>44398</v>
      </c>
      <c r="B563" s="22">
        <v>29</v>
      </c>
      <c r="C563" s="22"/>
      <c r="D563" s="22"/>
      <c r="E563" s="22"/>
      <c r="F563" s="22"/>
    </row>
    <row r="564" spans="1:6" ht="14.5">
      <c r="A564" s="25">
        <v>44399</v>
      </c>
      <c r="B564" s="22">
        <v>29</v>
      </c>
      <c r="C564" s="32">
        <v>1</v>
      </c>
      <c r="D564" s="32"/>
      <c r="E564" s="95"/>
      <c r="F564" s="95"/>
    </row>
    <row r="565" spans="1:6" ht="14.5">
      <c r="A565" s="25">
        <v>44400</v>
      </c>
      <c r="B565" s="22">
        <v>29</v>
      </c>
      <c r="C565" s="32"/>
      <c r="D565" s="32"/>
      <c r="E565" s="32"/>
      <c r="F565" s="32"/>
    </row>
    <row r="566" spans="1:6" ht="14.5">
      <c r="A566" s="25">
        <v>44401</v>
      </c>
      <c r="B566" s="22">
        <v>29</v>
      </c>
      <c r="C566" s="32"/>
      <c r="D566" s="32"/>
      <c r="E566" s="32"/>
      <c r="F566" s="32"/>
    </row>
    <row r="567" spans="1:6" ht="14.5">
      <c r="A567" s="25">
        <v>44402</v>
      </c>
      <c r="B567" s="22">
        <v>29</v>
      </c>
      <c r="C567" s="32"/>
      <c r="D567" s="32"/>
      <c r="E567" s="32"/>
      <c r="F567" s="32"/>
    </row>
    <row r="568" spans="1:6" ht="14.5">
      <c r="A568" s="25">
        <v>44403</v>
      </c>
      <c r="B568" s="22">
        <v>30</v>
      </c>
      <c r="C568" s="32"/>
      <c r="D568" s="32"/>
      <c r="E568" s="32"/>
      <c r="F568" s="32"/>
    </row>
    <row r="569" spans="1:6" ht="14.5">
      <c r="A569" s="25">
        <v>44404</v>
      </c>
      <c r="B569" s="22">
        <v>30</v>
      </c>
      <c r="C569" s="32"/>
      <c r="D569" s="32"/>
      <c r="E569" s="32"/>
      <c r="F569" s="32"/>
    </row>
    <row r="570" spans="1:6" ht="14.5">
      <c r="A570" s="25">
        <v>44405</v>
      </c>
      <c r="B570" s="22">
        <v>30</v>
      </c>
      <c r="C570" s="32"/>
      <c r="D570" s="32"/>
      <c r="E570" s="32"/>
      <c r="F570" s="32"/>
    </row>
    <row r="571" spans="1:6" ht="14.5">
      <c r="A571" s="28">
        <v>44406</v>
      </c>
      <c r="B571" s="22">
        <v>30</v>
      </c>
      <c r="C571" s="22"/>
      <c r="D571" s="22"/>
      <c r="E571" s="22"/>
      <c r="F571" s="22"/>
    </row>
    <row r="572" spans="1:6" ht="14.5">
      <c r="A572" s="28">
        <v>44407</v>
      </c>
      <c r="B572" s="22">
        <v>30</v>
      </c>
      <c r="C572" s="22">
        <v>1</v>
      </c>
      <c r="D572" s="22"/>
      <c r="E572" s="22"/>
      <c r="F572" s="22"/>
    </row>
    <row r="573" spans="1:6" ht="14.5">
      <c r="A573" s="28">
        <v>44408</v>
      </c>
      <c r="B573" s="22">
        <v>30</v>
      </c>
      <c r="C573" s="22">
        <v>1</v>
      </c>
      <c r="D573" s="22"/>
      <c r="E573" s="22"/>
      <c r="F573" s="22"/>
    </row>
    <row r="574" spans="1:6" ht="14.5">
      <c r="A574" s="28">
        <v>44409</v>
      </c>
      <c r="B574" s="22">
        <v>30</v>
      </c>
      <c r="C574" s="22">
        <v>1</v>
      </c>
      <c r="D574" s="22"/>
      <c r="E574" s="22"/>
      <c r="F574" s="22"/>
    </row>
    <row r="575" spans="1:6" ht="14.5">
      <c r="A575" s="28">
        <v>44410</v>
      </c>
      <c r="B575" s="22">
        <v>31</v>
      </c>
      <c r="C575" s="22"/>
      <c r="D575" s="22"/>
      <c r="E575" s="22"/>
      <c r="F575" s="22"/>
    </row>
    <row r="576" spans="1:6" ht="14.5">
      <c r="A576" s="28">
        <v>44411</v>
      </c>
      <c r="B576" s="22">
        <v>31</v>
      </c>
      <c r="C576" s="22">
        <f>4+1</f>
        <v>5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1+1</f>
        <v>2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v>2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v>1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>2+1</f>
        <v>3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3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1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>
        <v>1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>
        <v>3</v>
      </c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>1</f>
        <v>1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f>1+1</f>
        <v>2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2</f>
        <v>2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2</f>
        <v>2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/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2</f>
        <v>2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>2</f>
        <v>2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2</f>
        <v>2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>12/11</f>
        <v>1.0909090909090908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 t="shared" ref="C598:C607" si="0">12/11</f>
        <v>1.0909090909090908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 t="shared" si="0"/>
        <v>1.0909090909090908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 t="shared" si="0"/>
        <v>1.0909090909090908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 t="shared" si="0"/>
        <v>1.0909090909090908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f t="shared" si="0"/>
        <v>1.0909090909090908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 t="shared" si="0"/>
        <v>1.0909090909090908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 t="shared" si="0"/>
        <v>1.0909090909090908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 t="shared" si="0"/>
        <v>1.0909090909090908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 t="shared" si="0"/>
        <v>1.0909090909090908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 t="shared" si="0"/>
        <v>1.0909090909090908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>2/7</f>
        <v>0.2857142857142857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 t="shared" ref="C609:C614" si="1">2/7</f>
        <v>0.2857142857142857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 t="shared" si="1"/>
        <v>0.2857142857142857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 t="shared" si="1"/>
        <v>0.2857142857142857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 t="shared" si="1"/>
        <v>0.2857142857142857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 t="shared" si="1"/>
        <v>0.2857142857142857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 t="shared" si="1"/>
        <v>0.2857142857142857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>2/14</f>
        <v>0.14285714285714285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 t="shared" ref="C616:C628" si="2">2/14</f>
        <v>0.14285714285714285</v>
      </c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 t="shared" si="2"/>
        <v>0.14285714285714285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f t="shared" si="2"/>
        <v>0.14285714285714285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f t="shared" si="2"/>
        <v>0.14285714285714285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f t="shared" si="2"/>
        <v>0.14285714285714285</v>
      </c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 t="shared" si="2"/>
        <v>0.14285714285714285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>
        <f t="shared" si="2"/>
        <v>0.14285714285714285</v>
      </c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 t="shared" si="2"/>
        <v>0.14285714285714285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>
        <f t="shared" si="2"/>
        <v>0.14285714285714285</v>
      </c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f t="shared" si="2"/>
        <v>0.14285714285714285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f t="shared" si="2"/>
        <v>0.14285714285714285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>
        <f t="shared" si="2"/>
        <v>0.14285714285714285</v>
      </c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 t="shared" si="2"/>
        <v>0.14285714285714285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5/4</f>
        <v>1.25</v>
      </c>
      <c r="D737" s="22">
        <f>1/4</f>
        <v>0.25</v>
      </c>
      <c r="E737" s="22"/>
      <c r="F737" s="22"/>
    </row>
    <row r="738" spans="1:6" ht="14.5">
      <c r="A738" s="28">
        <v>44573</v>
      </c>
      <c r="B738" s="22">
        <v>2</v>
      </c>
      <c r="C738" s="22">
        <f t="shared" ref="C738:C740" si="3">5/4</f>
        <v>1.25</v>
      </c>
      <c r="D738" s="22">
        <f t="shared" ref="D738:D740" si="4">1/4</f>
        <v>0.25</v>
      </c>
      <c r="E738" s="22"/>
      <c r="F738" s="22"/>
    </row>
    <row r="739" spans="1:6" ht="14.5">
      <c r="A739" s="28">
        <v>44574</v>
      </c>
      <c r="B739" s="22">
        <v>2</v>
      </c>
      <c r="C739" s="22">
        <f t="shared" si="3"/>
        <v>1.25</v>
      </c>
      <c r="D739" s="22">
        <f t="shared" si="4"/>
        <v>0.25</v>
      </c>
      <c r="E739" s="22"/>
      <c r="F739" s="22"/>
    </row>
    <row r="740" spans="1:6" ht="14.5">
      <c r="A740" s="28">
        <v>44575</v>
      </c>
      <c r="B740" s="22">
        <v>2</v>
      </c>
      <c r="C740" s="22">
        <f t="shared" si="3"/>
        <v>1.25</v>
      </c>
      <c r="D740" s="22">
        <f t="shared" si="4"/>
        <v>0.25</v>
      </c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14/5</f>
        <v>2.8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 t="shared" ref="C744:C747" si="5">14/5</f>
        <v>2.8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 t="shared" si="5"/>
        <v>2.8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 t="shared" si="5"/>
        <v>2.8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 t="shared" si="5"/>
        <v>2.8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>14/7</f>
        <v>2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 t="shared" ref="C749:C754" si="6">14/7</f>
        <v>2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 t="shared" si="6"/>
        <v>2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 t="shared" si="6"/>
        <v>2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 t="shared" si="6"/>
        <v>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 t="shared" si="6"/>
        <v>2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 t="shared" si="6"/>
        <v>2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>22/7</f>
        <v>3.1428571428571428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 t="shared" ref="C756:C761" si="7">22/7</f>
        <v>3.1428571428571428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 t="shared" si="7"/>
        <v>3.1428571428571428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22">
        <f t="shared" si="7"/>
        <v>3.1428571428571428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22">
        <f t="shared" si="7"/>
        <v>3.1428571428571428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22">
        <f t="shared" si="7"/>
        <v>3.1428571428571428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22">
        <f t="shared" si="7"/>
        <v>3.1428571428571428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>(14/6)</f>
        <v>2.3333333333333335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 t="shared" ref="C763:C767" si="8">(14/6)</f>
        <v>2.3333333333333335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 t="shared" si="8"/>
        <v>2.3333333333333335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 t="shared" si="8"/>
        <v>2.3333333333333335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 t="shared" si="8"/>
        <v>2.3333333333333335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 t="shared" si="8"/>
        <v>2.3333333333333335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>(6/8)</f>
        <v>0.75</v>
      </c>
      <c r="D768" s="52">
        <f>(1/8)</f>
        <v>0.125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ref="C769:C775" si="9">(6/8)</f>
        <v>0.75</v>
      </c>
      <c r="D769" s="52">
        <f t="shared" ref="D769:D775" si="10">(1/8)</f>
        <v>0.125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9"/>
        <v>0.75</v>
      </c>
      <c r="D770" s="52">
        <f t="shared" si="10"/>
        <v>0.125</v>
      </c>
      <c r="E770" s="52"/>
      <c r="F770" s="52"/>
    </row>
    <row r="771" spans="1:6" ht="14.5">
      <c r="A771" s="49">
        <v>44606</v>
      </c>
      <c r="B771" s="52">
        <v>7</v>
      </c>
      <c r="C771" s="52">
        <f t="shared" si="9"/>
        <v>0.75</v>
      </c>
      <c r="D771" s="52">
        <f t="shared" si="10"/>
        <v>0.125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si="9"/>
        <v>0.75</v>
      </c>
      <c r="D772" s="52">
        <f t="shared" si="10"/>
        <v>0.125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9"/>
        <v>0.75</v>
      </c>
      <c r="D773" s="52">
        <f t="shared" si="10"/>
        <v>0.125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9"/>
        <v>0.75</v>
      </c>
      <c r="D774" s="52">
        <f t="shared" si="10"/>
        <v>0.125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9"/>
        <v>0.75</v>
      </c>
      <c r="D775" s="52">
        <f t="shared" si="10"/>
        <v>0.125</v>
      </c>
      <c r="E775" s="52"/>
      <c r="F775" s="52"/>
    </row>
    <row r="776" spans="1:6" ht="14.5">
      <c r="A776" s="49">
        <v>44611</v>
      </c>
      <c r="B776" s="52">
        <v>7</v>
      </c>
      <c r="C776" s="52">
        <f>(10/7)</f>
        <v>1.4285714285714286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>
        <f t="shared" ref="C777:C782" si="11">(10/7)</f>
        <v>1.4285714285714286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 t="shared" si="11"/>
        <v>1.4285714285714286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 t="shared" si="11"/>
        <v>1.4285714285714286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 t="shared" si="11"/>
        <v>1.4285714285714286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 t="shared" si="11"/>
        <v>1.4285714285714286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 t="shared" si="11"/>
        <v>1.4285714285714286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>
        <f>(10/7)</f>
        <v>1.4285714285714286</v>
      </c>
      <c r="D783" s="52"/>
      <c r="E783" s="52"/>
      <c r="F783" s="52"/>
    </row>
    <row r="784" spans="1:6" ht="14.5">
      <c r="A784" s="49">
        <v>44619</v>
      </c>
      <c r="B784" s="52">
        <v>8</v>
      </c>
      <c r="C784" s="52">
        <f t="shared" ref="C784:C789" si="12">(10/7)</f>
        <v>1.4285714285714286</v>
      </c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 t="shared" si="12"/>
        <v>1.4285714285714286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 t="shared" si="12"/>
        <v>1.4285714285714286</v>
      </c>
      <c r="D786" s="52"/>
      <c r="E786" s="52"/>
      <c r="F786" s="52"/>
    </row>
    <row r="787" spans="1:6" ht="14.5">
      <c r="A787" s="64">
        <v>44622</v>
      </c>
      <c r="B787" s="52">
        <v>9</v>
      </c>
      <c r="C787" s="52">
        <f t="shared" si="12"/>
        <v>1.4285714285714286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 t="shared" si="12"/>
        <v>1.4285714285714286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>
        <f t="shared" si="12"/>
        <v>1.4285714285714286</v>
      </c>
      <c r="D789" s="52"/>
      <c r="E789" s="52"/>
      <c r="F789" s="52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1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customWidth="1"/>
    <col min="7" max="7" width="66.33203125" style="55" customWidth="1"/>
    <col min="8" max="16384" width="12.58203125" style="55"/>
  </cols>
  <sheetData>
    <row r="1" spans="1:7" ht="15" customHeight="1">
      <c r="A1" s="120" t="s">
        <v>62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10</v>
      </c>
      <c r="B2" s="115"/>
      <c r="C2" s="115"/>
      <c r="D2" s="115"/>
      <c r="E2" s="115"/>
      <c r="F2" s="116"/>
      <c r="G2" s="68" t="s">
        <v>303</v>
      </c>
    </row>
    <row r="3" spans="1:7" ht="15" customHeight="1">
      <c r="A3" s="118" t="s">
        <v>350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21"/>
      <c r="F8" s="21"/>
    </row>
    <row r="9" spans="1:7" ht="15" customHeight="1">
      <c r="A9" s="25">
        <v>43844</v>
      </c>
      <c r="B9" s="26">
        <v>1</v>
      </c>
      <c r="C9" s="22"/>
      <c r="D9" s="22"/>
      <c r="E9" s="22"/>
      <c r="F9" s="22"/>
    </row>
    <row r="10" spans="1:7" ht="15" customHeight="1">
      <c r="A10" s="25">
        <v>43845</v>
      </c>
      <c r="B10" s="26">
        <v>1</v>
      </c>
      <c r="C10" s="22"/>
      <c r="D10" s="22"/>
      <c r="E10" s="22"/>
      <c r="F10" s="22"/>
    </row>
    <row r="11" spans="1:7" ht="15" customHeight="1">
      <c r="A11" s="25">
        <v>43846</v>
      </c>
      <c r="B11" s="26">
        <v>1</v>
      </c>
      <c r="C11" s="22"/>
      <c r="D11" s="22"/>
      <c r="E11" s="22"/>
      <c r="F11" s="22"/>
    </row>
    <row r="12" spans="1:7" ht="15" customHeight="1">
      <c r="A12" s="25">
        <v>43847</v>
      </c>
      <c r="B12" s="26">
        <v>1</v>
      </c>
      <c r="C12" s="22"/>
      <c r="D12" s="22"/>
      <c r="E12" s="22"/>
      <c r="F12" s="22"/>
    </row>
    <row r="13" spans="1:7" ht="15" customHeight="1">
      <c r="A13" s="25">
        <v>43848</v>
      </c>
      <c r="B13" s="26">
        <v>1</v>
      </c>
      <c r="C13" s="22"/>
      <c r="D13" s="22"/>
      <c r="E13" s="22"/>
      <c r="F13" s="22"/>
    </row>
    <row r="14" spans="1:7" ht="15" customHeight="1">
      <c r="A14" s="25">
        <v>43849</v>
      </c>
      <c r="B14" s="26">
        <v>1</v>
      </c>
      <c r="C14" s="22"/>
      <c r="D14" s="22"/>
      <c r="E14" s="22"/>
      <c r="F14" s="22"/>
    </row>
    <row r="15" spans="1:7" ht="15" customHeight="1">
      <c r="A15" s="25">
        <v>43850</v>
      </c>
      <c r="B15" s="26">
        <v>2</v>
      </c>
      <c r="C15" s="22"/>
      <c r="D15" s="22"/>
      <c r="E15" s="22"/>
      <c r="F15" s="22"/>
    </row>
    <row r="16" spans="1:7" ht="15" customHeight="1">
      <c r="A16" s="25">
        <v>43851</v>
      </c>
      <c r="B16" s="26">
        <v>2</v>
      </c>
      <c r="C16" s="22"/>
      <c r="D16" s="22"/>
      <c r="E16" s="22"/>
      <c r="F16" s="22"/>
    </row>
    <row r="17" spans="1:6" ht="15" customHeight="1">
      <c r="A17" s="25">
        <v>43852</v>
      </c>
      <c r="B17" s="26">
        <v>2</v>
      </c>
      <c r="C17" s="22"/>
      <c r="D17" s="22"/>
      <c r="E17" s="22"/>
      <c r="F17" s="22"/>
    </row>
    <row r="18" spans="1:6" ht="15" customHeight="1">
      <c r="A18" s="25">
        <v>43853</v>
      </c>
      <c r="B18" s="26">
        <v>2</v>
      </c>
      <c r="C18" s="22"/>
      <c r="D18" s="22"/>
      <c r="E18" s="22"/>
      <c r="F18" s="22"/>
    </row>
    <row r="19" spans="1:6" ht="15" customHeight="1">
      <c r="A19" s="25">
        <v>43854</v>
      </c>
      <c r="B19" s="26">
        <v>2</v>
      </c>
      <c r="C19" s="22"/>
      <c r="D19" s="22"/>
      <c r="E19" s="22"/>
      <c r="F19" s="22"/>
    </row>
    <row r="20" spans="1:6" ht="15" customHeight="1">
      <c r="A20" s="25">
        <v>43855</v>
      </c>
      <c r="B20" s="26">
        <v>2</v>
      </c>
      <c r="C20" s="22"/>
      <c r="D20" s="22"/>
      <c r="E20" s="22"/>
      <c r="F20" s="22"/>
    </row>
    <row r="21" spans="1:6" ht="15" customHeight="1">
      <c r="A21" s="25">
        <v>43856</v>
      </c>
      <c r="B21" s="26">
        <v>2</v>
      </c>
      <c r="C21" s="22"/>
      <c r="D21" s="22"/>
      <c r="E21" s="22"/>
      <c r="F21" s="22"/>
    </row>
    <row r="22" spans="1:6" ht="15" customHeight="1">
      <c r="A22" s="25">
        <v>43857</v>
      </c>
      <c r="B22" s="26">
        <v>3</v>
      </c>
      <c r="C22" s="22"/>
      <c r="D22" s="22"/>
      <c r="E22" s="22"/>
      <c r="F22" s="22"/>
    </row>
    <row r="23" spans="1:6" ht="15" customHeight="1">
      <c r="A23" s="25">
        <v>43858</v>
      </c>
      <c r="B23" s="26">
        <v>3</v>
      </c>
      <c r="C23" s="22"/>
      <c r="D23" s="22"/>
      <c r="E23" s="22"/>
      <c r="F23" s="22"/>
    </row>
    <row r="24" spans="1:6" ht="15" customHeight="1">
      <c r="A24" s="25">
        <v>43859</v>
      </c>
      <c r="B24" s="26">
        <v>3</v>
      </c>
      <c r="C24" s="22"/>
      <c r="D24" s="22"/>
      <c r="E24" s="22"/>
      <c r="F24" s="29"/>
    </row>
    <row r="25" spans="1:6" ht="15" customHeight="1">
      <c r="A25" s="25">
        <v>43860</v>
      </c>
      <c r="B25" s="26">
        <v>3</v>
      </c>
      <c r="C25" s="22"/>
      <c r="D25" s="22"/>
      <c r="E25" s="22"/>
      <c r="F25" s="30"/>
    </row>
    <row r="26" spans="1:6" ht="15" customHeight="1">
      <c r="A26" s="25">
        <v>43861</v>
      </c>
      <c r="B26" s="26">
        <v>3</v>
      </c>
      <c r="C26" s="22"/>
      <c r="D26" s="22"/>
      <c r="E26" s="22"/>
      <c r="F26" s="22"/>
    </row>
    <row r="27" spans="1:6" ht="15" customHeight="1">
      <c r="A27" s="25">
        <v>43862</v>
      </c>
      <c r="B27" s="26">
        <v>3</v>
      </c>
      <c r="C27" s="22"/>
      <c r="D27" s="22"/>
      <c r="E27" s="22"/>
      <c r="F27" s="22"/>
    </row>
    <row r="28" spans="1:6" ht="15" customHeight="1">
      <c r="A28" s="25">
        <v>43863</v>
      </c>
      <c r="B28" s="26">
        <v>3</v>
      </c>
      <c r="C28" s="22"/>
      <c r="D28" s="22"/>
      <c r="E28" s="22"/>
      <c r="F28" s="22"/>
    </row>
    <row r="29" spans="1:6" ht="15" customHeight="1">
      <c r="A29" s="25">
        <v>43864</v>
      </c>
      <c r="B29" s="26">
        <v>4</v>
      </c>
      <c r="C29" s="22"/>
      <c r="D29" s="22"/>
      <c r="E29" s="22"/>
      <c r="F29" s="22"/>
    </row>
    <row r="30" spans="1:6" ht="15" customHeight="1">
      <c r="A30" s="25">
        <v>43865</v>
      </c>
      <c r="B30" s="26">
        <v>4</v>
      </c>
      <c r="C30" s="22"/>
      <c r="D30" s="22"/>
      <c r="E30" s="22"/>
      <c r="F30" s="30"/>
    </row>
    <row r="31" spans="1:6" ht="15" customHeight="1">
      <c r="A31" s="25">
        <v>43866</v>
      </c>
      <c r="B31" s="26">
        <v>4</v>
      </c>
      <c r="C31" s="22"/>
      <c r="D31" s="22"/>
      <c r="E31" s="22"/>
      <c r="F31" s="29"/>
    </row>
    <row r="32" spans="1:6" ht="15" customHeight="1">
      <c r="A32" s="25">
        <v>43867</v>
      </c>
      <c r="B32" s="26">
        <v>4</v>
      </c>
      <c r="C32" s="22"/>
      <c r="D32" s="22"/>
      <c r="E32" s="22"/>
      <c r="F32" s="29"/>
    </row>
    <row r="33" spans="1:6" ht="15" customHeight="1">
      <c r="A33" s="25">
        <v>43868</v>
      </c>
      <c r="B33" s="26">
        <v>4</v>
      </c>
      <c r="C33" s="22"/>
      <c r="D33" s="22"/>
      <c r="E33" s="22"/>
      <c r="F33" s="22"/>
    </row>
    <row r="34" spans="1:6" ht="15" customHeight="1">
      <c r="A34" s="25">
        <v>43869</v>
      </c>
      <c r="B34" s="26">
        <v>4</v>
      </c>
      <c r="C34" s="22"/>
      <c r="D34" s="22"/>
      <c r="E34" s="22"/>
      <c r="F34" s="22"/>
    </row>
    <row r="35" spans="1:6" ht="15" customHeight="1">
      <c r="A35" s="25">
        <v>43870</v>
      </c>
      <c r="B35" s="26">
        <v>4</v>
      </c>
      <c r="C35" s="22"/>
      <c r="D35" s="22"/>
      <c r="E35" s="22"/>
      <c r="F35" s="22"/>
    </row>
    <row r="36" spans="1:6" ht="15" customHeight="1">
      <c r="A36" s="25">
        <v>43871</v>
      </c>
      <c r="B36" s="26">
        <v>5</v>
      </c>
      <c r="C36" s="22"/>
      <c r="D36" s="22"/>
      <c r="E36" s="22"/>
      <c r="F36" s="22"/>
    </row>
    <row r="37" spans="1:6" ht="15" customHeight="1">
      <c r="A37" s="25">
        <v>43872</v>
      </c>
      <c r="B37" s="26">
        <v>5</v>
      </c>
      <c r="C37" s="22"/>
      <c r="D37" s="22"/>
      <c r="E37" s="22"/>
      <c r="F37" s="22"/>
    </row>
    <row r="38" spans="1:6" ht="15" customHeight="1">
      <c r="A38" s="25">
        <v>43873</v>
      </c>
      <c r="B38" s="26">
        <v>5</v>
      </c>
      <c r="C38" s="22"/>
      <c r="D38" s="22"/>
      <c r="E38" s="22"/>
      <c r="F38" s="22"/>
    </row>
    <row r="39" spans="1:6" ht="15" customHeight="1">
      <c r="A39" s="25">
        <v>43874</v>
      </c>
      <c r="B39" s="26">
        <v>5</v>
      </c>
      <c r="C39" s="22"/>
      <c r="D39" s="22"/>
      <c r="E39" s="22"/>
      <c r="F39" s="22"/>
    </row>
    <row r="40" spans="1:6" ht="15" customHeight="1">
      <c r="A40" s="25">
        <v>43875</v>
      </c>
      <c r="B40" s="26">
        <v>5</v>
      </c>
      <c r="C40" s="22"/>
      <c r="D40" s="22"/>
      <c r="E40" s="22"/>
      <c r="F40" s="22"/>
    </row>
    <row r="41" spans="1:6" ht="15" customHeight="1">
      <c r="A41" s="25">
        <v>43876</v>
      </c>
      <c r="B41" s="26">
        <v>5</v>
      </c>
      <c r="C41" s="22"/>
      <c r="D41" s="22"/>
      <c r="E41" s="22"/>
      <c r="F41" s="22"/>
    </row>
    <row r="42" spans="1:6" ht="15" customHeight="1">
      <c r="A42" s="25">
        <v>43877</v>
      </c>
      <c r="B42" s="26">
        <v>5</v>
      </c>
      <c r="C42" s="22"/>
      <c r="D42" s="22"/>
      <c r="E42" s="22"/>
      <c r="F42" s="31"/>
    </row>
    <row r="43" spans="1:6" ht="15" customHeight="1">
      <c r="A43" s="25">
        <v>43878</v>
      </c>
      <c r="B43" s="26">
        <v>6</v>
      </c>
      <c r="C43" s="22"/>
      <c r="D43" s="22"/>
      <c r="E43" s="22"/>
      <c r="F43" s="29"/>
    </row>
    <row r="44" spans="1:6" ht="15" customHeight="1">
      <c r="A44" s="25">
        <v>43879</v>
      </c>
      <c r="B44" s="26">
        <v>6</v>
      </c>
      <c r="C44" s="22"/>
      <c r="D44" s="22"/>
      <c r="E44" s="22"/>
      <c r="F44" s="29"/>
    </row>
    <row r="45" spans="1:6" ht="15" customHeight="1">
      <c r="A45" s="25">
        <v>43880</v>
      </c>
      <c r="B45" s="26">
        <v>6</v>
      </c>
      <c r="C45" s="22"/>
      <c r="D45" s="22"/>
      <c r="E45" s="22"/>
      <c r="F45" s="22"/>
    </row>
    <row r="46" spans="1:6" ht="15" customHeight="1">
      <c r="A46" s="25">
        <v>43881</v>
      </c>
      <c r="B46" s="26">
        <v>6</v>
      </c>
      <c r="C46" s="22"/>
      <c r="D46" s="22"/>
      <c r="E46" s="22"/>
      <c r="F46" s="29"/>
    </row>
    <row r="47" spans="1:6" ht="15" customHeight="1">
      <c r="A47" s="25">
        <v>43882</v>
      </c>
      <c r="B47" s="26">
        <v>6</v>
      </c>
      <c r="C47" s="22"/>
      <c r="D47" s="22"/>
      <c r="E47" s="22"/>
      <c r="F47" s="22"/>
    </row>
    <row r="48" spans="1:6" ht="15" customHeight="1">
      <c r="A48" s="25">
        <v>43883</v>
      </c>
      <c r="B48" s="26">
        <v>6</v>
      </c>
      <c r="C48" s="22"/>
      <c r="D48" s="22"/>
      <c r="E48" s="22"/>
      <c r="F48" s="22"/>
    </row>
    <row r="49" spans="1:6" ht="14.5">
      <c r="A49" s="25">
        <v>43884</v>
      </c>
      <c r="B49" s="26">
        <v>6</v>
      </c>
      <c r="C49" s="22"/>
      <c r="D49" s="22"/>
      <c r="E49" s="22"/>
      <c r="F49" s="22"/>
    </row>
    <row r="50" spans="1:6" ht="14.5">
      <c r="A50" s="25">
        <v>43885</v>
      </c>
      <c r="B50" s="26">
        <v>7</v>
      </c>
      <c r="C50" s="22"/>
      <c r="D50" s="22"/>
      <c r="E50" s="22"/>
      <c r="F50" s="22"/>
    </row>
    <row r="51" spans="1:6" ht="14.5">
      <c r="A51" s="25">
        <v>43886</v>
      </c>
      <c r="B51" s="26">
        <v>7</v>
      </c>
      <c r="C51" s="22"/>
      <c r="D51" s="22"/>
      <c r="E51" s="22"/>
      <c r="F51" s="22"/>
    </row>
    <row r="52" spans="1:6" ht="14.5">
      <c r="A52" s="25">
        <v>43887</v>
      </c>
      <c r="B52" s="26">
        <v>7</v>
      </c>
      <c r="C52" s="22"/>
      <c r="D52" s="22"/>
      <c r="E52" s="22"/>
      <c r="F52" s="22"/>
    </row>
    <row r="53" spans="1:6" ht="14.5">
      <c r="A53" s="25">
        <v>43888</v>
      </c>
      <c r="B53" s="26">
        <v>7</v>
      </c>
      <c r="C53" s="22"/>
      <c r="D53" s="22"/>
      <c r="E53" s="22"/>
      <c r="F53" s="22"/>
    </row>
    <row r="54" spans="1:6" ht="14.5">
      <c r="A54" s="25">
        <v>43889</v>
      </c>
      <c r="B54" s="26">
        <v>7</v>
      </c>
      <c r="C54" s="22"/>
      <c r="D54" s="22"/>
      <c r="E54" s="22"/>
      <c r="F54" s="22"/>
    </row>
    <row r="55" spans="1:6" ht="14.5">
      <c r="A55" s="25">
        <v>43890</v>
      </c>
      <c r="B55" s="26">
        <v>7</v>
      </c>
      <c r="C55" s="22"/>
      <c r="D55" s="22"/>
      <c r="E55" s="22"/>
      <c r="F55" s="22"/>
    </row>
    <row r="56" spans="1:6" ht="14.5">
      <c r="A56" s="25">
        <v>43891</v>
      </c>
      <c r="B56" s="26">
        <v>7</v>
      </c>
      <c r="C56" s="22"/>
      <c r="D56" s="22"/>
      <c r="E56" s="22"/>
      <c r="F56" s="22"/>
    </row>
    <row r="57" spans="1:6" ht="14.5">
      <c r="A57" s="25">
        <v>43892</v>
      </c>
      <c r="B57" s="26">
        <v>8</v>
      </c>
      <c r="C57" s="22"/>
      <c r="D57" s="22"/>
      <c r="E57" s="22"/>
      <c r="F57" s="22"/>
    </row>
    <row r="58" spans="1:6" ht="14.5">
      <c r="A58" s="25">
        <v>43893</v>
      </c>
      <c r="B58" s="26">
        <v>8</v>
      </c>
      <c r="C58" s="22"/>
      <c r="D58" s="22"/>
      <c r="E58" s="22"/>
      <c r="F58" s="22"/>
    </row>
    <row r="59" spans="1:6" ht="14.5">
      <c r="A59" s="25">
        <v>43894</v>
      </c>
      <c r="B59" s="26">
        <v>8</v>
      </c>
      <c r="C59" s="22"/>
      <c r="D59" s="22"/>
      <c r="E59" s="22"/>
      <c r="F59" s="22"/>
    </row>
    <row r="60" spans="1:6" ht="14.5">
      <c r="A60" s="25">
        <v>43895</v>
      </c>
      <c r="B60" s="26">
        <v>8</v>
      </c>
      <c r="C60" s="22"/>
      <c r="D60" s="22"/>
      <c r="E60" s="22"/>
      <c r="F60" s="22"/>
    </row>
    <row r="61" spans="1:6" ht="14.5">
      <c r="A61" s="25">
        <v>43896</v>
      </c>
      <c r="B61" s="26">
        <v>8</v>
      </c>
      <c r="C61" s="22"/>
      <c r="D61" s="22"/>
      <c r="E61" s="22"/>
      <c r="F61" s="22"/>
    </row>
    <row r="62" spans="1:6" ht="14.5">
      <c r="A62" s="25">
        <v>43897</v>
      </c>
      <c r="B62" s="26">
        <v>8</v>
      </c>
      <c r="C62" s="22"/>
      <c r="D62" s="22"/>
      <c r="E62" s="22"/>
      <c r="F62" s="22"/>
    </row>
    <row r="63" spans="1:6" ht="14.5">
      <c r="A63" s="25">
        <v>43898</v>
      </c>
      <c r="B63" s="26">
        <v>8</v>
      </c>
      <c r="C63" s="22"/>
      <c r="D63" s="22"/>
      <c r="E63" s="22"/>
      <c r="F63" s="22"/>
    </row>
    <row r="64" spans="1:6" ht="14.5">
      <c r="A64" s="25">
        <v>43899</v>
      </c>
      <c r="B64" s="26">
        <v>9</v>
      </c>
      <c r="C64" s="22"/>
      <c r="D64" s="22"/>
      <c r="E64" s="22"/>
      <c r="F64" s="22"/>
    </row>
    <row r="65" spans="1:6" ht="14.5">
      <c r="A65" s="25">
        <v>43900</v>
      </c>
      <c r="B65" s="26">
        <v>9</v>
      </c>
      <c r="C65" s="22"/>
      <c r="D65" s="22"/>
      <c r="E65" s="22"/>
      <c r="F65" s="22"/>
    </row>
    <row r="66" spans="1:6" ht="14.5">
      <c r="A66" s="25">
        <v>43901</v>
      </c>
      <c r="B66" s="26">
        <v>9</v>
      </c>
      <c r="C66" s="22"/>
      <c r="D66" s="22"/>
      <c r="E66" s="22"/>
      <c r="F66" s="22"/>
    </row>
    <row r="67" spans="1:6" ht="14.5">
      <c r="A67" s="25">
        <v>43902</v>
      </c>
      <c r="B67" s="26">
        <v>9</v>
      </c>
      <c r="C67" s="22"/>
      <c r="D67" s="22"/>
      <c r="E67" s="22"/>
      <c r="F67" s="22"/>
    </row>
    <row r="68" spans="1:6" ht="14.5">
      <c r="A68" s="25">
        <v>43903</v>
      </c>
      <c r="B68" s="26">
        <v>9</v>
      </c>
      <c r="C68" s="22"/>
      <c r="D68" s="22"/>
      <c r="E68" s="22"/>
      <c r="F68" s="22"/>
    </row>
    <row r="69" spans="1:6" ht="14.5">
      <c r="A69" s="25">
        <v>43904</v>
      </c>
      <c r="B69" s="26">
        <v>9</v>
      </c>
      <c r="C69" s="22"/>
      <c r="D69" s="22"/>
      <c r="E69" s="22"/>
      <c r="F69" s="22"/>
    </row>
    <row r="70" spans="1:6" ht="14.5">
      <c r="A70" s="25">
        <v>43905</v>
      </c>
      <c r="B70" s="26">
        <v>9</v>
      </c>
      <c r="C70" s="22"/>
      <c r="D70" s="22"/>
      <c r="E70" s="22"/>
      <c r="F70" s="22"/>
    </row>
    <row r="71" spans="1:6" ht="14.5">
      <c r="A71" s="25">
        <v>43906</v>
      </c>
      <c r="B71" s="26">
        <v>10</v>
      </c>
      <c r="C71" s="22"/>
      <c r="D71" s="22"/>
      <c r="E71" s="22"/>
      <c r="F71" s="22"/>
    </row>
    <row r="72" spans="1:6" ht="14.5">
      <c r="A72" s="25">
        <v>43907</v>
      </c>
      <c r="B72" s="26">
        <v>10</v>
      </c>
      <c r="C72" s="22"/>
      <c r="D72" s="22"/>
      <c r="E72" s="22"/>
      <c r="F72" s="22"/>
    </row>
    <row r="73" spans="1:6" ht="14.5">
      <c r="A73" s="25">
        <v>43908</v>
      </c>
      <c r="B73" s="26">
        <v>10</v>
      </c>
      <c r="C73" s="22"/>
      <c r="D73" s="22"/>
      <c r="E73" s="22"/>
      <c r="F73" s="22"/>
    </row>
    <row r="74" spans="1:6" ht="14.5">
      <c r="A74" s="25">
        <v>43909</v>
      </c>
      <c r="B74" s="26">
        <v>10</v>
      </c>
      <c r="C74" s="22"/>
      <c r="D74" s="22"/>
      <c r="E74" s="22"/>
      <c r="F74" s="22"/>
    </row>
    <row r="75" spans="1:6" ht="14.5">
      <c r="A75" s="25">
        <v>43910</v>
      </c>
      <c r="B75" s="26">
        <v>10</v>
      </c>
      <c r="C75" s="22"/>
      <c r="D75" s="22"/>
      <c r="E75" s="22"/>
      <c r="F75" s="22"/>
    </row>
    <row r="76" spans="1:6" ht="14.5">
      <c r="A76" s="25">
        <v>43911</v>
      </c>
      <c r="B76" s="26">
        <v>10</v>
      </c>
      <c r="C76" s="22"/>
      <c r="D76" s="22"/>
      <c r="E76" s="22"/>
      <c r="F76" s="22"/>
    </row>
    <row r="77" spans="1:6" ht="14.5">
      <c r="A77" s="25">
        <v>43912</v>
      </c>
      <c r="B77" s="26">
        <v>10</v>
      </c>
      <c r="C77" s="22"/>
      <c r="D77" s="22"/>
      <c r="E77" s="22"/>
      <c r="F77" s="22"/>
    </row>
    <row r="78" spans="1:6" ht="14.5">
      <c r="A78" s="25">
        <v>43913</v>
      </c>
      <c r="B78" s="26">
        <v>11</v>
      </c>
      <c r="C78" s="22"/>
      <c r="D78" s="22"/>
      <c r="E78" s="22"/>
      <c r="F78" s="22"/>
    </row>
    <row r="79" spans="1:6" ht="14.5">
      <c r="A79" s="25">
        <v>43914</v>
      </c>
      <c r="B79" s="26">
        <v>11</v>
      </c>
      <c r="C79" s="22"/>
      <c r="D79" s="22"/>
      <c r="E79" s="22"/>
      <c r="F79" s="22"/>
    </row>
    <row r="80" spans="1:6" ht="14.5">
      <c r="A80" s="25">
        <v>43915</v>
      </c>
      <c r="B80" s="26">
        <v>11</v>
      </c>
      <c r="C80" s="22"/>
      <c r="D80" s="22"/>
      <c r="E80" s="22"/>
      <c r="F80" s="22"/>
    </row>
    <row r="81" spans="1:6" ht="14.5">
      <c r="A81" s="25">
        <v>43916</v>
      </c>
      <c r="B81" s="26">
        <v>11</v>
      </c>
      <c r="C81" s="22"/>
      <c r="D81" s="22"/>
      <c r="E81" s="22"/>
      <c r="F81" s="22"/>
    </row>
    <row r="82" spans="1:6" ht="14.5">
      <c r="A82" s="25">
        <v>43917</v>
      </c>
      <c r="B82" s="26">
        <v>11</v>
      </c>
      <c r="C82" s="22"/>
      <c r="D82" s="22"/>
      <c r="E82" s="22"/>
      <c r="F82" s="22"/>
    </row>
    <row r="83" spans="1:6" ht="14.5">
      <c r="A83" s="25">
        <v>43918</v>
      </c>
      <c r="B83" s="26">
        <v>11</v>
      </c>
      <c r="C83" s="22"/>
      <c r="D83" s="22"/>
      <c r="E83" s="22"/>
      <c r="F83" s="22"/>
    </row>
    <row r="84" spans="1:6" ht="14.5">
      <c r="A84" s="25">
        <v>43919</v>
      </c>
      <c r="B84" s="26">
        <v>11</v>
      </c>
      <c r="C84" s="22"/>
      <c r="D84" s="22"/>
      <c r="E84" s="22"/>
      <c r="F84" s="22"/>
    </row>
    <row r="85" spans="1:6" ht="14.5">
      <c r="A85" s="25">
        <v>43920</v>
      </c>
      <c r="B85" s="26">
        <v>12</v>
      </c>
      <c r="C85" s="22"/>
      <c r="D85" s="22"/>
      <c r="E85" s="22"/>
      <c r="F85" s="22"/>
    </row>
    <row r="86" spans="1:6" ht="14.5">
      <c r="A86" s="25">
        <v>43921</v>
      </c>
      <c r="B86" s="26">
        <v>12</v>
      </c>
      <c r="C86" s="22"/>
      <c r="D86" s="22"/>
      <c r="E86" s="22"/>
      <c r="F86" s="22"/>
    </row>
    <row r="87" spans="1:6" ht="14.5">
      <c r="A87" s="25">
        <v>43922</v>
      </c>
      <c r="B87" s="26">
        <v>12</v>
      </c>
      <c r="C87" s="22"/>
      <c r="D87" s="22"/>
      <c r="E87" s="22"/>
      <c r="F87" s="22"/>
    </row>
    <row r="88" spans="1:6" ht="14.5">
      <c r="A88" s="25">
        <v>43923</v>
      </c>
      <c r="B88" s="26">
        <v>12</v>
      </c>
      <c r="C88" s="22"/>
      <c r="D88" s="22"/>
      <c r="E88" s="22"/>
      <c r="F88" s="22"/>
    </row>
    <row r="89" spans="1:6" ht="14.5">
      <c r="A89" s="25">
        <v>43924</v>
      </c>
      <c r="B89" s="26">
        <v>12</v>
      </c>
      <c r="C89" s="22"/>
      <c r="D89" s="22"/>
      <c r="E89" s="22"/>
      <c r="F89" s="22"/>
    </row>
    <row r="90" spans="1:6" ht="14.5">
      <c r="A90" s="25">
        <v>43925</v>
      </c>
      <c r="B90" s="26">
        <v>12</v>
      </c>
      <c r="C90" s="22"/>
      <c r="D90" s="22"/>
      <c r="E90" s="22"/>
      <c r="F90" s="22"/>
    </row>
    <row r="91" spans="1:6" ht="14.5">
      <c r="A91" s="25">
        <v>43926</v>
      </c>
      <c r="B91" s="26">
        <v>12</v>
      </c>
      <c r="C91" s="22"/>
      <c r="D91" s="22"/>
      <c r="E91" s="22"/>
      <c r="F91" s="22"/>
    </row>
    <row r="92" spans="1:6" ht="14.5">
      <c r="A92" s="25">
        <v>43927</v>
      </c>
      <c r="B92" s="26">
        <v>13</v>
      </c>
      <c r="C92" s="22"/>
      <c r="D92" s="22"/>
      <c r="E92" s="22"/>
      <c r="F92" s="22"/>
    </row>
    <row r="93" spans="1:6" ht="14.5">
      <c r="A93" s="25">
        <v>43928</v>
      </c>
      <c r="B93" s="26">
        <v>13</v>
      </c>
      <c r="C93" s="22"/>
      <c r="D93" s="22"/>
      <c r="E93" s="22"/>
      <c r="F93" s="22"/>
    </row>
    <row r="94" spans="1:6" ht="14.5">
      <c r="A94" s="25">
        <v>43929</v>
      </c>
      <c r="B94" s="26">
        <v>13</v>
      </c>
      <c r="C94" s="22"/>
      <c r="D94" s="22"/>
      <c r="E94" s="22"/>
      <c r="F94" s="22"/>
    </row>
    <row r="95" spans="1:6" ht="14.5">
      <c r="A95" s="25">
        <v>43930</v>
      </c>
      <c r="B95" s="26">
        <v>13</v>
      </c>
      <c r="C95" s="22"/>
      <c r="D95" s="22"/>
      <c r="E95" s="22"/>
      <c r="F95" s="22"/>
    </row>
    <row r="96" spans="1:6" ht="14.5">
      <c r="A96" s="25">
        <v>43931</v>
      </c>
      <c r="B96" s="26">
        <v>13</v>
      </c>
      <c r="C96" s="22"/>
      <c r="D96" s="22"/>
      <c r="E96" s="22"/>
      <c r="F96" s="22"/>
    </row>
    <row r="97" spans="1:6" ht="14.5">
      <c r="A97" s="25">
        <v>43932</v>
      </c>
      <c r="B97" s="26">
        <v>13</v>
      </c>
      <c r="C97" s="22"/>
      <c r="D97" s="22"/>
      <c r="E97" s="22"/>
      <c r="F97" s="22"/>
    </row>
    <row r="98" spans="1:6" ht="14.5">
      <c r="A98" s="25">
        <v>43933</v>
      </c>
      <c r="B98" s="26">
        <v>13</v>
      </c>
      <c r="C98" s="22"/>
      <c r="D98" s="22"/>
      <c r="E98" s="22"/>
      <c r="F98" s="22"/>
    </row>
    <row r="99" spans="1:6" ht="14.5">
      <c r="A99" s="25">
        <v>43934</v>
      </c>
      <c r="B99" s="26">
        <v>14</v>
      </c>
      <c r="C99" s="22"/>
      <c r="D99" s="22"/>
      <c r="E99" s="22"/>
      <c r="F99" s="22"/>
    </row>
    <row r="100" spans="1:6" ht="14.5">
      <c r="A100" s="25">
        <v>43935</v>
      </c>
      <c r="B100" s="26">
        <v>14</v>
      </c>
      <c r="C100" s="22"/>
      <c r="D100" s="22"/>
      <c r="E100" s="22"/>
      <c r="F100" s="22"/>
    </row>
    <row r="101" spans="1:6" ht="14.5">
      <c r="A101" s="25">
        <v>43936</v>
      </c>
      <c r="B101" s="26">
        <v>14</v>
      </c>
      <c r="C101" s="22"/>
      <c r="D101" s="22"/>
      <c r="E101" s="22"/>
      <c r="F101" s="22"/>
    </row>
    <row r="102" spans="1:6" ht="14.5">
      <c r="A102" s="25">
        <v>43937</v>
      </c>
      <c r="B102" s="26">
        <v>14</v>
      </c>
      <c r="C102" s="22"/>
      <c r="D102" s="22"/>
      <c r="E102" s="22"/>
      <c r="F102" s="22"/>
    </row>
    <row r="103" spans="1:6" ht="14.5">
      <c r="A103" s="25">
        <v>43938</v>
      </c>
      <c r="B103" s="26">
        <v>14</v>
      </c>
      <c r="C103" s="22"/>
      <c r="D103" s="22"/>
      <c r="E103" s="22"/>
      <c r="F103" s="22"/>
    </row>
    <row r="104" spans="1:6" ht="14.5">
      <c r="A104" s="25">
        <v>43939</v>
      </c>
      <c r="B104" s="26">
        <v>14</v>
      </c>
      <c r="C104" s="22"/>
      <c r="D104" s="22"/>
      <c r="E104" s="22"/>
      <c r="F104" s="22"/>
    </row>
    <row r="105" spans="1:6" ht="14.5">
      <c r="A105" s="25">
        <v>43940</v>
      </c>
      <c r="B105" s="26">
        <v>14</v>
      </c>
      <c r="C105" s="22"/>
      <c r="D105" s="22"/>
      <c r="E105" s="22"/>
      <c r="F105" s="22"/>
    </row>
    <row r="106" spans="1:6" ht="14.5">
      <c r="A106" s="25">
        <v>43941</v>
      </c>
      <c r="B106" s="26">
        <v>15</v>
      </c>
      <c r="C106" s="22"/>
      <c r="D106" s="22"/>
      <c r="E106" s="22"/>
      <c r="F106" s="22"/>
    </row>
    <row r="107" spans="1:6" ht="14.5">
      <c r="A107" s="25">
        <v>43942</v>
      </c>
      <c r="B107" s="26">
        <v>15</v>
      </c>
      <c r="C107" s="22"/>
      <c r="D107" s="22"/>
      <c r="E107" s="22"/>
      <c r="F107" s="22"/>
    </row>
    <row r="108" spans="1:6" ht="14.5">
      <c r="A108" s="25">
        <v>43943</v>
      </c>
      <c r="B108" s="26">
        <v>15</v>
      </c>
      <c r="C108" s="22"/>
      <c r="D108" s="22"/>
      <c r="E108" s="22"/>
      <c r="F108" s="22"/>
    </row>
    <row r="109" spans="1:6" ht="14.5">
      <c r="A109" s="25">
        <v>43944</v>
      </c>
      <c r="B109" s="26">
        <v>15</v>
      </c>
      <c r="C109" s="22"/>
      <c r="D109" s="22"/>
      <c r="E109" s="22"/>
      <c r="F109" s="22"/>
    </row>
    <row r="110" spans="1:6" ht="14.5">
      <c r="A110" s="25">
        <v>43945</v>
      </c>
      <c r="B110" s="26">
        <v>15</v>
      </c>
      <c r="C110" s="22"/>
      <c r="D110" s="22"/>
      <c r="E110" s="22"/>
      <c r="F110" s="22"/>
    </row>
    <row r="111" spans="1:6" ht="14.5">
      <c r="A111" s="25">
        <v>43946</v>
      </c>
      <c r="B111" s="26">
        <v>15</v>
      </c>
      <c r="C111" s="22"/>
      <c r="D111" s="22"/>
      <c r="E111" s="22"/>
      <c r="F111" s="22"/>
    </row>
    <row r="112" spans="1:6" ht="14.5">
      <c r="A112" s="25">
        <v>43947</v>
      </c>
      <c r="B112" s="26">
        <v>15</v>
      </c>
      <c r="C112" s="22"/>
      <c r="D112" s="22"/>
      <c r="E112" s="22"/>
      <c r="F112" s="22"/>
    </row>
    <row r="113" spans="1:7" ht="14.5">
      <c r="A113" s="25">
        <v>43948</v>
      </c>
      <c r="B113" s="26">
        <v>16</v>
      </c>
      <c r="C113" s="22"/>
      <c r="D113" s="22"/>
      <c r="E113" s="22"/>
      <c r="F113" s="22"/>
    </row>
    <row r="114" spans="1:7" ht="14.5">
      <c r="A114" s="25">
        <v>43949</v>
      </c>
      <c r="B114" s="26">
        <v>16</v>
      </c>
      <c r="C114" s="22"/>
      <c r="D114" s="22"/>
      <c r="E114" s="22"/>
      <c r="F114" s="22"/>
    </row>
    <row r="115" spans="1:7" ht="14.5">
      <c r="A115" s="25">
        <v>43950</v>
      </c>
      <c r="B115" s="26">
        <v>16</v>
      </c>
      <c r="C115" s="22"/>
      <c r="D115" s="22"/>
      <c r="E115" s="22"/>
      <c r="F115" s="22"/>
    </row>
    <row r="116" spans="1:7" ht="14.5">
      <c r="A116" s="25">
        <v>43951</v>
      </c>
      <c r="B116" s="26">
        <v>16</v>
      </c>
      <c r="C116" s="22"/>
      <c r="D116" s="22"/>
      <c r="E116" s="22"/>
      <c r="F116" s="22"/>
    </row>
    <row r="117" spans="1:7" ht="14.5">
      <c r="A117" s="25">
        <v>43952</v>
      </c>
      <c r="B117" s="26">
        <v>16</v>
      </c>
      <c r="C117" s="22"/>
      <c r="D117" s="22"/>
      <c r="E117" s="22"/>
      <c r="F117" s="22"/>
    </row>
    <row r="118" spans="1:7" ht="14.5">
      <c r="A118" s="25">
        <v>43953</v>
      </c>
      <c r="B118" s="26">
        <v>16</v>
      </c>
      <c r="C118" s="22"/>
      <c r="D118" s="22"/>
      <c r="E118" s="22"/>
      <c r="F118" s="22"/>
    </row>
    <row r="119" spans="1:7" ht="14.5">
      <c r="A119" s="25">
        <v>43954</v>
      </c>
      <c r="B119" s="26">
        <v>16</v>
      </c>
      <c r="C119" s="22"/>
      <c r="D119" s="22"/>
      <c r="E119" s="22"/>
      <c r="F119" s="22"/>
    </row>
    <row r="120" spans="1:7" ht="14.5">
      <c r="A120" s="25">
        <v>43955</v>
      </c>
      <c r="B120" s="26">
        <v>17</v>
      </c>
      <c r="C120" s="22"/>
      <c r="D120" s="22"/>
      <c r="E120" s="22"/>
      <c r="F120" s="22"/>
    </row>
    <row r="121" spans="1:7" ht="14.5">
      <c r="A121" s="25">
        <v>43956</v>
      </c>
      <c r="B121" s="26">
        <v>17</v>
      </c>
      <c r="C121" s="22"/>
      <c r="D121" s="22"/>
      <c r="E121" s="22"/>
      <c r="F121" s="22"/>
    </row>
    <row r="122" spans="1:7" ht="14.5">
      <c r="A122" s="25">
        <v>43957</v>
      </c>
      <c r="B122" s="26">
        <v>17</v>
      </c>
      <c r="C122" s="22"/>
      <c r="D122" s="22"/>
      <c r="E122" s="22"/>
      <c r="F122" s="22"/>
    </row>
    <row r="123" spans="1:7" ht="14.5">
      <c r="A123" s="25">
        <v>43958</v>
      </c>
      <c r="B123" s="26">
        <v>17</v>
      </c>
      <c r="C123" s="22"/>
      <c r="D123" s="22"/>
      <c r="E123" s="22"/>
      <c r="F123" s="22"/>
      <c r="G123" s="70"/>
    </row>
    <row r="124" spans="1:7" ht="14.5">
      <c r="A124" s="25">
        <v>43959</v>
      </c>
      <c r="B124" s="26">
        <v>17</v>
      </c>
      <c r="C124" s="22"/>
      <c r="D124" s="22"/>
      <c r="E124" s="22"/>
      <c r="F124" s="22"/>
    </row>
    <row r="125" spans="1:7" ht="14.5">
      <c r="A125" s="25">
        <v>43960</v>
      </c>
      <c r="B125" s="26">
        <v>17</v>
      </c>
      <c r="C125" s="22"/>
      <c r="D125" s="22"/>
      <c r="E125" s="22"/>
      <c r="F125" s="22"/>
    </row>
    <row r="126" spans="1:7" ht="14.5">
      <c r="A126" s="25">
        <v>43961</v>
      </c>
      <c r="B126" s="26">
        <v>17</v>
      </c>
      <c r="C126" s="22"/>
      <c r="D126" s="22"/>
      <c r="E126" s="22"/>
      <c r="F126" s="22"/>
    </row>
    <row r="127" spans="1:7" ht="14.5">
      <c r="A127" s="25">
        <v>43962</v>
      </c>
      <c r="B127" s="26">
        <v>18</v>
      </c>
      <c r="C127" s="22"/>
      <c r="D127" s="22"/>
      <c r="E127" s="22"/>
      <c r="F127" s="22"/>
    </row>
    <row r="128" spans="1:7" ht="14.5">
      <c r="A128" s="25">
        <v>43963</v>
      </c>
      <c r="B128" s="26">
        <v>18</v>
      </c>
      <c r="C128" s="22"/>
      <c r="D128" s="22"/>
      <c r="E128" s="22"/>
      <c r="F128" s="22"/>
    </row>
    <row r="129" spans="1:6" ht="14.5">
      <c r="A129" s="25">
        <v>43964</v>
      </c>
      <c r="B129" s="26">
        <v>18</v>
      </c>
      <c r="C129" s="22"/>
      <c r="D129" s="22"/>
      <c r="E129" s="22"/>
      <c r="F129" s="22"/>
    </row>
    <row r="130" spans="1:6" ht="14.5">
      <c r="A130" s="25">
        <v>43965</v>
      </c>
      <c r="B130" s="26">
        <v>18</v>
      </c>
      <c r="C130" s="22"/>
      <c r="D130" s="22"/>
      <c r="E130" s="22"/>
      <c r="F130" s="22"/>
    </row>
    <row r="131" spans="1:6" ht="14.5">
      <c r="A131" s="25">
        <v>43966</v>
      </c>
      <c r="B131" s="26">
        <v>18</v>
      </c>
      <c r="C131" s="22"/>
      <c r="D131" s="22"/>
      <c r="E131" s="22"/>
      <c r="F131" s="22"/>
    </row>
    <row r="132" spans="1:6" ht="14.5">
      <c r="A132" s="25">
        <v>43967</v>
      </c>
      <c r="B132" s="26">
        <v>18</v>
      </c>
      <c r="C132" s="22"/>
      <c r="D132" s="22"/>
      <c r="E132" s="22"/>
      <c r="F132" s="22"/>
    </row>
    <row r="133" spans="1:6" ht="14.5">
      <c r="A133" s="25">
        <v>43968</v>
      </c>
      <c r="B133" s="26">
        <v>18</v>
      </c>
      <c r="C133" s="22"/>
      <c r="D133" s="22"/>
      <c r="E133" s="22"/>
      <c r="F133" s="22"/>
    </row>
    <row r="134" spans="1:6" ht="14.5">
      <c r="A134" s="25">
        <v>43969</v>
      </c>
      <c r="B134" s="26">
        <v>19</v>
      </c>
      <c r="C134" s="22"/>
      <c r="D134" s="22"/>
      <c r="E134" s="22"/>
      <c r="F134" s="22"/>
    </row>
    <row r="135" spans="1:6" ht="14.5">
      <c r="A135" s="25">
        <v>43970</v>
      </c>
      <c r="B135" s="26">
        <v>19</v>
      </c>
      <c r="C135" s="22"/>
      <c r="D135" s="22"/>
      <c r="E135" s="22"/>
      <c r="F135" s="22"/>
    </row>
    <row r="136" spans="1:6" ht="14.5">
      <c r="A136" s="25">
        <v>43971</v>
      </c>
      <c r="B136" s="26">
        <v>19</v>
      </c>
      <c r="C136" s="22"/>
      <c r="D136" s="22"/>
      <c r="E136" s="22"/>
      <c r="F136" s="22"/>
    </row>
    <row r="137" spans="1:6" ht="14.5">
      <c r="A137" s="25">
        <v>43972</v>
      </c>
      <c r="B137" s="26">
        <v>19</v>
      </c>
      <c r="C137" s="22"/>
      <c r="D137" s="22"/>
      <c r="E137" s="22"/>
      <c r="F137" s="22"/>
    </row>
    <row r="138" spans="1:6" ht="14.5">
      <c r="A138" s="25">
        <v>43973</v>
      </c>
      <c r="B138" s="26">
        <v>19</v>
      </c>
      <c r="C138" s="22"/>
      <c r="D138" s="22"/>
      <c r="E138" s="22"/>
      <c r="F138" s="22"/>
    </row>
    <row r="139" spans="1:6" ht="14.5">
      <c r="A139" s="25">
        <v>43974</v>
      </c>
      <c r="B139" s="26">
        <v>19</v>
      </c>
      <c r="C139" s="22"/>
      <c r="D139" s="22"/>
      <c r="E139" s="22"/>
      <c r="F139" s="22"/>
    </row>
    <row r="140" spans="1:6" ht="14.5">
      <c r="A140" s="25">
        <v>43975</v>
      </c>
      <c r="B140" s="26">
        <v>19</v>
      </c>
      <c r="C140" s="22"/>
      <c r="D140" s="22"/>
      <c r="E140" s="22"/>
      <c r="F140" s="22"/>
    </row>
    <row r="141" spans="1:6" ht="14.5">
      <c r="A141" s="25">
        <v>43976</v>
      </c>
      <c r="B141" s="26">
        <v>20</v>
      </c>
      <c r="C141" s="22"/>
      <c r="D141" s="22"/>
      <c r="E141" s="22"/>
      <c r="F141" s="22"/>
    </row>
    <row r="142" spans="1:6" ht="14.5">
      <c r="A142" s="25">
        <v>43977</v>
      </c>
      <c r="B142" s="26">
        <v>20</v>
      </c>
      <c r="C142" s="22"/>
      <c r="D142" s="22"/>
      <c r="E142" s="22"/>
      <c r="F142" s="22"/>
    </row>
    <row r="143" spans="1:6" ht="14.5">
      <c r="A143" s="25">
        <v>43978</v>
      </c>
      <c r="B143" s="26">
        <v>20</v>
      </c>
      <c r="C143" s="22"/>
      <c r="D143" s="22"/>
      <c r="E143" s="22"/>
      <c r="F143" s="22"/>
    </row>
    <row r="144" spans="1:6" ht="14.5">
      <c r="A144" s="25">
        <v>43979</v>
      </c>
      <c r="B144" s="26">
        <v>20</v>
      </c>
      <c r="C144" s="22"/>
      <c r="D144" s="22"/>
      <c r="E144" s="22"/>
      <c r="F144" s="22"/>
    </row>
    <row r="145" spans="1:6" ht="14.5">
      <c r="A145" s="25">
        <v>43980</v>
      </c>
      <c r="B145" s="26">
        <v>20</v>
      </c>
      <c r="C145" s="22"/>
      <c r="D145" s="22"/>
      <c r="E145" s="22"/>
      <c r="F145" s="22"/>
    </row>
    <row r="146" spans="1:6" ht="14.5">
      <c r="A146" s="25">
        <v>43981</v>
      </c>
      <c r="B146" s="26">
        <v>20</v>
      </c>
      <c r="C146" s="22"/>
      <c r="D146" s="22"/>
      <c r="E146" s="22"/>
      <c r="F146" s="22"/>
    </row>
    <row r="147" spans="1:6" ht="14.5">
      <c r="A147" s="25">
        <v>43982</v>
      </c>
      <c r="B147" s="26">
        <v>20</v>
      </c>
      <c r="C147" s="22"/>
      <c r="D147" s="22"/>
      <c r="E147" s="22"/>
      <c r="F147" s="22"/>
    </row>
    <row r="148" spans="1:6" ht="14.5">
      <c r="A148" s="25">
        <v>43983</v>
      </c>
      <c r="B148" s="26">
        <v>21</v>
      </c>
      <c r="C148" s="22"/>
      <c r="D148" s="22"/>
      <c r="E148" s="22"/>
      <c r="F148" s="22"/>
    </row>
    <row r="149" spans="1:6" ht="14.5">
      <c r="A149" s="25">
        <v>43984</v>
      </c>
      <c r="B149" s="26">
        <v>21</v>
      </c>
      <c r="C149" s="22"/>
      <c r="D149" s="22"/>
      <c r="E149" s="22"/>
      <c r="F149" s="22"/>
    </row>
    <row r="150" spans="1:6" ht="14.5">
      <c r="A150" s="25">
        <v>43985</v>
      </c>
      <c r="B150" s="26">
        <v>21</v>
      </c>
      <c r="C150" s="22"/>
      <c r="D150" s="22"/>
      <c r="E150" s="22"/>
      <c r="F150" s="22"/>
    </row>
    <row r="151" spans="1:6" ht="14.5">
      <c r="A151" s="25">
        <v>43986</v>
      </c>
      <c r="B151" s="26">
        <v>21</v>
      </c>
      <c r="C151" s="22"/>
      <c r="D151" s="22"/>
      <c r="E151" s="22"/>
      <c r="F151" s="22"/>
    </row>
    <row r="152" spans="1:6" ht="14.5">
      <c r="A152" s="25">
        <v>43987</v>
      </c>
      <c r="B152" s="26">
        <v>21</v>
      </c>
      <c r="C152" s="22"/>
      <c r="D152" s="22"/>
      <c r="E152" s="22"/>
      <c r="F152" s="22"/>
    </row>
    <row r="153" spans="1:6" ht="14.5">
      <c r="A153" s="25">
        <v>43988</v>
      </c>
      <c r="B153" s="26">
        <v>21</v>
      </c>
      <c r="C153" s="22"/>
      <c r="D153" s="22"/>
      <c r="E153" s="22"/>
      <c r="F153" s="22"/>
    </row>
    <row r="154" spans="1:6" ht="14.5">
      <c r="A154" s="25">
        <v>43989</v>
      </c>
      <c r="B154" s="26">
        <v>21</v>
      </c>
      <c r="C154" s="22"/>
      <c r="D154" s="22"/>
      <c r="E154" s="22"/>
      <c r="F154" s="22"/>
    </row>
    <row r="155" spans="1:6" ht="14.5">
      <c r="A155" s="25">
        <v>43990</v>
      </c>
      <c r="B155" s="26">
        <v>22</v>
      </c>
      <c r="C155" s="22"/>
      <c r="D155" s="22"/>
      <c r="E155" s="22"/>
      <c r="F155" s="22"/>
    </row>
    <row r="156" spans="1:6" ht="14.5">
      <c r="A156" s="25">
        <v>43991</v>
      </c>
      <c r="B156" s="26">
        <v>22</v>
      </c>
      <c r="C156" s="22"/>
      <c r="D156" s="22"/>
      <c r="E156" s="22"/>
      <c r="F156" s="22"/>
    </row>
    <row r="157" spans="1:6" ht="14.5">
      <c r="A157" s="25">
        <v>43992</v>
      </c>
      <c r="B157" s="26">
        <v>22</v>
      </c>
      <c r="C157" s="22"/>
      <c r="D157" s="22"/>
      <c r="E157" s="22"/>
      <c r="F157" s="22"/>
    </row>
    <row r="158" spans="1:6" ht="14.5">
      <c r="A158" s="25">
        <v>43993</v>
      </c>
      <c r="B158" s="26">
        <v>22</v>
      </c>
      <c r="C158" s="22"/>
      <c r="D158" s="22"/>
      <c r="E158" s="22"/>
      <c r="F158" s="22"/>
    </row>
    <row r="159" spans="1:6" ht="14.5">
      <c r="A159" s="25">
        <v>43994</v>
      </c>
      <c r="B159" s="26">
        <v>22</v>
      </c>
      <c r="C159" s="22"/>
      <c r="D159" s="22"/>
      <c r="E159" s="22"/>
      <c r="F159" s="22"/>
    </row>
    <row r="160" spans="1:6" ht="14.5">
      <c r="A160" s="25">
        <v>43995</v>
      </c>
      <c r="B160" s="26">
        <v>22</v>
      </c>
      <c r="C160" s="22"/>
      <c r="D160" s="22"/>
      <c r="E160" s="22"/>
      <c r="F160" s="22"/>
    </row>
    <row r="161" spans="1:6" ht="14.5">
      <c r="A161" s="25">
        <v>43996</v>
      </c>
      <c r="B161" s="26">
        <v>22</v>
      </c>
      <c r="C161" s="22"/>
      <c r="D161" s="22"/>
      <c r="E161" s="22"/>
      <c r="F161" s="22"/>
    </row>
    <row r="162" spans="1:6" ht="14.5">
      <c r="A162" s="25">
        <v>43997</v>
      </c>
      <c r="B162" s="26">
        <v>23</v>
      </c>
      <c r="C162" s="22"/>
      <c r="D162" s="22"/>
      <c r="E162" s="22"/>
      <c r="F162" s="22"/>
    </row>
    <row r="163" spans="1:6" ht="14.5">
      <c r="A163" s="25">
        <v>43998</v>
      </c>
      <c r="B163" s="26">
        <v>23</v>
      </c>
      <c r="C163" s="22"/>
      <c r="D163" s="22"/>
      <c r="E163" s="22"/>
      <c r="F163" s="22"/>
    </row>
    <row r="164" spans="1:6" ht="14.5">
      <c r="A164" s="25">
        <v>43999</v>
      </c>
      <c r="B164" s="26">
        <v>23</v>
      </c>
      <c r="C164" s="22"/>
      <c r="D164" s="22"/>
      <c r="E164" s="22"/>
      <c r="F164" s="22"/>
    </row>
    <row r="165" spans="1:6" ht="14.5">
      <c r="A165" s="25">
        <v>44000</v>
      </c>
      <c r="B165" s="26">
        <v>23</v>
      </c>
      <c r="C165" s="22"/>
      <c r="D165" s="22"/>
      <c r="E165" s="22"/>
      <c r="F165" s="22"/>
    </row>
    <row r="166" spans="1:6" ht="14.5">
      <c r="A166" s="25">
        <v>44001</v>
      </c>
      <c r="B166" s="26">
        <v>23</v>
      </c>
      <c r="C166" s="22"/>
      <c r="D166" s="22"/>
      <c r="E166" s="22"/>
      <c r="F166" s="22"/>
    </row>
    <row r="167" spans="1:6" ht="14.5">
      <c r="A167" s="25">
        <v>44002</v>
      </c>
      <c r="B167" s="26">
        <v>23</v>
      </c>
      <c r="C167" s="22"/>
      <c r="D167" s="22"/>
      <c r="E167" s="22"/>
      <c r="F167" s="22"/>
    </row>
    <row r="168" spans="1:6" ht="14.5">
      <c r="A168" s="25">
        <v>44003</v>
      </c>
      <c r="B168" s="26">
        <v>23</v>
      </c>
      <c r="C168" s="22"/>
      <c r="D168" s="22"/>
      <c r="E168" s="22"/>
      <c r="F168" s="22"/>
    </row>
    <row r="169" spans="1:6" ht="14.5">
      <c r="A169" s="25">
        <v>44004</v>
      </c>
      <c r="B169" s="26">
        <v>24</v>
      </c>
      <c r="C169" s="22"/>
      <c r="D169" s="22"/>
      <c r="E169" s="22"/>
      <c r="F169" s="22"/>
    </row>
    <row r="170" spans="1:6" ht="14.5">
      <c r="A170" s="25">
        <v>44005</v>
      </c>
      <c r="B170" s="26">
        <v>24</v>
      </c>
      <c r="C170" s="22"/>
      <c r="D170" s="22"/>
      <c r="E170" s="22"/>
      <c r="F170" s="22"/>
    </row>
    <row r="171" spans="1:6" ht="14.5">
      <c r="A171" s="25">
        <v>44006</v>
      </c>
      <c r="B171" s="26">
        <v>24</v>
      </c>
      <c r="C171" s="22"/>
      <c r="D171" s="22"/>
      <c r="E171" s="22"/>
      <c r="F171" s="22"/>
    </row>
    <row r="172" spans="1:6" ht="14.5">
      <c r="A172" s="25">
        <v>44007</v>
      </c>
      <c r="B172" s="26">
        <v>24</v>
      </c>
      <c r="C172" s="22"/>
      <c r="D172" s="22"/>
      <c r="E172" s="22"/>
      <c r="F172" s="22"/>
    </row>
    <row r="173" spans="1:6" ht="14.5">
      <c r="A173" s="25">
        <v>44008</v>
      </c>
      <c r="B173" s="26">
        <v>24</v>
      </c>
      <c r="C173" s="22"/>
      <c r="D173" s="22"/>
      <c r="E173" s="22"/>
      <c r="F173" s="22"/>
    </row>
    <row r="174" spans="1:6" ht="14.5">
      <c r="A174" s="25">
        <v>44009</v>
      </c>
      <c r="B174" s="26">
        <v>24</v>
      </c>
      <c r="C174" s="22"/>
      <c r="D174" s="22"/>
      <c r="E174" s="22"/>
      <c r="F174" s="22"/>
    </row>
    <row r="175" spans="1:6" ht="14.5">
      <c r="A175" s="25">
        <v>44010</v>
      </c>
      <c r="B175" s="26">
        <v>24</v>
      </c>
      <c r="C175" s="22"/>
      <c r="D175" s="22"/>
      <c r="E175" s="22"/>
      <c r="F175" s="22"/>
    </row>
    <row r="176" spans="1:6" ht="14.5">
      <c r="A176" s="25">
        <v>44011</v>
      </c>
      <c r="B176" s="26">
        <v>25</v>
      </c>
      <c r="C176" s="22"/>
      <c r="D176" s="22"/>
      <c r="E176" s="22"/>
      <c r="F176" s="22"/>
    </row>
    <row r="177" spans="1:6" ht="14.5">
      <c r="A177" s="25">
        <v>44012</v>
      </c>
      <c r="B177" s="26">
        <v>25</v>
      </c>
      <c r="C177" s="22"/>
      <c r="D177" s="22"/>
      <c r="E177" s="22"/>
      <c r="F177" s="22"/>
    </row>
    <row r="178" spans="1:6" ht="14.5">
      <c r="A178" s="25">
        <v>44013</v>
      </c>
      <c r="B178" s="26">
        <v>25</v>
      </c>
      <c r="C178" s="22"/>
      <c r="D178" s="22"/>
      <c r="E178" s="22"/>
      <c r="F178" s="22"/>
    </row>
    <row r="179" spans="1:6" ht="14.5">
      <c r="A179" s="25">
        <v>44014</v>
      </c>
      <c r="B179" s="26">
        <v>25</v>
      </c>
      <c r="C179" s="22"/>
      <c r="D179" s="22"/>
      <c r="E179" s="22"/>
      <c r="F179" s="22"/>
    </row>
    <row r="180" spans="1:6" ht="14.5">
      <c r="A180" s="25">
        <v>44015</v>
      </c>
      <c r="B180" s="26">
        <v>25</v>
      </c>
      <c r="C180" s="22"/>
      <c r="D180" s="22"/>
      <c r="E180" s="22"/>
      <c r="F180" s="22"/>
    </row>
    <row r="181" spans="1:6" ht="14.5">
      <c r="A181" s="25">
        <v>44016</v>
      </c>
      <c r="B181" s="26">
        <v>25</v>
      </c>
      <c r="C181" s="22"/>
      <c r="D181" s="22"/>
      <c r="E181" s="22"/>
      <c r="F181" s="22"/>
    </row>
    <row r="182" spans="1:6" ht="14.5">
      <c r="A182" s="25">
        <v>44017</v>
      </c>
      <c r="B182" s="26">
        <v>25</v>
      </c>
      <c r="C182" s="22"/>
      <c r="D182" s="22"/>
      <c r="E182" s="22"/>
      <c r="F182" s="22"/>
    </row>
    <row r="183" spans="1:6" ht="14.5">
      <c r="A183" s="25">
        <v>44018</v>
      </c>
      <c r="B183" s="26">
        <v>26</v>
      </c>
      <c r="C183" s="22"/>
      <c r="D183" s="22"/>
      <c r="E183" s="22"/>
      <c r="F183" s="22"/>
    </row>
    <row r="184" spans="1:6" ht="14.5">
      <c r="A184" s="25">
        <v>44019</v>
      </c>
      <c r="B184" s="26">
        <v>26</v>
      </c>
      <c r="C184" s="22"/>
      <c r="D184" s="22"/>
      <c r="E184" s="92"/>
      <c r="F184" s="22"/>
    </row>
    <row r="185" spans="1:6" ht="14.5">
      <c r="A185" s="25">
        <v>44020</v>
      </c>
      <c r="B185" s="26">
        <v>26</v>
      </c>
      <c r="C185" s="22"/>
      <c r="D185" s="22"/>
      <c r="E185" s="92"/>
      <c r="F185" s="22"/>
    </row>
    <row r="186" spans="1:6" ht="14.5">
      <c r="A186" s="25">
        <v>44021</v>
      </c>
      <c r="B186" s="26">
        <v>26</v>
      </c>
      <c r="C186" s="22"/>
      <c r="D186" s="22"/>
      <c r="E186" s="92"/>
      <c r="F186" s="22"/>
    </row>
    <row r="187" spans="1:6" ht="14.5">
      <c r="A187" s="25">
        <v>44022</v>
      </c>
      <c r="B187" s="26">
        <v>26</v>
      </c>
      <c r="C187" s="22"/>
      <c r="D187" s="22"/>
      <c r="E187" s="92"/>
      <c r="F187" s="22"/>
    </row>
    <row r="188" spans="1:6" ht="14.5">
      <c r="A188" s="25">
        <v>44023</v>
      </c>
      <c r="B188" s="26">
        <v>26</v>
      </c>
      <c r="C188" s="22"/>
      <c r="D188" s="22"/>
      <c r="E188" s="92"/>
      <c r="F188" s="22"/>
    </row>
    <row r="189" spans="1:6" ht="14.5">
      <c r="A189" s="25">
        <v>44024</v>
      </c>
      <c r="B189" s="26">
        <v>26</v>
      </c>
      <c r="C189" s="22"/>
      <c r="D189" s="22"/>
      <c r="E189" s="92"/>
      <c r="F189" s="22"/>
    </row>
    <row r="190" spans="1:6" ht="14.5">
      <c r="A190" s="25">
        <v>44025</v>
      </c>
      <c r="B190" s="26">
        <v>27</v>
      </c>
      <c r="C190" s="22"/>
      <c r="D190" s="22"/>
      <c r="E190" s="92"/>
      <c r="F190" s="22"/>
    </row>
    <row r="191" spans="1:6" ht="14.5">
      <c r="A191" s="25">
        <v>44026</v>
      </c>
      <c r="B191" s="26">
        <v>27</v>
      </c>
      <c r="C191" s="22"/>
      <c r="D191" s="22"/>
      <c r="E191" s="22"/>
      <c r="F191" s="22"/>
    </row>
    <row r="192" spans="1:6" ht="14.5">
      <c r="A192" s="25">
        <v>44027</v>
      </c>
      <c r="B192" s="26">
        <v>27</v>
      </c>
      <c r="C192" s="22"/>
      <c r="D192" s="22"/>
      <c r="E192" s="22"/>
      <c r="F192" s="22"/>
    </row>
    <row r="193" spans="1:6" ht="14.5">
      <c r="A193" s="25">
        <v>44028</v>
      </c>
      <c r="B193" s="26">
        <v>27</v>
      </c>
      <c r="C193" s="22"/>
      <c r="D193" s="22"/>
      <c r="E193" s="22"/>
      <c r="F193" s="22"/>
    </row>
    <row r="194" spans="1:6" ht="14.5">
      <c r="A194" s="25">
        <v>44029</v>
      </c>
      <c r="B194" s="26">
        <v>27</v>
      </c>
      <c r="C194" s="22"/>
      <c r="D194" s="22"/>
      <c r="E194" s="22"/>
      <c r="F194" s="22"/>
    </row>
    <row r="195" spans="1:6" ht="14.5">
      <c r="A195" s="25">
        <v>44030</v>
      </c>
      <c r="B195" s="26">
        <v>27</v>
      </c>
      <c r="C195" s="22"/>
      <c r="D195" s="22"/>
      <c r="E195" s="22"/>
      <c r="F195" s="22"/>
    </row>
    <row r="196" spans="1:6" ht="14.5">
      <c r="A196" s="25">
        <v>44031</v>
      </c>
      <c r="B196" s="26">
        <v>27</v>
      </c>
      <c r="C196" s="22"/>
      <c r="D196" s="22"/>
      <c r="E196" s="22"/>
      <c r="F196" s="22"/>
    </row>
    <row r="197" spans="1:6" ht="14.5">
      <c r="A197" s="25">
        <v>44032</v>
      </c>
      <c r="B197" s="26">
        <v>28</v>
      </c>
      <c r="C197" s="22">
        <v>1</v>
      </c>
      <c r="D197" s="22"/>
      <c r="E197" s="22"/>
      <c r="F197" s="22"/>
    </row>
    <row r="198" spans="1:6" ht="14.5">
      <c r="A198" s="25">
        <v>44033</v>
      </c>
      <c r="B198" s="26">
        <v>28</v>
      </c>
      <c r="C198" s="22"/>
      <c r="D198" s="22"/>
      <c r="E198" s="22"/>
      <c r="F198" s="22"/>
    </row>
    <row r="199" spans="1:6" ht="14.5">
      <c r="A199" s="25">
        <v>44034</v>
      </c>
      <c r="B199" s="26">
        <v>28</v>
      </c>
      <c r="C199" s="22">
        <v>2</v>
      </c>
      <c r="D199" s="22"/>
      <c r="E199" s="22"/>
      <c r="F199" s="22"/>
    </row>
    <row r="200" spans="1:6" ht="14.5">
      <c r="A200" s="25">
        <v>44035</v>
      </c>
      <c r="B200" s="26">
        <v>28</v>
      </c>
      <c r="C200" s="22"/>
      <c r="D200" s="22"/>
      <c r="E200" s="22"/>
      <c r="F200" s="22"/>
    </row>
    <row r="201" spans="1:6" ht="14.5">
      <c r="A201" s="25">
        <v>44036</v>
      </c>
      <c r="B201" s="26">
        <v>28</v>
      </c>
      <c r="C201" s="22"/>
      <c r="D201" s="22"/>
      <c r="E201" s="22"/>
      <c r="F201" s="22"/>
    </row>
    <row r="202" spans="1:6" ht="14.5">
      <c r="A202" s="25">
        <v>44037</v>
      </c>
      <c r="B202" s="26">
        <v>28</v>
      </c>
      <c r="C202" s="22"/>
      <c r="D202" s="22"/>
      <c r="E202" s="22"/>
      <c r="F202" s="22"/>
    </row>
    <row r="203" spans="1:6" ht="14.5">
      <c r="A203" s="25">
        <v>44038</v>
      </c>
      <c r="B203" s="26">
        <v>28</v>
      </c>
      <c r="C203" s="22"/>
      <c r="D203" s="22"/>
      <c r="E203" s="22"/>
      <c r="F203" s="22"/>
    </row>
    <row r="204" spans="1:6" ht="14.5">
      <c r="A204" s="25">
        <v>44039</v>
      </c>
      <c r="B204" s="26">
        <v>29</v>
      </c>
      <c r="C204" s="22">
        <v>1</v>
      </c>
      <c r="D204" s="22"/>
      <c r="E204" s="22"/>
      <c r="F204" s="22"/>
    </row>
    <row r="205" spans="1:6" ht="14.5">
      <c r="A205" s="25">
        <v>44040</v>
      </c>
      <c r="B205" s="26">
        <v>29</v>
      </c>
      <c r="C205" s="22"/>
      <c r="D205" s="22"/>
      <c r="E205" s="22"/>
      <c r="F205" s="22"/>
    </row>
    <row r="206" spans="1:6" ht="14.5">
      <c r="A206" s="25">
        <v>44041</v>
      </c>
      <c r="B206" s="26">
        <v>29</v>
      </c>
      <c r="C206" s="22"/>
      <c r="D206" s="22"/>
      <c r="E206" s="35"/>
      <c r="F206" s="22"/>
    </row>
    <row r="207" spans="1:6" ht="14.5">
      <c r="A207" s="25">
        <v>44042</v>
      </c>
      <c r="B207" s="26">
        <v>29</v>
      </c>
      <c r="C207" s="22"/>
      <c r="D207" s="22"/>
      <c r="E207" s="22"/>
      <c r="F207" s="22"/>
    </row>
    <row r="208" spans="1:6" ht="14.5">
      <c r="A208" s="25">
        <v>44043</v>
      </c>
      <c r="B208" s="26">
        <v>29</v>
      </c>
      <c r="C208" s="22"/>
      <c r="D208" s="22"/>
      <c r="E208" s="22"/>
      <c r="F208" s="22"/>
    </row>
    <row r="209" spans="1:6" ht="14.5">
      <c r="A209" s="25">
        <v>44044</v>
      </c>
      <c r="B209" s="26">
        <v>29</v>
      </c>
      <c r="C209" s="22"/>
      <c r="D209" s="22"/>
      <c r="E209" s="22"/>
      <c r="F209" s="22"/>
    </row>
    <row r="210" spans="1:6" ht="14.5">
      <c r="A210" s="25">
        <v>44045</v>
      </c>
      <c r="B210" s="26">
        <v>29</v>
      </c>
      <c r="C210" s="22"/>
      <c r="D210" s="22"/>
      <c r="E210" s="22"/>
      <c r="F210" s="22"/>
    </row>
    <row r="211" spans="1:6" ht="14.5">
      <c r="A211" s="25">
        <v>44046</v>
      </c>
      <c r="B211" s="26">
        <v>30</v>
      </c>
      <c r="C211" s="22"/>
      <c r="D211" s="22"/>
      <c r="E211" s="22"/>
      <c r="F211" s="22"/>
    </row>
    <row r="212" spans="1:6" ht="14.5">
      <c r="A212" s="25">
        <v>44047</v>
      </c>
      <c r="B212" s="26">
        <v>30</v>
      </c>
      <c r="C212" s="22"/>
      <c r="D212" s="22"/>
      <c r="E212" s="22"/>
      <c r="F212" s="22"/>
    </row>
    <row r="213" spans="1:6" ht="14.5">
      <c r="A213" s="25">
        <v>44048</v>
      </c>
      <c r="B213" s="26">
        <v>30</v>
      </c>
      <c r="C213" s="22"/>
      <c r="D213" s="22"/>
      <c r="E213" s="35"/>
      <c r="F213" s="22"/>
    </row>
    <row r="214" spans="1:6" ht="14.5">
      <c r="A214" s="25">
        <v>44049</v>
      </c>
      <c r="B214" s="26">
        <v>30</v>
      </c>
      <c r="C214" s="22"/>
      <c r="D214" s="22"/>
      <c r="E214" s="22"/>
      <c r="F214" s="22"/>
    </row>
    <row r="215" spans="1:6" ht="14.5">
      <c r="A215" s="25">
        <v>44050</v>
      </c>
      <c r="B215" s="26">
        <v>30</v>
      </c>
      <c r="C215" s="22"/>
      <c r="D215" s="22"/>
      <c r="E215" s="22"/>
      <c r="F215" s="22"/>
    </row>
    <row r="216" spans="1:6" ht="14.5">
      <c r="A216" s="25">
        <v>44051</v>
      </c>
      <c r="B216" s="26">
        <v>30</v>
      </c>
      <c r="C216" s="22"/>
      <c r="D216" s="22"/>
      <c r="E216" s="22"/>
      <c r="F216" s="22"/>
    </row>
    <row r="217" spans="1:6" ht="14.5">
      <c r="A217" s="25">
        <v>44052</v>
      </c>
      <c r="B217" s="26">
        <v>30</v>
      </c>
      <c r="C217" s="22"/>
      <c r="D217" s="22"/>
      <c r="E217" s="35"/>
      <c r="F217" s="22"/>
    </row>
    <row r="218" spans="1:6" ht="14.5">
      <c r="A218" s="25">
        <v>44053</v>
      </c>
      <c r="B218" s="26">
        <v>31</v>
      </c>
      <c r="C218" s="22"/>
      <c r="D218" s="22"/>
      <c r="E218" s="35"/>
      <c r="F218" s="22"/>
    </row>
    <row r="219" spans="1:6" ht="14.5">
      <c r="A219" s="25">
        <v>44054</v>
      </c>
      <c r="B219" s="26">
        <v>31</v>
      </c>
      <c r="C219" s="22"/>
      <c r="D219" s="22"/>
      <c r="E219" s="22"/>
      <c r="F219" s="22"/>
    </row>
    <row r="220" spans="1:6" ht="14.5">
      <c r="A220" s="25">
        <v>44055</v>
      </c>
      <c r="B220" s="26">
        <v>31</v>
      </c>
      <c r="C220" s="22"/>
      <c r="D220" s="22"/>
      <c r="E220" s="22"/>
      <c r="F220" s="22"/>
    </row>
    <row r="221" spans="1:6" ht="14.5">
      <c r="A221" s="25">
        <v>44056</v>
      </c>
      <c r="B221" s="26">
        <v>31</v>
      </c>
      <c r="C221" s="22"/>
      <c r="D221" s="22"/>
      <c r="E221" s="22"/>
      <c r="F221" s="22"/>
    </row>
    <row r="222" spans="1:6" ht="14.5">
      <c r="A222" s="25">
        <v>44057</v>
      </c>
      <c r="B222" s="26">
        <v>31</v>
      </c>
      <c r="C222" s="22"/>
      <c r="D222" s="22"/>
      <c r="E222" s="22"/>
      <c r="F222" s="22"/>
    </row>
    <row r="223" spans="1:6" ht="14.5">
      <c r="A223" s="25">
        <v>44058</v>
      </c>
      <c r="B223" s="26">
        <v>31</v>
      </c>
      <c r="C223" s="22"/>
      <c r="D223" s="22"/>
      <c r="E223" s="22"/>
      <c r="F223" s="22"/>
    </row>
    <row r="224" spans="1:6" ht="14.5">
      <c r="A224" s="25">
        <v>44059</v>
      </c>
      <c r="B224" s="26">
        <v>31</v>
      </c>
      <c r="C224" s="22"/>
      <c r="D224" s="22"/>
      <c r="E224" s="22"/>
      <c r="F224" s="22"/>
    </row>
    <row r="225" spans="1:7" ht="14.5">
      <c r="A225" s="25">
        <v>44060</v>
      </c>
      <c r="B225" s="26">
        <v>32</v>
      </c>
      <c r="C225" s="22"/>
      <c r="D225" s="22"/>
      <c r="E225" s="22"/>
      <c r="F225" s="22"/>
    </row>
    <row r="226" spans="1:7" ht="14.5">
      <c r="A226" s="25">
        <v>44061</v>
      </c>
      <c r="B226" s="26">
        <v>32</v>
      </c>
      <c r="C226" s="22">
        <v>1</v>
      </c>
      <c r="D226" s="22"/>
      <c r="E226" s="22"/>
      <c r="F226" s="22"/>
    </row>
    <row r="227" spans="1:7" ht="14.5">
      <c r="A227" s="25">
        <v>44062</v>
      </c>
      <c r="B227" s="26">
        <v>32</v>
      </c>
      <c r="C227" s="22"/>
      <c r="D227" s="22"/>
      <c r="E227" s="22"/>
      <c r="F227" s="22"/>
    </row>
    <row r="228" spans="1:7" ht="14.5">
      <c r="A228" s="25">
        <v>44063</v>
      </c>
      <c r="B228" s="26">
        <v>32</v>
      </c>
      <c r="C228" s="22"/>
      <c r="D228" s="22"/>
      <c r="E228" s="22"/>
      <c r="F228" s="22"/>
    </row>
    <row r="229" spans="1:7" ht="14.5">
      <c r="A229" s="25">
        <v>44064</v>
      </c>
      <c r="B229" s="26">
        <v>32</v>
      </c>
      <c r="C229" s="22"/>
      <c r="D229" s="22"/>
      <c r="E229" s="22"/>
      <c r="F229" s="22"/>
    </row>
    <row r="230" spans="1:7" ht="14.5">
      <c r="A230" s="25">
        <v>44065</v>
      </c>
      <c r="B230" s="26">
        <v>32</v>
      </c>
      <c r="C230" s="22"/>
      <c r="D230" s="22"/>
      <c r="E230" s="22"/>
      <c r="F230" s="22"/>
    </row>
    <row r="231" spans="1:7" ht="14.5">
      <c r="A231" s="25">
        <v>44066</v>
      </c>
      <c r="B231" s="26">
        <v>32</v>
      </c>
      <c r="C231" s="22"/>
      <c r="D231" s="22"/>
      <c r="E231" s="22"/>
      <c r="F231" s="22"/>
    </row>
    <row r="232" spans="1:7" ht="14.5">
      <c r="A232" s="25">
        <v>44067</v>
      </c>
      <c r="B232" s="26">
        <v>33</v>
      </c>
      <c r="C232" s="22"/>
      <c r="D232" s="22"/>
      <c r="E232" s="22"/>
      <c r="F232" s="22"/>
      <c r="G232" s="70"/>
    </row>
    <row r="233" spans="1:7" ht="14.5">
      <c r="A233" s="25">
        <v>44068</v>
      </c>
      <c r="B233" s="26">
        <v>33</v>
      </c>
      <c r="C233" s="22">
        <v>1</v>
      </c>
      <c r="D233" s="22"/>
      <c r="E233" s="22"/>
      <c r="F233" s="22"/>
    </row>
    <row r="234" spans="1:7" ht="14.5">
      <c r="A234" s="25">
        <v>44069</v>
      </c>
      <c r="B234" s="26">
        <v>33</v>
      </c>
      <c r="C234" s="22"/>
      <c r="D234" s="22"/>
      <c r="E234" s="22"/>
      <c r="F234" s="22"/>
    </row>
    <row r="235" spans="1:7" ht="14.5">
      <c r="A235" s="25">
        <v>44070</v>
      </c>
      <c r="B235" s="26">
        <v>33</v>
      </c>
      <c r="C235" s="22"/>
      <c r="D235" s="22"/>
      <c r="E235" s="22"/>
      <c r="F235" s="22"/>
    </row>
    <row r="236" spans="1:7" ht="14.5">
      <c r="A236" s="25">
        <v>44071</v>
      </c>
      <c r="B236" s="26">
        <v>33</v>
      </c>
      <c r="C236" s="22"/>
      <c r="D236" s="22"/>
      <c r="E236" s="22"/>
      <c r="F236" s="22"/>
    </row>
    <row r="237" spans="1:7" ht="14.5">
      <c r="A237" s="25">
        <v>44072</v>
      </c>
      <c r="B237" s="26">
        <v>33</v>
      </c>
      <c r="C237" s="22"/>
      <c r="D237" s="22"/>
      <c r="E237" s="22"/>
      <c r="F237" s="22"/>
    </row>
    <row r="238" spans="1:7" ht="14.5">
      <c r="A238" s="25">
        <v>44073</v>
      </c>
      <c r="B238" s="26">
        <v>33</v>
      </c>
      <c r="C238" s="22"/>
      <c r="D238" s="22"/>
      <c r="E238" s="22"/>
      <c r="F238" s="22"/>
    </row>
    <row r="239" spans="1:7" ht="14.5">
      <c r="A239" s="25">
        <v>44074</v>
      </c>
      <c r="B239" s="26">
        <v>34</v>
      </c>
      <c r="C239" s="22"/>
      <c r="D239" s="22"/>
      <c r="E239" s="22"/>
      <c r="F239" s="22"/>
    </row>
    <row r="240" spans="1:7" ht="14.5">
      <c r="A240" s="25">
        <v>44075</v>
      </c>
      <c r="B240" s="26">
        <v>34</v>
      </c>
      <c r="C240" s="22"/>
      <c r="D240" s="22"/>
      <c r="E240" s="22"/>
      <c r="F240" s="22"/>
    </row>
    <row r="241" spans="1:6" ht="14.5">
      <c r="A241" s="25">
        <v>44076</v>
      </c>
      <c r="B241" s="26">
        <v>34</v>
      </c>
      <c r="C241" s="22"/>
      <c r="D241" s="22"/>
      <c r="E241" s="22"/>
      <c r="F241" s="22"/>
    </row>
    <row r="242" spans="1:6" ht="14.5">
      <c r="A242" s="25">
        <v>44077</v>
      </c>
      <c r="B242" s="26">
        <v>34</v>
      </c>
      <c r="C242" s="22"/>
      <c r="D242" s="22"/>
      <c r="E242" s="22"/>
      <c r="F242" s="22"/>
    </row>
    <row r="243" spans="1:6" ht="14.5">
      <c r="A243" s="25">
        <v>44078</v>
      </c>
      <c r="B243" s="26">
        <v>34</v>
      </c>
      <c r="C243" s="22"/>
      <c r="D243" s="22"/>
      <c r="E243" s="22"/>
      <c r="F243" s="22"/>
    </row>
    <row r="244" spans="1:6" ht="14.5">
      <c r="A244" s="25">
        <v>44079</v>
      </c>
      <c r="B244" s="26">
        <v>34</v>
      </c>
      <c r="C244" s="22"/>
      <c r="D244" s="22"/>
      <c r="E244" s="22"/>
      <c r="F244" s="22"/>
    </row>
    <row r="245" spans="1:6" ht="14.5">
      <c r="A245" s="25">
        <v>44080</v>
      </c>
      <c r="B245" s="26">
        <v>34</v>
      </c>
      <c r="C245" s="22"/>
      <c r="D245" s="22"/>
      <c r="E245" s="22"/>
      <c r="F245" s="22"/>
    </row>
    <row r="246" spans="1:6" ht="14.5">
      <c r="A246" s="25">
        <v>44081</v>
      </c>
      <c r="B246" s="26">
        <v>35</v>
      </c>
      <c r="C246" s="22"/>
      <c r="D246" s="22"/>
      <c r="E246" s="22"/>
      <c r="F246" s="22"/>
    </row>
    <row r="247" spans="1:6" ht="14.5">
      <c r="A247" s="25">
        <v>44082</v>
      </c>
      <c r="B247" s="26">
        <v>35</v>
      </c>
      <c r="C247" s="22"/>
      <c r="D247" s="22"/>
      <c r="E247" s="22"/>
      <c r="F247" s="22"/>
    </row>
    <row r="248" spans="1:6" ht="14.5">
      <c r="A248" s="25">
        <v>44083</v>
      </c>
      <c r="B248" s="26">
        <v>35</v>
      </c>
      <c r="C248" s="22"/>
      <c r="D248" s="22"/>
      <c r="E248" s="22"/>
      <c r="F248" s="22"/>
    </row>
    <row r="249" spans="1:6" ht="14.5">
      <c r="A249" s="25">
        <v>44084</v>
      </c>
      <c r="B249" s="26">
        <v>35</v>
      </c>
      <c r="C249" s="22"/>
      <c r="D249" s="22"/>
      <c r="E249" s="22"/>
      <c r="F249" s="22"/>
    </row>
    <row r="250" spans="1:6" ht="14.5">
      <c r="A250" s="25">
        <v>44085</v>
      </c>
      <c r="B250" s="26">
        <v>35</v>
      </c>
      <c r="C250" s="22"/>
      <c r="D250" s="22"/>
      <c r="E250" s="22"/>
      <c r="F250" s="22"/>
    </row>
    <row r="251" spans="1:6" ht="14.5">
      <c r="A251" s="25">
        <v>44086</v>
      </c>
      <c r="B251" s="26">
        <v>35</v>
      </c>
      <c r="C251" s="22"/>
      <c r="D251" s="22"/>
      <c r="E251" s="22"/>
      <c r="F251" s="22"/>
    </row>
    <row r="252" spans="1:6" ht="14.5">
      <c r="A252" s="25">
        <v>44087</v>
      </c>
      <c r="B252" s="26">
        <v>35</v>
      </c>
      <c r="C252" s="22"/>
      <c r="D252" s="22"/>
      <c r="E252" s="22"/>
      <c r="F252" s="22"/>
    </row>
    <row r="253" spans="1:6" ht="14.5">
      <c r="A253" s="25">
        <v>44088</v>
      </c>
      <c r="B253" s="26">
        <v>36</v>
      </c>
      <c r="C253" s="22">
        <v>1</v>
      </c>
      <c r="D253" s="22"/>
      <c r="E253" s="22"/>
      <c r="F253" s="22"/>
    </row>
    <row r="254" spans="1:6" ht="14.5">
      <c r="A254" s="25">
        <v>44089</v>
      </c>
      <c r="B254" s="26">
        <v>36</v>
      </c>
      <c r="C254" s="22"/>
      <c r="D254" s="22"/>
      <c r="E254" s="22"/>
      <c r="F254" s="22"/>
    </row>
    <row r="255" spans="1:6" ht="14.5">
      <c r="A255" s="25">
        <v>44090</v>
      </c>
      <c r="B255" s="26">
        <v>36</v>
      </c>
      <c r="C255" s="22"/>
      <c r="D255" s="22"/>
      <c r="E255" s="22"/>
      <c r="F255" s="22"/>
    </row>
    <row r="256" spans="1:6" ht="14.5">
      <c r="A256" s="25">
        <v>44091</v>
      </c>
      <c r="B256" s="26">
        <v>36</v>
      </c>
      <c r="C256" s="22"/>
      <c r="D256" s="22"/>
      <c r="E256" s="22"/>
      <c r="F256" s="22"/>
    </row>
    <row r="257" spans="1:6" ht="14.5">
      <c r="A257" s="25">
        <v>44092</v>
      </c>
      <c r="B257" s="26">
        <v>36</v>
      </c>
      <c r="C257" s="22"/>
      <c r="D257" s="22"/>
      <c r="E257" s="22"/>
      <c r="F257" s="22"/>
    </row>
    <row r="258" spans="1:6" ht="14.5">
      <c r="A258" s="25">
        <v>44093</v>
      </c>
      <c r="B258" s="26">
        <v>36</v>
      </c>
      <c r="C258" s="22"/>
      <c r="D258" s="22"/>
      <c r="E258" s="22"/>
      <c r="F258" s="22"/>
    </row>
    <row r="259" spans="1:6" ht="14.5">
      <c r="A259" s="25">
        <v>44094</v>
      </c>
      <c r="B259" s="26">
        <v>36</v>
      </c>
      <c r="C259" s="22"/>
      <c r="D259" s="22"/>
      <c r="E259" s="22"/>
      <c r="F259" s="22"/>
    </row>
    <row r="260" spans="1:6" ht="14.5">
      <c r="A260" s="25">
        <v>44095</v>
      </c>
      <c r="B260" s="26">
        <v>37</v>
      </c>
      <c r="C260" s="22"/>
      <c r="D260" s="22"/>
      <c r="E260" s="22"/>
      <c r="F260" s="22"/>
    </row>
    <row r="261" spans="1:6" ht="14.5">
      <c r="A261" s="25">
        <v>44096</v>
      </c>
      <c r="B261" s="26">
        <v>37</v>
      </c>
      <c r="C261" s="22"/>
      <c r="D261" s="22"/>
      <c r="E261" s="22"/>
      <c r="F261" s="22"/>
    </row>
    <row r="262" spans="1:6" ht="14.5">
      <c r="A262" s="25">
        <v>44097</v>
      </c>
      <c r="B262" s="26">
        <v>37</v>
      </c>
      <c r="C262" s="22"/>
      <c r="D262" s="22"/>
      <c r="E262" s="22"/>
      <c r="F262" s="22"/>
    </row>
    <row r="263" spans="1:6" ht="14.5">
      <c r="A263" s="25">
        <v>44098</v>
      </c>
      <c r="B263" s="26">
        <v>37</v>
      </c>
      <c r="C263" s="22">
        <v>1</v>
      </c>
      <c r="D263" s="22"/>
      <c r="E263" s="22"/>
      <c r="F263" s="22"/>
    </row>
    <row r="264" spans="1:6" ht="14.5">
      <c r="A264" s="25">
        <v>44099</v>
      </c>
      <c r="B264" s="26">
        <v>37</v>
      </c>
      <c r="C264" s="22"/>
      <c r="D264" s="22"/>
      <c r="E264" s="22"/>
      <c r="F264" s="22"/>
    </row>
    <row r="265" spans="1:6" ht="14.5">
      <c r="A265" s="25">
        <v>44100</v>
      </c>
      <c r="B265" s="26">
        <v>37</v>
      </c>
      <c r="C265" s="22"/>
      <c r="D265" s="22"/>
      <c r="E265" s="22"/>
      <c r="F265" s="22"/>
    </row>
    <row r="266" spans="1:6" ht="14.5">
      <c r="A266" s="25">
        <v>44101</v>
      </c>
      <c r="B266" s="26">
        <v>37</v>
      </c>
      <c r="C266" s="22"/>
      <c r="D266" s="22"/>
      <c r="E266" s="22"/>
      <c r="F266" s="22"/>
    </row>
    <row r="267" spans="1:6" ht="14.5">
      <c r="A267" s="25">
        <v>44102</v>
      </c>
      <c r="B267" s="26">
        <v>38</v>
      </c>
      <c r="C267" s="22"/>
      <c r="D267" s="22"/>
      <c r="E267" s="22"/>
      <c r="F267" s="22"/>
    </row>
    <row r="268" spans="1:6" ht="14.5">
      <c r="A268" s="25">
        <v>44103</v>
      </c>
      <c r="B268" s="26">
        <v>38</v>
      </c>
      <c r="C268" s="22"/>
      <c r="D268" s="22"/>
      <c r="E268" s="22"/>
      <c r="F268" s="22"/>
    </row>
    <row r="269" spans="1:6" ht="14.5">
      <c r="A269" s="25">
        <v>44104</v>
      </c>
      <c r="B269" s="26">
        <v>38</v>
      </c>
      <c r="C269" s="22"/>
      <c r="D269" s="22"/>
      <c r="E269" s="22"/>
      <c r="F269" s="22"/>
    </row>
    <row r="270" spans="1:6" ht="14.5">
      <c r="A270" s="25">
        <v>44105</v>
      </c>
      <c r="B270" s="26">
        <v>38</v>
      </c>
      <c r="C270" s="22"/>
      <c r="D270" s="22"/>
      <c r="E270" s="35"/>
      <c r="F270" s="22"/>
    </row>
    <row r="271" spans="1:6" ht="14.5">
      <c r="A271" s="25">
        <v>44106</v>
      </c>
      <c r="B271" s="26">
        <v>38</v>
      </c>
      <c r="C271" s="22">
        <v>2</v>
      </c>
      <c r="D271" s="22"/>
      <c r="E271" s="22"/>
      <c r="F271" s="22"/>
    </row>
    <row r="272" spans="1:6" ht="14.5">
      <c r="A272" s="25">
        <v>44107</v>
      </c>
      <c r="B272" s="26">
        <v>38</v>
      </c>
      <c r="C272" s="22"/>
      <c r="D272" s="22"/>
      <c r="E272" s="22"/>
      <c r="F272" s="22"/>
    </row>
    <row r="273" spans="1:6" ht="14.5">
      <c r="A273" s="25">
        <v>44108</v>
      </c>
      <c r="B273" s="26">
        <v>38</v>
      </c>
      <c r="C273" s="22"/>
      <c r="D273" s="22"/>
      <c r="E273" s="22"/>
      <c r="F273" s="22"/>
    </row>
    <row r="274" spans="1:6" ht="14.5">
      <c r="A274" s="25">
        <v>44109</v>
      </c>
      <c r="B274" s="26">
        <v>39</v>
      </c>
      <c r="C274" s="22"/>
      <c r="D274" s="22"/>
      <c r="E274" s="22"/>
      <c r="F274" s="22"/>
    </row>
    <row r="275" spans="1:6" ht="14.5">
      <c r="A275" s="25">
        <v>44110</v>
      </c>
      <c r="B275" s="26">
        <v>39</v>
      </c>
      <c r="C275" s="22"/>
      <c r="D275" s="22"/>
      <c r="E275" s="22"/>
      <c r="F275" s="22"/>
    </row>
    <row r="276" spans="1:6" ht="14.5">
      <c r="A276" s="25">
        <v>44111</v>
      </c>
      <c r="B276" s="26">
        <v>39</v>
      </c>
      <c r="C276" s="22"/>
      <c r="D276" s="22"/>
      <c r="E276" s="22"/>
      <c r="F276" s="22"/>
    </row>
    <row r="277" spans="1:6" ht="14.5">
      <c r="A277" s="25">
        <v>44112</v>
      </c>
      <c r="B277" s="26">
        <v>39</v>
      </c>
      <c r="C277" s="22"/>
      <c r="D277" s="22"/>
      <c r="E277" s="22"/>
      <c r="F277" s="22"/>
    </row>
    <row r="278" spans="1:6" ht="14.5">
      <c r="A278" s="25">
        <v>44113</v>
      </c>
      <c r="B278" s="26">
        <v>39</v>
      </c>
      <c r="C278" s="22"/>
      <c r="D278" s="22"/>
      <c r="E278" s="22"/>
      <c r="F278" s="22"/>
    </row>
    <row r="279" spans="1:6" ht="14.5">
      <c r="A279" s="25">
        <v>44114</v>
      </c>
      <c r="B279" s="26">
        <v>39</v>
      </c>
      <c r="C279" s="22"/>
      <c r="D279" s="22"/>
      <c r="E279" s="22"/>
      <c r="F279" s="22"/>
    </row>
    <row r="280" spans="1:6" ht="14.5">
      <c r="A280" s="25">
        <v>44115</v>
      </c>
      <c r="B280" s="26">
        <v>39</v>
      </c>
      <c r="C280" s="22"/>
      <c r="D280" s="22"/>
      <c r="E280" s="22"/>
      <c r="F280" s="22"/>
    </row>
    <row r="281" spans="1:6" ht="14.5">
      <c r="A281" s="25">
        <v>44116</v>
      </c>
      <c r="B281" s="26">
        <v>40</v>
      </c>
      <c r="C281" s="22"/>
      <c r="D281" s="22"/>
      <c r="E281" s="22"/>
      <c r="F281" s="22"/>
    </row>
    <row r="282" spans="1:6" ht="14.5">
      <c r="A282" s="25">
        <v>44117</v>
      </c>
      <c r="B282" s="26">
        <v>40</v>
      </c>
      <c r="C282" s="22"/>
      <c r="D282" s="22"/>
      <c r="E282" s="22"/>
      <c r="F282" s="22"/>
    </row>
    <row r="283" spans="1:6" ht="14.5">
      <c r="A283" s="25">
        <v>44118</v>
      </c>
      <c r="B283" s="26">
        <v>40</v>
      </c>
      <c r="C283" s="22"/>
      <c r="D283" s="22"/>
      <c r="E283" s="22"/>
      <c r="F283" s="22"/>
    </row>
    <row r="284" spans="1:6" ht="14.5">
      <c r="A284" s="25">
        <v>44119</v>
      </c>
      <c r="B284" s="26">
        <v>40</v>
      </c>
      <c r="C284" s="22"/>
      <c r="D284" s="22"/>
      <c r="E284" s="22"/>
      <c r="F284" s="22"/>
    </row>
    <row r="285" spans="1:6" ht="14.5">
      <c r="A285" s="25">
        <v>44120</v>
      </c>
      <c r="B285" s="26">
        <v>40</v>
      </c>
      <c r="C285" s="22"/>
      <c r="D285" s="22"/>
      <c r="E285" s="22"/>
      <c r="F285" s="22"/>
    </row>
    <row r="286" spans="1:6" ht="14.5">
      <c r="A286" s="25">
        <v>44121</v>
      </c>
      <c r="B286" s="26">
        <v>40</v>
      </c>
      <c r="C286" s="22"/>
      <c r="D286" s="22"/>
      <c r="E286" s="22"/>
      <c r="F286" s="22"/>
    </row>
    <row r="287" spans="1:6" ht="14.5">
      <c r="A287" s="25">
        <v>44122</v>
      </c>
      <c r="B287" s="26">
        <v>40</v>
      </c>
      <c r="C287" s="22"/>
      <c r="D287" s="22"/>
      <c r="E287" s="22"/>
      <c r="F287" s="22"/>
    </row>
    <row r="288" spans="1:6" ht="14.5">
      <c r="A288" s="25">
        <v>44123</v>
      </c>
      <c r="B288" s="26">
        <v>41</v>
      </c>
      <c r="C288" s="22"/>
      <c r="D288" s="22"/>
      <c r="E288" s="22"/>
      <c r="F288" s="22"/>
    </row>
    <row r="289" spans="1:6" ht="14.5">
      <c r="A289" s="25">
        <v>44124</v>
      </c>
      <c r="B289" s="26">
        <v>41</v>
      </c>
      <c r="C289" s="22"/>
      <c r="D289" s="22"/>
      <c r="E289" s="35"/>
      <c r="F289" s="22"/>
    </row>
    <row r="290" spans="1:6" ht="14.5">
      <c r="A290" s="25">
        <v>44125</v>
      </c>
      <c r="B290" s="26">
        <v>41</v>
      </c>
      <c r="C290" s="22"/>
      <c r="D290" s="22"/>
      <c r="E290" s="22"/>
      <c r="F290" s="22"/>
    </row>
    <row r="291" spans="1:6" ht="14.5">
      <c r="A291" s="25">
        <v>44126</v>
      </c>
      <c r="B291" s="26">
        <v>41</v>
      </c>
      <c r="C291" s="22"/>
      <c r="D291" s="22"/>
      <c r="E291" s="22"/>
      <c r="F291" s="22"/>
    </row>
    <row r="292" spans="1:6" ht="14.5">
      <c r="A292" s="25">
        <v>44127</v>
      </c>
      <c r="B292" s="26">
        <v>41</v>
      </c>
      <c r="C292" s="22"/>
      <c r="D292" s="22"/>
      <c r="E292" s="22"/>
      <c r="F292" s="22"/>
    </row>
    <row r="293" spans="1:6" ht="14.5">
      <c r="A293" s="25">
        <v>44128</v>
      </c>
      <c r="B293" s="26">
        <v>41</v>
      </c>
      <c r="C293" s="22"/>
      <c r="D293" s="22"/>
      <c r="E293" s="22"/>
      <c r="F293" s="22"/>
    </row>
    <row r="294" spans="1:6" ht="14.5">
      <c r="A294" s="25">
        <v>44129</v>
      </c>
      <c r="B294" s="26">
        <v>41</v>
      </c>
      <c r="C294" s="22"/>
      <c r="D294" s="22"/>
      <c r="E294" s="22"/>
      <c r="F294" s="22"/>
    </row>
    <row r="295" spans="1:6" ht="14.5">
      <c r="A295" s="25">
        <v>44130</v>
      </c>
      <c r="B295" s="26">
        <v>42</v>
      </c>
      <c r="C295" s="22"/>
      <c r="D295" s="22"/>
      <c r="E295" s="22"/>
      <c r="F295" s="22"/>
    </row>
    <row r="296" spans="1:6" ht="14.5">
      <c r="A296" s="25">
        <v>44131</v>
      </c>
      <c r="B296" s="26">
        <v>42</v>
      </c>
      <c r="C296" s="22"/>
      <c r="D296" s="22"/>
      <c r="E296" s="22"/>
      <c r="F296" s="22"/>
    </row>
    <row r="297" spans="1:6" ht="14.5">
      <c r="A297" s="25">
        <v>44132</v>
      </c>
      <c r="B297" s="26">
        <v>42</v>
      </c>
      <c r="C297" s="22"/>
      <c r="D297" s="22"/>
      <c r="E297" s="22"/>
      <c r="F297" s="22"/>
    </row>
    <row r="298" spans="1:6" ht="14.5">
      <c r="A298" s="25">
        <v>44133</v>
      </c>
      <c r="B298" s="26">
        <v>42</v>
      </c>
      <c r="C298" s="22"/>
      <c r="D298" s="22"/>
      <c r="E298" s="22"/>
      <c r="F298" s="22"/>
    </row>
    <row r="299" spans="1:6" ht="14.5">
      <c r="A299" s="25">
        <v>44134</v>
      </c>
      <c r="B299" s="26">
        <v>42</v>
      </c>
      <c r="C299" s="22"/>
      <c r="D299" s="22"/>
      <c r="E299" s="22"/>
      <c r="F299" s="22"/>
    </row>
    <row r="300" spans="1:6" ht="14.5">
      <c r="A300" s="25">
        <v>44135</v>
      </c>
      <c r="B300" s="26">
        <v>42</v>
      </c>
      <c r="C300" s="22"/>
      <c r="D300" s="22"/>
      <c r="E300" s="22"/>
      <c r="F300" s="22"/>
    </row>
    <row r="301" spans="1:6" ht="14.5">
      <c r="A301" s="25">
        <v>44136</v>
      </c>
      <c r="B301" s="26">
        <v>42</v>
      </c>
      <c r="C301" s="22"/>
      <c r="D301" s="22"/>
      <c r="E301" s="22"/>
      <c r="F301" s="22"/>
    </row>
    <row r="302" spans="1:6" ht="14.5">
      <c r="A302" s="25">
        <v>44137</v>
      </c>
      <c r="B302" s="26">
        <v>43</v>
      </c>
      <c r="C302" s="22"/>
      <c r="D302" s="22"/>
      <c r="E302" s="22"/>
      <c r="F302" s="22"/>
    </row>
    <row r="303" spans="1:6" ht="14.5">
      <c r="A303" s="25">
        <v>44138</v>
      </c>
      <c r="B303" s="26">
        <v>43</v>
      </c>
      <c r="C303" s="22"/>
      <c r="D303" s="22"/>
      <c r="E303" s="35"/>
      <c r="F303" s="22"/>
    </row>
    <row r="304" spans="1:6" ht="14.5">
      <c r="A304" s="25">
        <v>44139</v>
      </c>
      <c r="B304" s="26">
        <v>43</v>
      </c>
      <c r="C304" s="22"/>
      <c r="D304" s="22"/>
      <c r="E304" s="22"/>
      <c r="F304" s="22"/>
    </row>
    <row r="305" spans="1:6" ht="14.5">
      <c r="A305" s="25">
        <v>44140</v>
      </c>
      <c r="B305" s="26">
        <v>43</v>
      </c>
      <c r="C305" s="22">
        <v>2</v>
      </c>
      <c r="D305" s="22"/>
      <c r="E305" s="22"/>
      <c r="F305" s="22"/>
    </row>
    <row r="306" spans="1:6" ht="14.5">
      <c r="A306" s="25">
        <v>44141</v>
      </c>
      <c r="B306" s="26">
        <v>43</v>
      </c>
      <c r="C306" s="22"/>
      <c r="D306" s="22"/>
      <c r="E306" s="22"/>
      <c r="F306" s="22"/>
    </row>
    <row r="307" spans="1:6" ht="14.5">
      <c r="A307" s="25">
        <v>44142</v>
      </c>
      <c r="B307" s="26">
        <v>43</v>
      </c>
      <c r="C307" s="22"/>
      <c r="D307" s="22"/>
      <c r="E307" s="93"/>
      <c r="F307" s="22"/>
    </row>
    <row r="308" spans="1:6" ht="14.5">
      <c r="A308" s="25">
        <v>44143</v>
      </c>
      <c r="B308" s="26">
        <v>43</v>
      </c>
      <c r="C308" s="22"/>
      <c r="D308" s="22"/>
      <c r="E308" s="22"/>
      <c r="F308" s="22"/>
    </row>
    <row r="309" spans="1:6" ht="14.5">
      <c r="A309" s="25">
        <v>44144</v>
      </c>
      <c r="B309" s="26">
        <v>44</v>
      </c>
      <c r="C309" s="22"/>
      <c r="D309" s="22"/>
      <c r="E309" s="22"/>
      <c r="F309" s="22"/>
    </row>
    <row r="310" spans="1:6" ht="14.5">
      <c r="A310" s="25">
        <v>44145</v>
      </c>
      <c r="B310" s="26">
        <v>44</v>
      </c>
      <c r="C310" s="22"/>
      <c r="D310" s="22"/>
      <c r="E310" s="22"/>
      <c r="F310" s="22"/>
    </row>
    <row r="311" spans="1:6" ht="14.5">
      <c r="A311" s="25">
        <v>44146</v>
      </c>
      <c r="B311" s="26">
        <v>44</v>
      </c>
      <c r="C311" s="22"/>
      <c r="D311" s="22"/>
      <c r="E311" s="22"/>
      <c r="F311" s="22"/>
    </row>
    <row r="312" spans="1:6" ht="14.5">
      <c r="A312" s="25">
        <v>44147</v>
      </c>
      <c r="B312" s="26">
        <v>44</v>
      </c>
      <c r="C312" s="22"/>
      <c r="D312" s="22"/>
      <c r="E312" s="22"/>
      <c r="F312" s="22"/>
    </row>
    <row r="313" spans="1:6" ht="14.5">
      <c r="A313" s="25">
        <v>44148</v>
      </c>
      <c r="B313" s="26">
        <v>44</v>
      </c>
      <c r="C313" s="22"/>
      <c r="D313" s="22"/>
      <c r="E313" s="22"/>
      <c r="F313" s="22"/>
    </row>
    <row r="314" spans="1:6" ht="14.5">
      <c r="A314" s="25">
        <v>44149</v>
      </c>
      <c r="B314" s="26">
        <v>44</v>
      </c>
      <c r="C314" s="22"/>
      <c r="D314" s="22"/>
      <c r="E314" s="22"/>
      <c r="F314" s="22"/>
    </row>
    <row r="315" spans="1:6" ht="14.5">
      <c r="A315" s="25">
        <v>44150</v>
      </c>
      <c r="B315" s="26">
        <v>44</v>
      </c>
      <c r="C315" s="22"/>
      <c r="D315" s="22"/>
      <c r="E315" s="22"/>
      <c r="F315" s="22"/>
    </row>
    <row r="316" spans="1:6" ht="14.5">
      <c r="A316" s="25">
        <v>44151</v>
      </c>
      <c r="B316" s="26">
        <v>45</v>
      </c>
      <c r="C316" s="22"/>
      <c r="D316" s="22"/>
      <c r="E316" s="93"/>
      <c r="F316" s="22"/>
    </row>
    <row r="317" spans="1:6" ht="14.5">
      <c r="A317" s="25">
        <v>44152</v>
      </c>
      <c r="B317" s="26">
        <v>45</v>
      </c>
      <c r="C317" s="22"/>
      <c r="D317" s="22"/>
      <c r="E317" s="35"/>
      <c r="F317" s="22"/>
    </row>
    <row r="318" spans="1:6" ht="14.5">
      <c r="A318" s="25">
        <v>44153</v>
      </c>
      <c r="B318" s="26">
        <v>45</v>
      </c>
      <c r="C318" s="22"/>
      <c r="D318" s="22"/>
      <c r="E318" s="22"/>
      <c r="F318" s="22"/>
    </row>
    <row r="319" spans="1:6" ht="14.5">
      <c r="A319" s="25">
        <v>44154</v>
      </c>
      <c r="B319" s="26">
        <v>45</v>
      </c>
      <c r="C319" s="22"/>
      <c r="D319" s="22"/>
      <c r="E319" s="22"/>
      <c r="F319" s="22"/>
    </row>
    <row r="320" spans="1:6" ht="14.5">
      <c r="A320" s="25">
        <v>44155</v>
      </c>
      <c r="B320" s="26">
        <v>45</v>
      </c>
      <c r="C320" s="22"/>
      <c r="D320" s="22"/>
      <c r="E320" s="22"/>
      <c r="F320" s="22"/>
    </row>
    <row r="321" spans="1:6" ht="14.5">
      <c r="A321" s="25">
        <v>44156</v>
      </c>
      <c r="B321" s="26">
        <v>45</v>
      </c>
      <c r="C321" s="22"/>
      <c r="D321" s="22"/>
      <c r="E321" s="22"/>
      <c r="F321" s="22"/>
    </row>
    <row r="322" spans="1:6" ht="14.5">
      <c r="A322" s="25">
        <v>44157</v>
      </c>
      <c r="B322" s="26">
        <v>45</v>
      </c>
      <c r="C322" s="22"/>
      <c r="D322" s="22"/>
      <c r="E322" s="22"/>
      <c r="F322" s="22"/>
    </row>
    <row r="323" spans="1:6" ht="14.5">
      <c r="A323" s="25">
        <v>44158</v>
      </c>
      <c r="B323" s="26">
        <v>46</v>
      </c>
      <c r="C323" s="22"/>
      <c r="D323" s="22"/>
      <c r="E323" s="22"/>
      <c r="F323" s="22"/>
    </row>
    <row r="324" spans="1:6" ht="14.5">
      <c r="A324" s="25">
        <v>44159</v>
      </c>
      <c r="B324" s="26">
        <v>46</v>
      </c>
      <c r="C324" s="22">
        <v>1</v>
      </c>
      <c r="D324" s="22"/>
      <c r="E324" s="22"/>
      <c r="F324" s="22"/>
    </row>
    <row r="325" spans="1:6" ht="14.5">
      <c r="A325" s="25">
        <v>44160</v>
      </c>
      <c r="B325" s="26">
        <v>46</v>
      </c>
      <c r="C325" s="22"/>
      <c r="D325" s="22"/>
      <c r="E325" s="22"/>
      <c r="F325" s="22"/>
    </row>
    <row r="326" spans="1:6" ht="14.5">
      <c r="A326" s="25">
        <v>44161</v>
      </c>
      <c r="B326" s="26">
        <v>46</v>
      </c>
      <c r="C326" s="22">
        <v>2</v>
      </c>
      <c r="D326" s="22"/>
      <c r="E326" s="22"/>
      <c r="F326" s="22"/>
    </row>
    <row r="327" spans="1:6" ht="14.5">
      <c r="A327" s="25">
        <v>44162</v>
      </c>
      <c r="B327" s="26">
        <v>46</v>
      </c>
      <c r="C327" s="22"/>
      <c r="D327" s="22"/>
      <c r="E327" s="22"/>
      <c r="F327" s="22"/>
    </row>
    <row r="328" spans="1:6" ht="14.5">
      <c r="A328" s="25">
        <v>44163</v>
      </c>
      <c r="B328" s="26">
        <v>46</v>
      </c>
      <c r="C328" s="22"/>
      <c r="D328" s="22"/>
      <c r="E328" s="35"/>
      <c r="F328" s="22"/>
    </row>
    <row r="329" spans="1:6" ht="14.5">
      <c r="A329" s="25">
        <v>44164</v>
      </c>
      <c r="B329" s="26">
        <v>46</v>
      </c>
      <c r="C329" s="22"/>
      <c r="D329" s="22"/>
      <c r="E329" s="22"/>
      <c r="F329" s="22"/>
    </row>
    <row r="330" spans="1:6" ht="14.5">
      <c r="A330" s="25">
        <v>44165</v>
      </c>
      <c r="B330" s="26">
        <v>47</v>
      </c>
      <c r="C330" s="22">
        <v>6</v>
      </c>
      <c r="D330" s="22">
        <v>1</v>
      </c>
      <c r="E330" s="22"/>
      <c r="F330" s="22"/>
    </row>
    <row r="331" spans="1:6" ht="14.5">
      <c r="A331" s="25">
        <v>44166</v>
      </c>
      <c r="B331" s="26">
        <v>47</v>
      </c>
      <c r="C331" s="22">
        <v>3</v>
      </c>
      <c r="D331" s="22"/>
      <c r="E331" s="22"/>
      <c r="F331" s="22"/>
    </row>
    <row r="332" spans="1:6" ht="14.5">
      <c r="A332" s="25">
        <v>44167</v>
      </c>
      <c r="B332" s="26">
        <v>47</v>
      </c>
      <c r="C332" s="22"/>
      <c r="D332" s="22"/>
      <c r="E332" s="35"/>
      <c r="F332" s="22"/>
    </row>
    <row r="333" spans="1:6" ht="14.5">
      <c r="A333" s="25">
        <v>44168</v>
      </c>
      <c r="B333" s="26">
        <v>47</v>
      </c>
      <c r="C333" s="22">
        <v>2</v>
      </c>
      <c r="D333" s="22"/>
      <c r="E333" s="22"/>
      <c r="F333" s="22"/>
    </row>
    <row r="334" spans="1:6" ht="14.5">
      <c r="A334" s="25">
        <v>44169</v>
      </c>
      <c r="B334" s="26">
        <v>47</v>
      </c>
      <c r="C334" s="22">
        <v>1</v>
      </c>
      <c r="D334" s="22"/>
      <c r="E334" s="35"/>
      <c r="F334" s="22"/>
    </row>
    <row r="335" spans="1:6" ht="14.5">
      <c r="A335" s="25">
        <v>44170</v>
      </c>
      <c r="B335" s="26">
        <v>47</v>
      </c>
      <c r="C335" s="22"/>
      <c r="D335" s="22"/>
      <c r="E335" s="22"/>
      <c r="F335" s="22"/>
    </row>
    <row r="336" spans="1:6" ht="14.5">
      <c r="A336" s="25">
        <v>44171</v>
      </c>
      <c r="B336" s="26">
        <v>47</v>
      </c>
      <c r="C336" s="22"/>
      <c r="D336" s="22"/>
      <c r="E336" s="22"/>
      <c r="F336" s="22"/>
    </row>
    <row r="337" spans="1:6" ht="14.5">
      <c r="A337" s="25">
        <v>44172</v>
      </c>
      <c r="B337" s="26">
        <v>48</v>
      </c>
      <c r="C337" s="22">
        <v>2</v>
      </c>
      <c r="D337" s="22"/>
      <c r="E337" s="22"/>
      <c r="F337" s="22"/>
    </row>
    <row r="338" spans="1:6" ht="14.5">
      <c r="A338" s="25">
        <v>44173</v>
      </c>
      <c r="B338" s="26">
        <v>48</v>
      </c>
      <c r="C338" s="22"/>
      <c r="D338" s="22"/>
      <c r="E338" s="22"/>
      <c r="F338" s="22"/>
    </row>
    <row r="339" spans="1:6" ht="14.5">
      <c r="A339" s="25">
        <v>44174</v>
      </c>
      <c r="B339" s="26">
        <v>48</v>
      </c>
      <c r="C339" s="22">
        <v>1</v>
      </c>
      <c r="D339" s="22"/>
      <c r="E339" s="22"/>
      <c r="F339" s="22"/>
    </row>
    <row r="340" spans="1:6" ht="14.5">
      <c r="A340" s="25">
        <v>44175</v>
      </c>
      <c r="B340" s="26">
        <v>48</v>
      </c>
      <c r="C340" s="22"/>
      <c r="D340" s="22"/>
      <c r="E340" s="93"/>
      <c r="F340" s="22"/>
    </row>
    <row r="341" spans="1:6" ht="14.5">
      <c r="A341" s="25">
        <v>44176</v>
      </c>
      <c r="B341" s="26">
        <v>48</v>
      </c>
      <c r="C341" s="22"/>
      <c r="D341" s="22"/>
      <c r="E341" s="22"/>
      <c r="F341" s="22"/>
    </row>
    <row r="342" spans="1:6" ht="14.5">
      <c r="A342" s="25">
        <v>44177</v>
      </c>
      <c r="B342" s="26">
        <v>48</v>
      </c>
      <c r="C342" s="22">
        <v>1</v>
      </c>
      <c r="D342" s="22"/>
      <c r="E342" s="22"/>
      <c r="F342" s="22"/>
    </row>
    <row r="343" spans="1:6" ht="14.5">
      <c r="A343" s="25">
        <v>44178</v>
      </c>
      <c r="B343" s="26">
        <v>48</v>
      </c>
      <c r="C343" s="22"/>
      <c r="D343" s="22"/>
      <c r="E343" s="22"/>
      <c r="F343" s="22"/>
    </row>
    <row r="344" spans="1:6" ht="14.5">
      <c r="A344" s="25">
        <v>44179</v>
      </c>
      <c r="B344" s="26">
        <v>49</v>
      </c>
      <c r="C344" s="22"/>
      <c r="D344" s="22"/>
      <c r="E344" s="22"/>
      <c r="F344" s="22"/>
    </row>
    <row r="345" spans="1:6" ht="14.5">
      <c r="A345" s="25">
        <v>44180</v>
      </c>
      <c r="B345" s="26">
        <v>49</v>
      </c>
      <c r="C345" s="22">
        <v>1</v>
      </c>
      <c r="D345" s="22"/>
      <c r="E345" s="22"/>
      <c r="F345" s="22"/>
    </row>
    <row r="346" spans="1:6" ht="14.5">
      <c r="A346" s="25">
        <v>44181</v>
      </c>
      <c r="B346" s="26">
        <v>49</v>
      </c>
      <c r="C346" s="22"/>
      <c r="D346" s="22"/>
      <c r="E346" s="22"/>
      <c r="F346" s="22"/>
    </row>
    <row r="347" spans="1:6" ht="14.5">
      <c r="A347" s="25">
        <v>44182</v>
      </c>
      <c r="B347" s="26">
        <v>49</v>
      </c>
      <c r="C347" s="22">
        <v>2</v>
      </c>
      <c r="D347" s="22"/>
      <c r="E347" s="22"/>
      <c r="F347" s="22"/>
    </row>
    <row r="348" spans="1:6" ht="14.5">
      <c r="A348" s="25">
        <v>44183</v>
      </c>
      <c r="B348" s="26">
        <v>49</v>
      </c>
      <c r="C348" s="22">
        <v>1</v>
      </c>
      <c r="D348" s="22"/>
      <c r="E348" s="22"/>
      <c r="F348" s="22"/>
    </row>
    <row r="349" spans="1:6" ht="14.5">
      <c r="A349" s="25">
        <v>44184</v>
      </c>
      <c r="B349" s="26">
        <v>49</v>
      </c>
      <c r="C349" s="22"/>
      <c r="D349" s="22"/>
      <c r="E349" s="22"/>
      <c r="F349" s="22"/>
    </row>
    <row r="350" spans="1:6" ht="14.5">
      <c r="A350" s="25">
        <v>44185</v>
      </c>
      <c r="B350" s="26">
        <v>49</v>
      </c>
      <c r="C350" s="22"/>
      <c r="D350" s="22"/>
      <c r="E350" s="22"/>
      <c r="F350" s="22"/>
    </row>
    <row r="351" spans="1:6" ht="14.5">
      <c r="A351" s="25">
        <v>44186</v>
      </c>
      <c r="B351" s="26">
        <v>50</v>
      </c>
      <c r="C351" s="22"/>
      <c r="D351" s="22"/>
      <c r="E351" s="22"/>
      <c r="F351" s="22"/>
    </row>
    <row r="352" spans="1:6" ht="14.5">
      <c r="A352" s="25">
        <v>44187</v>
      </c>
      <c r="B352" s="26">
        <v>50</v>
      </c>
      <c r="C352" s="22"/>
      <c r="D352" s="22"/>
      <c r="E352" s="22"/>
      <c r="F352" s="22"/>
    </row>
    <row r="353" spans="1:7" ht="14.5">
      <c r="A353" s="25">
        <v>44188</v>
      </c>
      <c r="B353" s="26">
        <v>50</v>
      </c>
      <c r="C353" s="22"/>
      <c r="D353" s="22"/>
      <c r="E353" s="35"/>
      <c r="F353" s="22"/>
    </row>
    <row r="354" spans="1:7" ht="14.5">
      <c r="A354" s="25">
        <v>44189</v>
      </c>
      <c r="B354" s="26">
        <v>50</v>
      </c>
      <c r="C354" s="22"/>
      <c r="D354" s="22"/>
      <c r="E354" s="93"/>
      <c r="F354" s="22"/>
    </row>
    <row r="355" spans="1:7" ht="14.5">
      <c r="A355" s="25">
        <v>44190</v>
      </c>
      <c r="B355" s="26">
        <v>50</v>
      </c>
      <c r="C355" s="22"/>
      <c r="D355" s="22"/>
      <c r="E355" s="22"/>
      <c r="F355" s="22"/>
    </row>
    <row r="356" spans="1:7" ht="14.5">
      <c r="A356" s="25">
        <v>44191</v>
      </c>
      <c r="B356" s="26">
        <v>50</v>
      </c>
      <c r="C356" s="22">
        <v>1</v>
      </c>
      <c r="D356" s="22"/>
      <c r="E356" s="22"/>
      <c r="F356" s="22"/>
    </row>
    <row r="357" spans="1:7" ht="14.5">
      <c r="A357" s="25">
        <v>44192</v>
      </c>
      <c r="B357" s="26">
        <v>50</v>
      </c>
      <c r="C357" s="22"/>
      <c r="D357" s="22"/>
      <c r="E357" s="22"/>
      <c r="F357" s="22"/>
    </row>
    <row r="358" spans="1:7" ht="14.5">
      <c r="A358" s="25">
        <v>44193</v>
      </c>
      <c r="B358" s="26">
        <v>51</v>
      </c>
      <c r="C358" s="22"/>
      <c r="D358" s="22"/>
      <c r="E358" s="22"/>
      <c r="F358" s="22"/>
    </row>
    <row r="359" spans="1:7" ht="14.5">
      <c r="A359" s="25">
        <v>44194</v>
      </c>
      <c r="B359" s="26">
        <v>51</v>
      </c>
      <c r="C359" s="22"/>
      <c r="D359" s="22"/>
      <c r="E359" s="22"/>
      <c r="F359" s="22"/>
    </row>
    <row r="360" spans="1:7" ht="14.5">
      <c r="A360" s="25">
        <v>44195</v>
      </c>
      <c r="B360" s="26">
        <v>51</v>
      </c>
      <c r="C360" s="22"/>
      <c r="D360" s="22"/>
      <c r="E360" s="22"/>
      <c r="F360" s="22"/>
    </row>
    <row r="361" spans="1:7" ht="14.5">
      <c r="A361" s="25">
        <v>44196</v>
      </c>
      <c r="B361" s="26">
        <v>51</v>
      </c>
      <c r="C361" s="22"/>
      <c r="D361" s="22"/>
      <c r="E361" s="22"/>
      <c r="F361" s="22"/>
    </row>
    <row r="362" spans="1:7" ht="14.5">
      <c r="A362" s="25">
        <v>44197</v>
      </c>
      <c r="B362" s="26">
        <v>51</v>
      </c>
      <c r="C362" s="22"/>
      <c r="D362" s="22"/>
      <c r="E362" s="22"/>
      <c r="F362" s="22"/>
    </row>
    <row r="363" spans="1:7" ht="14.5">
      <c r="A363" s="25">
        <v>44198</v>
      </c>
      <c r="B363" s="26">
        <v>51</v>
      </c>
      <c r="C363" s="22"/>
      <c r="D363" s="22"/>
      <c r="E363" s="22"/>
      <c r="F363" s="22"/>
    </row>
    <row r="364" spans="1:7" ht="14.5">
      <c r="A364" s="25">
        <v>44199</v>
      </c>
      <c r="B364" s="26">
        <v>51</v>
      </c>
      <c r="C364" s="22"/>
      <c r="D364" s="22"/>
      <c r="E364" s="22"/>
      <c r="F364" s="22"/>
    </row>
    <row r="365" spans="1:7" ht="14.5">
      <c r="A365" s="25">
        <v>44200</v>
      </c>
      <c r="B365" s="26">
        <v>1</v>
      </c>
      <c r="C365" s="22"/>
      <c r="D365" s="22"/>
      <c r="E365" s="22"/>
      <c r="F365" s="22"/>
    </row>
    <row r="366" spans="1:7" ht="14.5">
      <c r="A366" s="25">
        <v>44201</v>
      </c>
      <c r="B366" s="26">
        <v>1</v>
      </c>
      <c r="C366" s="22">
        <v>5</v>
      </c>
      <c r="D366" s="22"/>
      <c r="E366" s="22"/>
      <c r="F366" s="22"/>
      <c r="G366" s="126"/>
    </row>
    <row r="367" spans="1:7" ht="14.5">
      <c r="A367" s="25">
        <v>44202</v>
      </c>
      <c r="B367" s="26">
        <v>1</v>
      </c>
      <c r="C367" s="22"/>
      <c r="D367" s="22"/>
      <c r="E367" s="22"/>
      <c r="F367" s="22"/>
      <c r="G367" s="126"/>
    </row>
    <row r="368" spans="1:7" ht="14.5">
      <c r="A368" s="25">
        <v>44203</v>
      </c>
      <c r="B368" s="26">
        <v>1</v>
      </c>
      <c r="C368" s="22">
        <v>3</v>
      </c>
      <c r="D368" s="22"/>
      <c r="E368" s="22"/>
      <c r="F368" s="22"/>
      <c r="G368" s="126"/>
    </row>
    <row r="369" spans="1:7" ht="14.5">
      <c r="A369" s="25">
        <v>44204</v>
      </c>
      <c r="B369" s="26">
        <v>1</v>
      </c>
      <c r="C369" s="22"/>
      <c r="D369" s="22"/>
      <c r="E369" s="22"/>
      <c r="F369" s="22"/>
    </row>
    <row r="370" spans="1:7" ht="14.5">
      <c r="A370" s="25">
        <v>44205</v>
      </c>
      <c r="B370" s="26">
        <v>1</v>
      </c>
      <c r="C370" s="22"/>
      <c r="D370" s="22"/>
      <c r="E370" s="22"/>
      <c r="F370" s="22"/>
      <c r="G370" s="126"/>
    </row>
    <row r="371" spans="1:7" ht="14.5">
      <c r="A371" s="25">
        <v>44206</v>
      </c>
      <c r="B371" s="26">
        <v>1</v>
      </c>
      <c r="C371" s="22"/>
      <c r="D371" s="22"/>
      <c r="E371" s="22"/>
      <c r="F371" s="22"/>
      <c r="G371" s="126"/>
    </row>
    <row r="372" spans="1:7" ht="14.5">
      <c r="A372" s="25">
        <v>44207</v>
      </c>
      <c r="B372" s="26">
        <v>2</v>
      </c>
      <c r="C372" s="22"/>
      <c r="D372" s="22"/>
      <c r="E372" s="22"/>
      <c r="F372" s="22"/>
    </row>
    <row r="373" spans="1:7" ht="14.5">
      <c r="A373" s="25">
        <v>44208</v>
      </c>
      <c r="B373" s="26">
        <v>2</v>
      </c>
      <c r="C373" s="22">
        <v>1</v>
      </c>
      <c r="D373" s="22"/>
      <c r="E373" s="22"/>
      <c r="F373" s="22"/>
    </row>
    <row r="374" spans="1:7" ht="14.5">
      <c r="A374" s="25">
        <v>44209</v>
      </c>
      <c r="B374" s="26">
        <v>2</v>
      </c>
      <c r="C374" s="22"/>
      <c r="D374" s="22"/>
      <c r="E374" s="22"/>
      <c r="F374" s="35"/>
    </row>
    <row r="375" spans="1:7" ht="14.5">
      <c r="A375" s="25">
        <v>44210</v>
      </c>
      <c r="B375" s="26">
        <v>2</v>
      </c>
      <c r="C375" s="22">
        <v>1</v>
      </c>
      <c r="D375" s="22"/>
      <c r="E375" s="22"/>
      <c r="F375" s="22"/>
    </row>
    <row r="376" spans="1:7" ht="14.5">
      <c r="A376" s="25">
        <v>44211</v>
      </c>
      <c r="B376" s="26">
        <v>2</v>
      </c>
      <c r="C376" s="22"/>
      <c r="D376" s="22"/>
      <c r="E376" s="22"/>
      <c r="F376" s="22"/>
      <c r="G376" s="126"/>
    </row>
    <row r="377" spans="1:7" ht="14.5">
      <c r="A377" s="25">
        <v>44212</v>
      </c>
      <c r="B377" s="26">
        <v>2</v>
      </c>
      <c r="C377" s="22"/>
      <c r="D377" s="22"/>
      <c r="E377" s="22"/>
      <c r="F377" s="22"/>
      <c r="G377" s="126"/>
    </row>
    <row r="378" spans="1:7" ht="14.5">
      <c r="A378" s="25">
        <v>44213</v>
      </c>
      <c r="B378" s="26">
        <v>2</v>
      </c>
      <c r="C378" s="22"/>
      <c r="D378" s="22"/>
      <c r="F378" s="22"/>
    </row>
    <row r="379" spans="1:7" ht="14.5">
      <c r="A379" s="25">
        <v>44214</v>
      </c>
      <c r="B379" s="26">
        <v>3</v>
      </c>
      <c r="C379" s="22"/>
      <c r="D379" s="22"/>
      <c r="E379" s="22"/>
      <c r="F379" s="22"/>
    </row>
    <row r="380" spans="1:7" ht="14.5">
      <c r="A380" s="25">
        <v>44215</v>
      </c>
      <c r="B380" s="26">
        <v>3</v>
      </c>
      <c r="C380" s="22">
        <v>2</v>
      </c>
      <c r="D380" s="22"/>
      <c r="E380" s="22"/>
      <c r="F380" s="22"/>
    </row>
    <row r="381" spans="1:7" ht="14.5">
      <c r="A381" s="25">
        <v>44216</v>
      </c>
      <c r="B381" s="26">
        <v>3</v>
      </c>
      <c r="C381" s="22"/>
      <c r="D381" s="22"/>
      <c r="E381" s="22"/>
      <c r="F381" s="22"/>
    </row>
    <row r="382" spans="1:7" ht="14.5">
      <c r="A382" s="25">
        <v>44217</v>
      </c>
      <c r="B382" s="26">
        <v>3</v>
      </c>
      <c r="C382" s="22"/>
      <c r="D382" s="22"/>
      <c r="E382" s="22"/>
      <c r="F382" s="22"/>
    </row>
    <row r="383" spans="1:7" ht="14.5">
      <c r="A383" s="25">
        <v>44218</v>
      </c>
      <c r="B383" s="26">
        <v>3</v>
      </c>
      <c r="C383" s="22"/>
      <c r="D383" s="22"/>
      <c r="E383" s="22"/>
      <c r="F383" s="22"/>
    </row>
    <row r="384" spans="1:7" ht="14.5">
      <c r="A384" s="25">
        <v>44219</v>
      </c>
      <c r="B384" s="26">
        <v>3</v>
      </c>
      <c r="C384" s="22"/>
      <c r="D384" s="22"/>
      <c r="E384" s="35"/>
      <c r="F384" s="22"/>
    </row>
    <row r="385" spans="1:7" ht="14.5">
      <c r="A385" s="25">
        <v>44220</v>
      </c>
      <c r="B385" s="26">
        <v>3</v>
      </c>
      <c r="C385" s="22"/>
      <c r="D385" s="22"/>
      <c r="E385" s="22"/>
      <c r="F385" s="22"/>
    </row>
    <row r="386" spans="1:7" ht="14.5">
      <c r="A386" s="25">
        <v>44221</v>
      </c>
      <c r="B386" s="26">
        <v>4</v>
      </c>
      <c r="C386" s="22">
        <v>2</v>
      </c>
      <c r="D386" s="22"/>
      <c r="E386" s="22"/>
      <c r="F386" s="22"/>
    </row>
    <row r="387" spans="1:7" ht="14.5">
      <c r="A387" s="25">
        <v>44222</v>
      </c>
      <c r="B387" s="26">
        <v>4</v>
      </c>
      <c r="C387" s="22"/>
      <c r="D387" s="22"/>
      <c r="E387" s="22"/>
      <c r="F387" s="22"/>
    </row>
    <row r="388" spans="1:7" ht="14.5">
      <c r="A388" s="25">
        <v>44223</v>
      </c>
      <c r="B388" s="26">
        <v>4</v>
      </c>
      <c r="C388" s="22"/>
      <c r="D388" s="22"/>
      <c r="E388" s="22"/>
      <c r="F388" s="22"/>
    </row>
    <row r="389" spans="1:7" ht="14.5">
      <c r="A389" s="25">
        <v>44224</v>
      </c>
      <c r="B389" s="26">
        <v>4</v>
      </c>
      <c r="C389" s="22">
        <v>2</v>
      </c>
      <c r="D389" s="22"/>
      <c r="E389" s="22"/>
      <c r="F389" s="22"/>
    </row>
    <row r="390" spans="1:7" ht="14.5">
      <c r="A390" s="25">
        <v>44225</v>
      </c>
      <c r="B390" s="26">
        <v>4</v>
      </c>
      <c r="C390" s="22"/>
      <c r="D390" s="22"/>
      <c r="E390" s="22"/>
      <c r="F390" s="22"/>
    </row>
    <row r="391" spans="1:7" ht="14.5">
      <c r="A391" s="25">
        <v>44226</v>
      </c>
      <c r="B391" s="26">
        <v>4</v>
      </c>
      <c r="C391" s="22"/>
      <c r="D391" s="22"/>
      <c r="E391" s="22"/>
      <c r="F391" s="22"/>
    </row>
    <row r="392" spans="1:7" ht="14.5">
      <c r="A392" s="25">
        <v>44227</v>
      </c>
      <c r="B392" s="26">
        <v>4</v>
      </c>
      <c r="C392" s="22"/>
      <c r="D392" s="22"/>
      <c r="E392" s="22"/>
      <c r="F392" s="22"/>
    </row>
    <row r="393" spans="1:7" ht="14.5">
      <c r="A393" s="25">
        <v>44228</v>
      </c>
      <c r="B393" s="26">
        <v>5</v>
      </c>
      <c r="C393" s="22">
        <v>2</v>
      </c>
      <c r="D393" s="22"/>
      <c r="E393" s="22"/>
      <c r="F393" s="22"/>
    </row>
    <row r="394" spans="1:7" ht="14.5">
      <c r="A394" s="25">
        <v>44229</v>
      </c>
      <c r="B394" s="26">
        <v>5</v>
      </c>
      <c r="C394" s="22"/>
      <c r="D394" s="22"/>
      <c r="E394" s="22"/>
      <c r="F394" s="22"/>
    </row>
    <row r="395" spans="1:7" ht="14.5">
      <c r="A395" s="25">
        <v>44230</v>
      </c>
      <c r="B395" s="26">
        <v>5</v>
      </c>
      <c r="C395" s="22"/>
      <c r="D395" s="22"/>
      <c r="E395" s="22"/>
      <c r="F395" s="22"/>
    </row>
    <row r="396" spans="1:7" ht="14.5">
      <c r="A396" s="25">
        <v>44231</v>
      </c>
      <c r="B396" s="26">
        <v>5</v>
      </c>
      <c r="C396" s="22">
        <v>1</v>
      </c>
      <c r="D396" s="22"/>
      <c r="E396" s="22"/>
      <c r="F396" s="22"/>
    </row>
    <row r="397" spans="1:7" ht="15.5">
      <c r="A397" s="25">
        <v>44232</v>
      </c>
      <c r="B397" s="26">
        <v>5</v>
      </c>
      <c r="C397" s="22"/>
      <c r="D397" s="22"/>
      <c r="E397" s="22"/>
      <c r="F397" s="22"/>
      <c r="G397" s="77"/>
    </row>
    <row r="398" spans="1:7" ht="14.5">
      <c r="A398" s="25">
        <v>44233</v>
      </c>
      <c r="B398" s="26">
        <v>5</v>
      </c>
      <c r="C398" s="22"/>
      <c r="D398" s="22"/>
      <c r="E398" s="22"/>
      <c r="F398" s="22"/>
    </row>
    <row r="399" spans="1:7" ht="14.5">
      <c r="A399" s="25">
        <v>44234</v>
      </c>
      <c r="B399" s="26">
        <v>5</v>
      </c>
      <c r="C399" s="22"/>
      <c r="D399" s="22"/>
      <c r="E399" s="22"/>
      <c r="F399" s="22"/>
    </row>
    <row r="400" spans="1:7" ht="14.5">
      <c r="A400" s="25">
        <v>44235</v>
      </c>
      <c r="B400" s="26">
        <v>6</v>
      </c>
      <c r="C400" s="22"/>
      <c r="D400" s="22"/>
      <c r="E400" s="22"/>
      <c r="F400" s="22"/>
    </row>
    <row r="401" spans="1:6" ht="14.5">
      <c r="A401" s="25">
        <v>44236</v>
      </c>
      <c r="B401" s="26">
        <v>6</v>
      </c>
      <c r="C401" s="22"/>
      <c r="D401" s="22"/>
      <c r="E401" s="22"/>
      <c r="F401" s="22"/>
    </row>
    <row r="402" spans="1:6" ht="14.5">
      <c r="A402" s="25">
        <v>44237</v>
      </c>
      <c r="B402" s="26">
        <v>6</v>
      </c>
      <c r="C402" s="22"/>
      <c r="D402" s="22"/>
      <c r="E402" s="22"/>
      <c r="F402" s="22"/>
    </row>
    <row r="403" spans="1:6" ht="14.5">
      <c r="A403" s="25">
        <v>44238</v>
      </c>
      <c r="B403" s="26">
        <v>6</v>
      </c>
      <c r="C403" s="22"/>
      <c r="D403" s="22"/>
      <c r="E403" s="22"/>
      <c r="F403" s="22"/>
    </row>
    <row r="404" spans="1:6" ht="14.5">
      <c r="A404" s="25">
        <v>44239</v>
      </c>
      <c r="B404" s="26">
        <v>6</v>
      </c>
      <c r="C404" s="22"/>
      <c r="D404" s="22"/>
      <c r="E404" s="22"/>
      <c r="F404" s="22"/>
    </row>
    <row r="405" spans="1:6" ht="14.5">
      <c r="A405" s="25">
        <v>44240</v>
      </c>
      <c r="B405" s="26">
        <v>6</v>
      </c>
      <c r="C405" s="22"/>
      <c r="D405" s="22"/>
      <c r="E405" s="22"/>
      <c r="F405" s="22"/>
    </row>
    <row r="406" spans="1:6" ht="14.5">
      <c r="A406" s="25">
        <v>44241</v>
      </c>
      <c r="B406" s="26">
        <v>6</v>
      </c>
      <c r="C406" s="22"/>
      <c r="D406" s="22"/>
      <c r="E406" s="22"/>
      <c r="F406" s="22"/>
    </row>
    <row r="407" spans="1:6" ht="14.5">
      <c r="A407" s="25">
        <v>44242</v>
      </c>
      <c r="B407" s="26">
        <v>7</v>
      </c>
      <c r="C407" s="22"/>
      <c r="D407" s="22"/>
      <c r="E407" s="22"/>
      <c r="F407" s="22"/>
    </row>
    <row r="408" spans="1:6" ht="14.5">
      <c r="A408" s="25">
        <v>44243</v>
      </c>
      <c r="B408" s="26">
        <v>7</v>
      </c>
      <c r="C408" s="22">
        <v>1</v>
      </c>
      <c r="D408" s="22"/>
      <c r="E408" s="22"/>
      <c r="F408" s="22"/>
    </row>
    <row r="409" spans="1:6" ht="14.5">
      <c r="A409" s="25">
        <v>44244</v>
      </c>
      <c r="B409" s="26">
        <v>7</v>
      </c>
      <c r="C409" s="22"/>
      <c r="D409" s="22"/>
      <c r="E409" s="22"/>
      <c r="F409" s="35"/>
    </row>
    <row r="410" spans="1:6" ht="14.5">
      <c r="A410" s="25">
        <v>44245</v>
      </c>
      <c r="B410" s="26">
        <v>7</v>
      </c>
      <c r="C410" s="22"/>
      <c r="D410" s="22"/>
      <c r="E410" s="22"/>
      <c r="F410" s="22"/>
    </row>
    <row r="411" spans="1:6" ht="14.5">
      <c r="A411" s="25">
        <v>44246</v>
      </c>
      <c r="B411" s="26">
        <v>7</v>
      </c>
      <c r="C411" s="22"/>
      <c r="D411" s="22"/>
      <c r="E411" s="22"/>
      <c r="F411" s="22"/>
    </row>
    <row r="412" spans="1:6" ht="14.5">
      <c r="A412" s="25">
        <v>44247</v>
      </c>
      <c r="B412" s="26">
        <v>7</v>
      </c>
      <c r="C412" s="22"/>
      <c r="D412" s="22"/>
      <c r="E412" s="22"/>
      <c r="F412" s="22"/>
    </row>
    <row r="413" spans="1:6" ht="14.5">
      <c r="A413" s="25">
        <v>44248</v>
      </c>
      <c r="B413" s="26">
        <v>7</v>
      </c>
      <c r="C413" s="22"/>
      <c r="D413" s="22"/>
      <c r="E413" s="22"/>
      <c r="F413" s="22"/>
    </row>
    <row r="414" spans="1:6" ht="14.5">
      <c r="A414" s="25">
        <v>44249</v>
      </c>
      <c r="B414" s="26">
        <v>8</v>
      </c>
      <c r="C414" s="22"/>
      <c r="D414" s="22"/>
      <c r="E414" s="22"/>
      <c r="F414" s="22"/>
    </row>
    <row r="415" spans="1:6" ht="14.5">
      <c r="A415" s="25">
        <v>44250</v>
      </c>
      <c r="B415" s="26">
        <v>8</v>
      </c>
      <c r="C415" s="22"/>
      <c r="D415" s="22"/>
      <c r="E415" s="22"/>
      <c r="F415" s="22"/>
    </row>
    <row r="416" spans="1:6" ht="14.5">
      <c r="A416" s="25">
        <v>44251</v>
      </c>
      <c r="B416" s="26">
        <v>8</v>
      </c>
      <c r="C416" s="22"/>
      <c r="D416" s="22"/>
      <c r="E416" s="22"/>
      <c r="F416" s="22"/>
    </row>
    <row r="417" spans="1:6" ht="14.5">
      <c r="A417" s="25">
        <v>44252</v>
      </c>
      <c r="B417" s="26">
        <v>8</v>
      </c>
      <c r="C417" s="22"/>
      <c r="D417" s="22"/>
      <c r="E417" s="22"/>
      <c r="F417" s="22"/>
    </row>
    <row r="418" spans="1:6" ht="14.5">
      <c r="A418" s="25">
        <v>44253</v>
      </c>
      <c r="B418" s="26">
        <v>8</v>
      </c>
      <c r="C418" s="22"/>
      <c r="D418" s="22"/>
      <c r="E418" s="22"/>
      <c r="F418" s="22"/>
    </row>
    <row r="419" spans="1:6" ht="14.5">
      <c r="A419" s="25">
        <v>44254</v>
      </c>
      <c r="B419" s="26">
        <v>8</v>
      </c>
      <c r="C419" s="22"/>
      <c r="D419" s="22"/>
      <c r="E419" s="22"/>
      <c r="F419" s="22"/>
    </row>
    <row r="420" spans="1:6" ht="14.5">
      <c r="A420" s="25">
        <v>44255</v>
      </c>
      <c r="B420" s="26">
        <v>8</v>
      </c>
      <c r="C420" s="22"/>
      <c r="D420" s="22"/>
      <c r="E420" s="22"/>
      <c r="F420" s="22"/>
    </row>
    <row r="421" spans="1:6" ht="14.5">
      <c r="A421" s="25">
        <v>44256</v>
      </c>
      <c r="B421" s="26">
        <v>9</v>
      </c>
      <c r="C421" s="22"/>
      <c r="D421" s="22"/>
      <c r="E421" s="22"/>
      <c r="F421" s="22"/>
    </row>
    <row r="422" spans="1:6" ht="14.5">
      <c r="A422" s="25">
        <v>44257</v>
      </c>
      <c r="B422" s="26">
        <v>9</v>
      </c>
      <c r="C422" s="22"/>
      <c r="D422" s="22"/>
      <c r="E422" s="22"/>
      <c r="F422" s="22"/>
    </row>
    <row r="423" spans="1:6" ht="14.5">
      <c r="A423" s="25">
        <v>44258</v>
      </c>
      <c r="B423" s="26">
        <v>9</v>
      </c>
      <c r="C423" s="22"/>
      <c r="D423" s="22"/>
      <c r="E423" s="22"/>
      <c r="F423" s="22"/>
    </row>
    <row r="424" spans="1:6" ht="14.5">
      <c r="A424" s="25">
        <v>44259</v>
      </c>
      <c r="B424" s="26">
        <v>9</v>
      </c>
      <c r="C424" s="22"/>
      <c r="D424" s="22"/>
      <c r="E424" s="22"/>
      <c r="F424" s="22"/>
    </row>
    <row r="425" spans="1:6" ht="14.5">
      <c r="A425" s="25">
        <v>44260</v>
      </c>
      <c r="B425" s="26">
        <v>9</v>
      </c>
      <c r="C425" s="22"/>
      <c r="D425" s="22"/>
      <c r="E425" s="22"/>
      <c r="F425" s="22"/>
    </row>
    <row r="426" spans="1:6" ht="14.5">
      <c r="A426" s="25">
        <v>44261</v>
      </c>
      <c r="B426" s="26">
        <v>9</v>
      </c>
      <c r="C426" s="22"/>
      <c r="D426" s="22"/>
      <c r="E426" s="22"/>
      <c r="F426" s="22"/>
    </row>
    <row r="427" spans="1:6" ht="14.5">
      <c r="A427" s="25">
        <v>44262</v>
      </c>
      <c r="B427" s="26">
        <v>9</v>
      </c>
      <c r="C427" s="22"/>
      <c r="D427" s="22"/>
      <c r="E427" s="22"/>
      <c r="F427" s="22"/>
    </row>
    <row r="428" spans="1:6" ht="14.5">
      <c r="A428" s="25">
        <v>44263</v>
      </c>
      <c r="B428" s="26">
        <v>10</v>
      </c>
      <c r="C428" s="22"/>
      <c r="D428" s="22"/>
      <c r="E428" s="22"/>
      <c r="F428" s="22"/>
    </row>
    <row r="429" spans="1:6" ht="14.5">
      <c r="A429" s="25">
        <v>44264</v>
      </c>
      <c r="B429" s="26">
        <v>10</v>
      </c>
      <c r="C429" s="22"/>
      <c r="D429" s="22"/>
      <c r="E429" s="22"/>
      <c r="F429" s="22"/>
    </row>
    <row r="430" spans="1:6" ht="14.5">
      <c r="A430" s="25">
        <v>44265</v>
      </c>
      <c r="B430" s="26">
        <v>10</v>
      </c>
      <c r="C430" s="22"/>
      <c r="D430" s="22"/>
      <c r="E430" s="22"/>
      <c r="F430" s="22"/>
    </row>
    <row r="431" spans="1:6" ht="14.5">
      <c r="A431" s="25">
        <v>44266</v>
      </c>
      <c r="B431" s="26">
        <v>10</v>
      </c>
      <c r="C431" s="22"/>
      <c r="D431" s="22"/>
      <c r="E431" s="22"/>
      <c r="F431" s="22"/>
    </row>
    <row r="432" spans="1:6" ht="14.5">
      <c r="A432" s="25">
        <v>44267</v>
      </c>
      <c r="B432" s="26">
        <v>10</v>
      </c>
      <c r="C432" s="22"/>
      <c r="D432" s="22"/>
      <c r="E432" s="22"/>
      <c r="F432" s="22"/>
    </row>
    <row r="433" spans="1:7" ht="14.5">
      <c r="A433" s="25">
        <v>44268</v>
      </c>
      <c r="B433" s="26">
        <v>10</v>
      </c>
      <c r="C433" s="22"/>
      <c r="D433" s="22"/>
      <c r="E433" s="22"/>
      <c r="F433" s="22"/>
    </row>
    <row r="434" spans="1:7" ht="14.5">
      <c r="A434" s="25">
        <v>44269</v>
      </c>
      <c r="B434" s="26">
        <v>10</v>
      </c>
      <c r="C434" s="22"/>
      <c r="D434" s="22"/>
      <c r="E434" s="22"/>
      <c r="F434" s="22"/>
    </row>
    <row r="435" spans="1:7" ht="14.5">
      <c r="A435" s="25">
        <v>44270</v>
      </c>
      <c r="B435" s="26">
        <v>11</v>
      </c>
      <c r="C435" s="22"/>
      <c r="D435" s="22"/>
      <c r="E435" s="22"/>
      <c r="F435" s="22"/>
    </row>
    <row r="436" spans="1:7" ht="14.5">
      <c r="A436" s="25">
        <v>44271</v>
      </c>
      <c r="B436" s="26">
        <v>11</v>
      </c>
      <c r="C436" s="22"/>
      <c r="D436" s="22"/>
      <c r="E436" s="22"/>
      <c r="F436" s="22"/>
    </row>
    <row r="437" spans="1:7" ht="14.5">
      <c r="A437" s="25">
        <v>44272</v>
      </c>
      <c r="B437" s="26">
        <v>11</v>
      </c>
      <c r="C437" s="22"/>
      <c r="D437" s="22"/>
      <c r="E437" s="22"/>
      <c r="F437" s="22"/>
    </row>
    <row r="438" spans="1:7" ht="14.5">
      <c r="A438" s="25">
        <v>44273</v>
      </c>
      <c r="B438" s="26">
        <v>11</v>
      </c>
      <c r="C438" s="22"/>
      <c r="D438" s="22"/>
      <c r="E438" s="22"/>
      <c r="F438" s="22"/>
    </row>
    <row r="439" spans="1:7" ht="14.5">
      <c r="A439" s="25">
        <v>44274</v>
      </c>
      <c r="B439" s="26">
        <v>11</v>
      </c>
      <c r="C439" s="22"/>
      <c r="D439" s="22"/>
      <c r="E439" s="22"/>
      <c r="F439" s="22"/>
    </row>
    <row r="440" spans="1:7" ht="14.5">
      <c r="A440" s="25">
        <v>44275</v>
      </c>
      <c r="B440" s="26">
        <v>11</v>
      </c>
      <c r="C440" s="22"/>
      <c r="D440" s="22"/>
      <c r="E440" s="22"/>
      <c r="F440" s="22"/>
    </row>
    <row r="441" spans="1:7" ht="14.5">
      <c r="A441" s="25">
        <v>44276</v>
      </c>
      <c r="B441" s="26">
        <v>11</v>
      </c>
      <c r="C441" s="22"/>
      <c r="D441" s="22"/>
      <c r="E441" s="22"/>
      <c r="F441" s="22"/>
    </row>
    <row r="442" spans="1:7" ht="14.5">
      <c r="A442" s="25">
        <v>44277</v>
      </c>
      <c r="B442" s="26">
        <v>12</v>
      </c>
      <c r="C442" s="22"/>
      <c r="D442" s="22"/>
      <c r="E442" s="22"/>
      <c r="F442" s="22"/>
    </row>
    <row r="443" spans="1:7" ht="14.5">
      <c r="A443" s="25">
        <v>44278</v>
      </c>
      <c r="B443" s="26">
        <v>12</v>
      </c>
      <c r="C443" s="22"/>
      <c r="D443" s="22"/>
      <c r="E443" s="22"/>
      <c r="F443" s="22"/>
    </row>
    <row r="444" spans="1:7" ht="15.5">
      <c r="A444" s="25">
        <v>44279</v>
      </c>
      <c r="B444" s="26">
        <v>12</v>
      </c>
      <c r="C444" s="22"/>
      <c r="D444" s="22"/>
      <c r="E444" s="22"/>
      <c r="F444" s="22"/>
      <c r="G444" s="77"/>
    </row>
    <row r="445" spans="1:7" ht="14.5">
      <c r="A445" s="25">
        <v>44280</v>
      </c>
      <c r="B445" s="26">
        <v>12</v>
      </c>
      <c r="C445" s="22"/>
      <c r="D445" s="22"/>
      <c r="E445" s="22"/>
      <c r="F445" s="22"/>
    </row>
    <row r="446" spans="1:7" ht="14.5">
      <c r="A446" s="25">
        <v>44281</v>
      </c>
      <c r="B446" s="26">
        <v>12</v>
      </c>
      <c r="C446" s="22"/>
      <c r="D446" s="22"/>
      <c r="E446" s="22"/>
      <c r="F446" s="22"/>
    </row>
    <row r="447" spans="1:7" ht="14.5">
      <c r="A447" s="25">
        <v>44282</v>
      </c>
      <c r="B447" s="26">
        <v>12</v>
      </c>
      <c r="C447" s="22"/>
      <c r="D447" s="22"/>
      <c r="E447" s="22"/>
      <c r="F447" s="22"/>
    </row>
    <row r="448" spans="1:7" ht="14.5">
      <c r="A448" s="25">
        <v>44283</v>
      </c>
      <c r="B448" s="26">
        <v>12</v>
      </c>
      <c r="C448" s="22"/>
      <c r="D448" s="22"/>
      <c r="E448" s="22"/>
      <c r="F448" s="22"/>
    </row>
    <row r="449" spans="1:6" ht="14.5">
      <c r="A449" s="25">
        <v>44284</v>
      </c>
      <c r="B449" s="26">
        <v>13</v>
      </c>
      <c r="C449" s="22"/>
      <c r="D449" s="22"/>
      <c r="E449" s="22"/>
      <c r="F449" s="22"/>
    </row>
    <row r="450" spans="1:6" ht="14.5">
      <c r="A450" s="25">
        <v>44285</v>
      </c>
      <c r="B450" s="26">
        <v>13</v>
      </c>
      <c r="C450" s="22">
        <v>1</v>
      </c>
      <c r="D450" s="22"/>
      <c r="E450" s="22"/>
      <c r="F450" s="22"/>
    </row>
    <row r="451" spans="1:6" ht="14.5">
      <c r="A451" s="25">
        <v>44286</v>
      </c>
      <c r="B451" s="26">
        <v>13</v>
      </c>
      <c r="C451" s="22"/>
      <c r="D451" s="22"/>
      <c r="E451" s="22"/>
      <c r="F451" s="22"/>
    </row>
    <row r="452" spans="1:6" ht="14.5">
      <c r="A452" s="25">
        <v>44287</v>
      </c>
      <c r="B452" s="26">
        <v>13</v>
      </c>
      <c r="C452" s="22"/>
      <c r="D452" s="22"/>
      <c r="E452" s="22"/>
      <c r="F452" s="22"/>
    </row>
    <row r="453" spans="1:6" ht="14.5">
      <c r="A453" s="25">
        <v>44288</v>
      </c>
      <c r="B453" s="26">
        <v>13</v>
      </c>
      <c r="C453" s="22"/>
      <c r="D453" s="22"/>
      <c r="E453" s="22"/>
      <c r="F453" s="22"/>
    </row>
    <row r="454" spans="1:6" ht="14.5">
      <c r="A454" s="25">
        <v>44289</v>
      </c>
      <c r="B454" s="26">
        <v>13</v>
      </c>
      <c r="C454" s="22"/>
      <c r="D454" s="22"/>
      <c r="E454" s="22"/>
      <c r="F454" s="22"/>
    </row>
    <row r="455" spans="1:6" ht="14.5">
      <c r="A455" s="25">
        <v>44290</v>
      </c>
      <c r="B455" s="26">
        <v>13</v>
      </c>
      <c r="C455" s="22"/>
      <c r="D455" s="22"/>
      <c r="E455" s="22"/>
      <c r="F455" s="22"/>
    </row>
    <row r="456" spans="1:6" ht="14.5">
      <c r="A456" s="25">
        <v>44291</v>
      </c>
      <c r="B456" s="26">
        <v>14</v>
      </c>
      <c r="C456" s="22"/>
      <c r="D456" s="22"/>
      <c r="E456" s="22"/>
      <c r="F456" s="22"/>
    </row>
    <row r="457" spans="1:6" ht="14.5">
      <c r="A457" s="25">
        <v>44292</v>
      </c>
      <c r="B457" s="26">
        <v>14</v>
      </c>
      <c r="C457" s="22"/>
      <c r="D457" s="22"/>
      <c r="E457" s="22"/>
      <c r="F457" s="22"/>
    </row>
    <row r="458" spans="1:6" ht="14.5">
      <c r="A458" s="25">
        <v>44293</v>
      </c>
      <c r="B458" s="26">
        <v>14</v>
      </c>
      <c r="C458" s="22">
        <v>1</v>
      </c>
      <c r="D458" s="22"/>
      <c r="E458" s="22"/>
      <c r="F458" s="22"/>
    </row>
    <row r="459" spans="1:6" ht="14.5">
      <c r="A459" s="25">
        <v>44294</v>
      </c>
      <c r="B459" s="26">
        <v>14</v>
      </c>
      <c r="C459" s="22"/>
      <c r="D459" s="22"/>
      <c r="E459" s="22"/>
      <c r="F459" s="22"/>
    </row>
    <row r="460" spans="1:6" ht="14.5">
      <c r="A460" s="25">
        <v>44295</v>
      </c>
      <c r="B460" s="26">
        <v>14</v>
      </c>
      <c r="C460" s="22"/>
      <c r="D460" s="22"/>
      <c r="E460" s="22"/>
      <c r="F460" s="22"/>
    </row>
    <row r="461" spans="1:6" ht="14.5">
      <c r="A461" s="25">
        <v>44296</v>
      </c>
      <c r="B461" s="26">
        <v>14</v>
      </c>
      <c r="C461" s="22"/>
      <c r="D461" s="22"/>
      <c r="E461" s="22"/>
      <c r="F461" s="22"/>
    </row>
    <row r="462" spans="1:6" ht="14.5">
      <c r="A462" s="25">
        <v>44297</v>
      </c>
      <c r="B462" s="26">
        <v>14</v>
      </c>
      <c r="C462" s="22"/>
      <c r="D462" s="22"/>
      <c r="E462" s="22"/>
      <c r="F462" s="22"/>
    </row>
    <row r="463" spans="1:6" ht="14.5">
      <c r="A463" s="25">
        <v>44298</v>
      </c>
      <c r="B463" s="26">
        <v>15</v>
      </c>
      <c r="C463" s="22"/>
      <c r="D463" s="22"/>
      <c r="E463" s="22"/>
      <c r="F463" s="22"/>
    </row>
    <row r="464" spans="1:6" ht="14.5">
      <c r="A464" s="25">
        <v>44299</v>
      </c>
      <c r="B464" s="26">
        <v>15</v>
      </c>
      <c r="C464" s="22"/>
      <c r="D464" s="22"/>
      <c r="E464" s="22"/>
      <c r="F464" s="22"/>
    </row>
    <row r="465" spans="1:7" ht="14.5">
      <c r="A465" s="25">
        <v>44300</v>
      </c>
      <c r="B465" s="26">
        <v>15</v>
      </c>
      <c r="C465" s="22"/>
      <c r="D465" s="22"/>
      <c r="E465" s="22"/>
      <c r="F465" s="22"/>
    </row>
    <row r="466" spans="1:7" ht="14.5">
      <c r="A466" s="25">
        <v>44301</v>
      </c>
      <c r="B466" s="26">
        <v>15</v>
      </c>
      <c r="C466" s="22"/>
      <c r="D466" s="22"/>
      <c r="E466" s="22"/>
      <c r="F466" s="22"/>
    </row>
    <row r="467" spans="1:7" ht="14.5">
      <c r="A467" s="25">
        <v>44302</v>
      </c>
      <c r="B467" s="26">
        <v>15</v>
      </c>
      <c r="C467" s="22"/>
      <c r="D467" s="22"/>
      <c r="E467" s="22"/>
      <c r="F467" s="22"/>
    </row>
    <row r="468" spans="1:7" ht="14.5">
      <c r="A468" s="25">
        <v>44303</v>
      </c>
      <c r="B468" s="26">
        <v>15</v>
      </c>
      <c r="C468" s="22"/>
      <c r="D468" s="22"/>
      <c r="E468" s="22"/>
      <c r="F468" s="22"/>
    </row>
    <row r="469" spans="1:7" ht="14.5">
      <c r="A469" s="25">
        <v>44304</v>
      </c>
      <c r="B469" s="26">
        <v>15</v>
      </c>
      <c r="C469" s="22"/>
      <c r="D469" s="22"/>
      <c r="E469" s="22"/>
      <c r="F469" s="22"/>
    </row>
    <row r="470" spans="1:7" ht="14.5">
      <c r="A470" s="25">
        <v>44305</v>
      </c>
      <c r="B470" s="26">
        <v>16</v>
      </c>
      <c r="C470" s="22">
        <v>2</v>
      </c>
      <c r="D470" s="22"/>
      <c r="E470" s="22"/>
      <c r="F470" s="22"/>
    </row>
    <row r="471" spans="1:7" ht="14.5">
      <c r="A471" s="25">
        <v>44306</v>
      </c>
      <c r="B471" s="26">
        <v>16</v>
      </c>
      <c r="C471" s="22"/>
      <c r="D471" s="22"/>
      <c r="E471" s="22"/>
      <c r="F471" s="22"/>
      <c r="G471" s="126"/>
    </row>
    <row r="472" spans="1:7" ht="14.5">
      <c r="A472" s="25">
        <v>44307</v>
      </c>
      <c r="B472" s="26">
        <v>16</v>
      </c>
      <c r="C472" s="22">
        <v>1</v>
      </c>
      <c r="D472" s="22"/>
      <c r="E472" s="22"/>
      <c r="F472" s="22"/>
      <c r="G472" s="126"/>
    </row>
    <row r="473" spans="1:7" ht="14.5">
      <c r="A473" s="25">
        <v>44308</v>
      </c>
      <c r="B473" s="26">
        <v>16</v>
      </c>
      <c r="C473" s="22"/>
      <c r="D473" s="22"/>
      <c r="E473" s="22"/>
      <c r="F473" s="22"/>
    </row>
    <row r="474" spans="1:7" ht="14.5">
      <c r="A474" s="25">
        <v>44309</v>
      </c>
      <c r="B474" s="26">
        <v>16</v>
      </c>
      <c r="C474" s="22"/>
      <c r="D474" s="22"/>
      <c r="E474" s="22"/>
      <c r="F474" s="22"/>
    </row>
    <row r="475" spans="1:7" ht="14.5">
      <c r="A475" s="25">
        <v>44310</v>
      </c>
      <c r="B475" s="26">
        <v>16</v>
      </c>
      <c r="C475" s="22"/>
      <c r="D475" s="22"/>
      <c r="E475" s="22"/>
      <c r="F475" s="22"/>
    </row>
    <row r="476" spans="1:7" ht="14.5">
      <c r="A476" s="25">
        <v>44311</v>
      </c>
      <c r="B476" s="26">
        <v>16</v>
      </c>
      <c r="C476" s="22"/>
      <c r="D476" s="22"/>
      <c r="E476" s="22"/>
      <c r="F476" s="22"/>
    </row>
    <row r="477" spans="1:7" ht="14.5">
      <c r="A477" s="25">
        <v>44312</v>
      </c>
      <c r="B477" s="26">
        <v>17</v>
      </c>
      <c r="C477" s="22"/>
      <c r="D477" s="22"/>
      <c r="E477" s="22"/>
      <c r="F477" s="22"/>
    </row>
    <row r="478" spans="1:7" ht="14.5">
      <c r="A478" s="25">
        <v>44313</v>
      </c>
      <c r="B478" s="26">
        <v>17</v>
      </c>
      <c r="C478" s="22"/>
      <c r="D478" s="22"/>
      <c r="E478" s="22"/>
      <c r="F478" s="22"/>
    </row>
    <row r="479" spans="1:7" ht="14.5">
      <c r="A479" s="25">
        <v>44314</v>
      </c>
      <c r="B479" s="26">
        <v>17</v>
      </c>
      <c r="C479" s="22"/>
      <c r="D479" s="22"/>
      <c r="E479" s="22"/>
      <c r="F479" s="22"/>
    </row>
    <row r="480" spans="1:7" ht="14.5">
      <c r="A480" s="25">
        <v>44315</v>
      </c>
      <c r="B480" s="26">
        <v>17</v>
      </c>
      <c r="C480" s="22"/>
      <c r="D480" s="22"/>
      <c r="E480" s="22"/>
      <c r="F480" s="22"/>
    </row>
    <row r="481" spans="1:7" ht="14.5">
      <c r="A481" s="25">
        <v>44316</v>
      </c>
      <c r="B481" s="26">
        <v>17</v>
      </c>
      <c r="C481" s="22">
        <v>1</v>
      </c>
      <c r="D481" s="22"/>
      <c r="E481" s="22"/>
      <c r="F481" s="22"/>
    </row>
    <row r="482" spans="1:7" ht="15.5">
      <c r="A482" s="25">
        <v>44317</v>
      </c>
      <c r="B482" s="26">
        <v>17</v>
      </c>
      <c r="C482" s="22"/>
      <c r="D482" s="22"/>
      <c r="E482" s="22"/>
      <c r="F482" s="22"/>
      <c r="G482" s="77"/>
    </row>
    <row r="483" spans="1:7" ht="14.5">
      <c r="A483" s="25">
        <v>44318</v>
      </c>
      <c r="B483" s="26">
        <v>17</v>
      </c>
      <c r="C483" s="22"/>
      <c r="D483" s="22"/>
      <c r="E483" s="22"/>
      <c r="F483" s="22"/>
      <c r="G483" s="17"/>
    </row>
    <row r="484" spans="1:7" ht="14.5">
      <c r="A484" s="25">
        <v>44319</v>
      </c>
      <c r="B484" s="26">
        <v>18</v>
      </c>
      <c r="C484" s="22"/>
      <c r="D484" s="22"/>
      <c r="E484" s="22"/>
      <c r="F484" s="22"/>
    </row>
    <row r="485" spans="1:7" ht="14.5">
      <c r="A485" s="25">
        <v>44320</v>
      </c>
      <c r="B485" s="26">
        <v>18</v>
      </c>
      <c r="C485" s="22"/>
      <c r="D485" s="22"/>
      <c r="E485" s="22"/>
      <c r="F485" s="22"/>
    </row>
    <row r="486" spans="1:7" ht="14.5">
      <c r="A486" s="25">
        <v>44321</v>
      </c>
      <c r="B486" s="26">
        <v>18</v>
      </c>
      <c r="C486" s="22"/>
      <c r="D486" s="22"/>
      <c r="E486" s="22"/>
      <c r="F486" s="22"/>
    </row>
    <row r="487" spans="1:7" ht="14.5">
      <c r="A487" s="25">
        <v>44322</v>
      </c>
      <c r="B487" s="26">
        <v>18</v>
      </c>
      <c r="C487" s="22">
        <v>5</v>
      </c>
      <c r="D487" s="22"/>
      <c r="E487" s="22"/>
      <c r="F487" s="22"/>
    </row>
    <row r="488" spans="1:7" ht="14.5">
      <c r="A488" s="25">
        <v>44323</v>
      </c>
      <c r="B488" s="26">
        <v>18</v>
      </c>
      <c r="C488" s="22">
        <v>2</v>
      </c>
      <c r="D488" s="22"/>
      <c r="E488" s="22"/>
      <c r="F488" s="22"/>
    </row>
    <row r="489" spans="1:7" ht="14.5">
      <c r="A489" s="25">
        <v>44324</v>
      </c>
      <c r="B489" s="26">
        <v>18</v>
      </c>
      <c r="C489" s="22"/>
      <c r="D489" s="22"/>
      <c r="E489" s="22"/>
      <c r="F489" s="22"/>
    </row>
    <row r="490" spans="1:7" ht="14.5">
      <c r="A490" s="25">
        <v>44325</v>
      </c>
      <c r="B490" s="26">
        <v>18</v>
      </c>
      <c r="C490" s="22"/>
      <c r="D490" s="22"/>
      <c r="E490" s="22"/>
      <c r="F490" s="22"/>
    </row>
    <row r="491" spans="1:7" ht="14.5">
      <c r="A491" s="25">
        <v>44326</v>
      </c>
      <c r="B491" s="26">
        <v>19</v>
      </c>
      <c r="C491" s="22"/>
      <c r="D491" s="22"/>
      <c r="E491" s="22"/>
      <c r="F491" s="22"/>
    </row>
    <row r="492" spans="1:7" ht="14.5">
      <c r="A492" s="25">
        <v>44327</v>
      </c>
      <c r="B492" s="26">
        <v>19</v>
      </c>
      <c r="C492" s="22">
        <v>5</v>
      </c>
      <c r="D492" s="22"/>
      <c r="E492" s="22"/>
      <c r="F492" s="22"/>
    </row>
    <row r="493" spans="1:7" ht="14.5">
      <c r="A493" s="25">
        <v>44328</v>
      </c>
      <c r="B493" s="26">
        <v>19</v>
      </c>
      <c r="C493" s="22"/>
      <c r="D493" s="22"/>
      <c r="E493" s="22"/>
      <c r="F493" s="22"/>
    </row>
    <row r="494" spans="1:7" ht="14.5">
      <c r="A494" s="25">
        <v>44329</v>
      </c>
      <c r="B494" s="26">
        <v>19</v>
      </c>
      <c r="C494" s="22">
        <v>6</v>
      </c>
      <c r="D494" s="22"/>
      <c r="E494" s="22"/>
      <c r="F494" s="22"/>
    </row>
    <row r="495" spans="1:7" ht="14.5">
      <c r="A495" s="25">
        <v>44330</v>
      </c>
      <c r="B495" s="26">
        <v>19</v>
      </c>
      <c r="C495" s="22"/>
      <c r="D495" s="22"/>
      <c r="E495" s="22"/>
      <c r="F495" s="22"/>
    </row>
    <row r="496" spans="1:7" ht="14.5">
      <c r="A496" s="25">
        <v>44331</v>
      </c>
      <c r="B496" s="26">
        <v>19</v>
      </c>
      <c r="C496" s="22"/>
      <c r="D496" s="22"/>
      <c r="E496" s="22"/>
      <c r="F496" s="22"/>
    </row>
    <row r="497" spans="1:7" ht="14.5">
      <c r="A497" s="25">
        <v>44332</v>
      </c>
      <c r="B497" s="26">
        <v>19</v>
      </c>
      <c r="C497" s="22"/>
      <c r="D497" s="22"/>
      <c r="E497" s="22"/>
      <c r="F497" s="22"/>
    </row>
    <row r="498" spans="1:7" ht="14.5">
      <c r="A498" s="25">
        <v>44333</v>
      </c>
      <c r="B498" s="26">
        <v>20</v>
      </c>
      <c r="C498" s="22"/>
      <c r="D498" s="22"/>
      <c r="E498" s="22"/>
      <c r="F498" s="22"/>
    </row>
    <row r="499" spans="1:7" ht="14.5">
      <c r="A499" s="25">
        <v>44334</v>
      </c>
      <c r="B499" s="26">
        <v>20</v>
      </c>
      <c r="C499" s="22"/>
      <c r="D499" s="22"/>
      <c r="E499" s="22"/>
      <c r="F499" s="22"/>
    </row>
    <row r="500" spans="1:7" ht="14.5">
      <c r="A500" s="25">
        <v>44335</v>
      </c>
      <c r="B500" s="26">
        <v>20</v>
      </c>
      <c r="C500" s="22">
        <v>8</v>
      </c>
      <c r="D500" s="22"/>
      <c r="E500" s="22"/>
      <c r="F500" s="22"/>
    </row>
    <row r="501" spans="1:7" ht="14.5">
      <c r="A501" s="25">
        <v>44336</v>
      </c>
      <c r="B501" s="26">
        <v>20</v>
      </c>
      <c r="C501" s="22">
        <v>2</v>
      </c>
      <c r="D501" s="22"/>
      <c r="E501" s="22"/>
      <c r="F501" s="22"/>
    </row>
    <row r="502" spans="1:7" ht="15.5">
      <c r="A502" s="25">
        <v>44337</v>
      </c>
      <c r="B502" s="26">
        <v>20</v>
      </c>
      <c r="C502" s="22">
        <v>1</v>
      </c>
      <c r="D502" s="22"/>
      <c r="E502" s="22"/>
      <c r="F502" s="22"/>
      <c r="G502" s="77"/>
    </row>
    <row r="503" spans="1:7" ht="14.5">
      <c r="A503" s="25">
        <v>44338</v>
      </c>
      <c r="B503" s="26">
        <v>20</v>
      </c>
      <c r="C503" s="22"/>
      <c r="D503" s="22"/>
      <c r="E503" s="22"/>
      <c r="F503" s="22"/>
    </row>
    <row r="504" spans="1:7" ht="14.5">
      <c r="A504" s="25">
        <v>44339</v>
      </c>
      <c r="B504" s="26">
        <v>20</v>
      </c>
      <c r="C504" s="22"/>
      <c r="D504" s="22"/>
      <c r="E504" s="22"/>
      <c r="F504" s="22"/>
    </row>
    <row r="505" spans="1:7" ht="14.5">
      <c r="A505" s="25">
        <v>44340</v>
      </c>
      <c r="B505" s="26">
        <v>21</v>
      </c>
      <c r="C505" s="22">
        <v>3</v>
      </c>
      <c r="D505" s="22"/>
      <c r="E505" s="22"/>
      <c r="F505" s="22"/>
    </row>
    <row r="506" spans="1:7" ht="14.5">
      <c r="A506" s="25">
        <v>44341</v>
      </c>
      <c r="B506" s="26">
        <v>21</v>
      </c>
      <c r="C506" s="22">
        <v>3</v>
      </c>
      <c r="D506" s="22">
        <v>1</v>
      </c>
      <c r="E506" s="22"/>
      <c r="F506" s="22"/>
    </row>
    <row r="507" spans="1:7" ht="14.5">
      <c r="A507" s="25">
        <v>44342</v>
      </c>
      <c r="B507" s="26">
        <v>21</v>
      </c>
      <c r="C507" s="22">
        <v>2</v>
      </c>
      <c r="D507" s="22"/>
      <c r="E507" s="22"/>
      <c r="F507" s="22"/>
    </row>
    <row r="508" spans="1:7" ht="14.5">
      <c r="A508" s="25">
        <v>44343</v>
      </c>
      <c r="B508" s="26">
        <v>21</v>
      </c>
      <c r="C508" s="22"/>
      <c r="D508" s="22"/>
      <c r="E508" s="22"/>
      <c r="F508" s="22"/>
    </row>
    <row r="509" spans="1:7" ht="14.5">
      <c r="A509" s="25">
        <v>44344</v>
      </c>
      <c r="B509" s="26">
        <v>21</v>
      </c>
      <c r="C509" s="22">
        <v>1</v>
      </c>
      <c r="D509" s="22"/>
      <c r="E509" s="22"/>
      <c r="F509" s="22"/>
    </row>
    <row r="510" spans="1:7" ht="14.5">
      <c r="A510" s="25">
        <v>44345</v>
      </c>
      <c r="B510" s="26">
        <v>21</v>
      </c>
      <c r="C510" s="22"/>
      <c r="D510" s="22"/>
      <c r="E510" s="22"/>
      <c r="F510" s="22"/>
    </row>
    <row r="511" spans="1:7" ht="14.5">
      <c r="A511" s="25">
        <v>44346</v>
      </c>
      <c r="B511" s="26">
        <v>21</v>
      </c>
      <c r="C511" s="22"/>
      <c r="D511" s="22"/>
      <c r="E511" s="22"/>
      <c r="F511" s="22"/>
    </row>
    <row r="512" spans="1:7" ht="14.5">
      <c r="A512" s="25">
        <v>44347</v>
      </c>
      <c r="B512" s="26">
        <v>22</v>
      </c>
      <c r="C512" s="22"/>
      <c r="D512" s="22"/>
      <c r="E512" s="22"/>
      <c r="F512" s="22"/>
    </row>
    <row r="513" spans="1:6" ht="14.5">
      <c r="A513" s="25">
        <v>44348</v>
      </c>
      <c r="B513" s="26">
        <v>22</v>
      </c>
      <c r="C513" s="22">
        <v>2</v>
      </c>
      <c r="D513" s="22"/>
      <c r="E513" s="22"/>
      <c r="F513" s="22"/>
    </row>
    <row r="514" spans="1:6" ht="14.5">
      <c r="A514" s="25">
        <v>44349</v>
      </c>
      <c r="B514" s="26">
        <v>22</v>
      </c>
      <c r="C514" s="22">
        <v>1</v>
      </c>
      <c r="D514" s="22"/>
      <c r="E514" s="22"/>
      <c r="F514" s="22"/>
    </row>
    <row r="515" spans="1:6" ht="14.5">
      <c r="A515" s="25">
        <v>44350</v>
      </c>
      <c r="B515" s="26">
        <v>22</v>
      </c>
      <c r="C515" s="22"/>
      <c r="D515" s="22"/>
      <c r="E515" s="22"/>
      <c r="F515" s="22"/>
    </row>
    <row r="516" spans="1:6" ht="14.5">
      <c r="A516" s="25">
        <v>44351</v>
      </c>
      <c r="B516" s="26">
        <v>22</v>
      </c>
      <c r="C516" s="22"/>
      <c r="D516" s="22"/>
      <c r="E516" s="22"/>
      <c r="F516" s="22"/>
    </row>
    <row r="517" spans="1:6" ht="14.5">
      <c r="A517" s="25">
        <v>44352</v>
      </c>
      <c r="B517" s="26">
        <v>22</v>
      </c>
      <c r="C517" s="22"/>
      <c r="D517" s="22"/>
      <c r="E517" s="22"/>
      <c r="F517" s="22"/>
    </row>
    <row r="518" spans="1:6" ht="14.5">
      <c r="A518" s="25">
        <v>44353</v>
      </c>
      <c r="B518" s="26">
        <v>22</v>
      </c>
      <c r="C518" s="22"/>
      <c r="D518" s="22"/>
      <c r="E518" s="22"/>
      <c r="F518" s="22"/>
    </row>
    <row r="519" spans="1:6" ht="14.5">
      <c r="A519" s="25">
        <v>44354</v>
      </c>
      <c r="B519" s="26">
        <v>23</v>
      </c>
      <c r="C519" s="22">
        <v>3</v>
      </c>
      <c r="D519" s="22"/>
      <c r="E519" s="22"/>
      <c r="F519" s="22"/>
    </row>
    <row r="520" spans="1:6" ht="14.5">
      <c r="A520" s="25">
        <v>44355</v>
      </c>
      <c r="B520" s="26">
        <v>23</v>
      </c>
      <c r="C520" s="22"/>
      <c r="D520" s="22"/>
      <c r="E520" s="22"/>
      <c r="F520" s="22"/>
    </row>
    <row r="521" spans="1:6" ht="14.5">
      <c r="A521" s="25">
        <v>44356</v>
      </c>
      <c r="B521" s="26">
        <v>23</v>
      </c>
      <c r="C521" s="22"/>
      <c r="D521" s="22"/>
      <c r="E521" s="22"/>
      <c r="F521" s="22"/>
    </row>
    <row r="522" spans="1:6" ht="14.5">
      <c r="A522" s="25">
        <v>44357</v>
      </c>
      <c r="B522" s="26">
        <v>23</v>
      </c>
      <c r="C522" s="22"/>
      <c r="D522" s="22"/>
      <c r="E522" s="22"/>
      <c r="F522" s="22"/>
    </row>
    <row r="523" spans="1:6" ht="14.5">
      <c r="A523" s="25">
        <v>44358</v>
      </c>
      <c r="B523" s="26">
        <v>23</v>
      </c>
      <c r="C523" s="22"/>
      <c r="D523" s="22"/>
      <c r="E523" s="22"/>
      <c r="F523" s="22"/>
    </row>
    <row r="524" spans="1:6" ht="14.5">
      <c r="A524" s="25">
        <v>44359</v>
      </c>
      <c r="B524" s="26">
        <v>23</v>
      </c>
      <c r="C524" s="22"/>
      <c r="D524" s="22"/>
      <c r="E524" s="22"/>
      <c r="F524" s="22"/>
    </row>
    <row r="525" spans="1:6" ht="14.5">
      <c r="A525" s="25">
        <v>44360</v>
      </c>
      <c r="B525" s="26">
        <v>23</v>
      </c>
      <c r="C525" s="22"/>
      <c r="D525" s="22"/>
      <c r="E525" s="22"/>
      <c r="F525" s="22"/>
    </row>
    <row r="526" spans="1:6" ht="14.5">
      <c r="A526" s="25">
        <v>44361</v>
      </c>
      <c r="B526" s="26">
        <v>24</v>
      </c>
      <c r="C526" s="22"/>
      <c r="D526" s="22"/>
      <c r="E526" s="22"/>
      <c r="F526" s="22"/>
    </row>
    <row r="527" spans="1:6" ht="14.5">
      <c r="A527" s="25">
        <v>44362</v>
      </c>
      <c r="B527" s="26">
        <v>24</v>
      </c>
      <c r="C527" s="22"/>
      <c r="D527" s="22"/>
      <c r="E527" s="22"/>
      <c r="F527" s="22"/>
    </row>
    <row r="528" spans="1:6" ht="14.5">
      <c r="A528" s="25">
        <v>44363</v>
      </c>
      <c r="B528" s="26">
        <v>24</v>
      </c>
      <c r="C528" s="22"/>
      <c r="D528" s="22"/>
      <c r="E528" s="22"/>
      <c r="F528" s="22"/>
    </row>
    <row r="529" spans="1:6" ht="14.5">
      <c r="A529" s="25">
        <v>44364</v>
      </c>
      <c r="B529" s="26">
        <v>24</v>
      </c>
      <c r="C529" s="22">
        <v>1</v>
      </c>
      <c r="D529" s="22"/>
      <c r="E529" s="22"/>
      <c r="F529" s="22"/>
    </row>
    <row r="530" spans="1:6" ht="14.5">
      <c r="A530" s="25">
        <v>44365</v>
      </c>
      <c r="B530" s="26">
        <v>24</v>
      </c>
      <c r="C530" s="22"/>
      <c r="D530" s="22"/>
      <c r="E530" s="22"/>
      <c r="F530" s="22"/>
    </row>
    <row r="531" spans="1:6" ht="14.5">
      <c r="A531" s="25">
        <v>44366</v>
      </c>
      <c r="B531" s="26">
        <v>24</v>
      </c>
      <c r="C531" s="22"/>
      <c r="D531" s="22"/>
      <c r="E531" s="22"/>
      <c r="F531" s="22"/>
    </row>
    <row r="532" spans="1:6" ht="14.5">
      <c r="A532" s="25">
        <v>44367</v>
      </c>
      <c r="B532" s="26">
        <v>24</v>
      </c>
      <c r="C532" s="22"/>
      <c r="D532" s="22"/>
      <c r="E532" s="22"/>
      <c r="F532" s="22"/>
    </row>
    <row r="533" spans="1:6" ht="14.5">
      <c r="A533" s="25">
        <v>44368</v>
      </c>
      <c r="B533" s="26">
        <v>25</v>
      </c>
      <c r="C533" s="22"/>
      <c r="D533" s="22"/>
      <c r="E533" s="22"/>
      <c r="F533" s="22"/>
    </row>
    <row r="534" spans="1:6" ht="14.5">
      <c r="A534" s="25">
        <v>44369</v>
      </c>
      <c r="B534" s="26">
        <v>25</v>
      </c>
      <c r="C534" s="22">
        <v>1</v>
      </c>
      <c r="D534" s="22"/>
      <c r="E534" s="22"/>
      <c r="F534" s="22"/>
    </row>
    <row r="535" spans="1:6" ht="14.5">
      <c r="A535" s="25">
        <v>44370</v>
      </c>
      <c r="B535" s="26">
        <v>25</v>
      </c>
      <c r="C535" s="22"/>
      <c r="D535" s="22"/>
      <c r="E535" s="94"/>
      <c r="F535" s="22"/>
    </row>
    <row r="536" spans="1:6" ht="14.5">
      <c r="A536" s="25">
        <v>44371</v>
      </c>
      <c r="B536" s="26">
        <v>25</v>
      </c>
      <c r="C536" s="22"/>
      <c r="D536" s="22"/>
      <c r="E536" s="94"/>
      <c r="F536" s="22"/>
    </row>
    <row r="537" spans="1:6" ht="14.5">
      <c r="A537" s="25">
        <v>44372</v>
      </c>
      <c r="B537" s="26">
        <v>25</v>
      </c>
      <c r="C537" s="22"/>
      <c r="D537" s="22"/>
      <c r="E537" s="94"/>
      <c r="F537" s="22"/>
    </row>
    <row r="538" spans="1:6" ht="14.5">
      <c r="A538" s="25">
        <v>44373</v>
      </c>
      <c r="B538" s="26">
        <v>25</v>
      </c>
      <c r="C538" s="22"/>
      <c r="D538" s="22"/>
      <c r="E538" s="94"/>
      <c r="F538" s="22"/>
    </row>
    <row r="539" spans="1:6" ht="14.5">
      <c r="A539" s="25">
        <v>44374</v>
      </c>
      <c r="B539" s="26">
        <v>25</v>
      </c>
      <c r="C539" s="22"/>
      <c r="D539" s="22"/>
      <c r="E539" s="94"/>
      <c r="F539" s="22"/>
    </row>
    <row r="540" spans="1:6" ht="14.5">
      <c r="A540" s="25">
        <v>44375</v>
      </c>
      <c r="B540" s="26">
        <v>25</v>
      </c>
      <c r="C540" s="22"/>
      <c r="D540" s="22"/>
      <c r="E540" s="94"/>
      <c r="F540" s="22"/>
    </row>
    <row r="541" spans="1:6" ht="14.5">
      <c r="A541" s="25">
        <v>44376</v>
      </c>
      <c r="B541" s="26">
        <v>26</v>
      </c>
      <c r="C541" s="22"/>
      <c r="D541" s="22"/>
      <c r="E541" s="94"/>
      <c r="F541" s="22"/>
    </row>
    <row r="542" spans="1:6" ht="14.5">
      <c r="A542" s="25">
        <v>44377</v>
      </c>
      <c r="B542" s="26">
        <v>26</v>
      </c>
      <c r="C542" s="22"/>
      <c r="D542" s="22"/>
      <c r="E542" s="22"/>
      <c r="F542" s="22"/>
    </row>
    <row r="543" spans="1:6" ht="14.5">
      <c r="A543" s="25">
        <v>44378</v>
      </c>
      <c r="B543" s="26">
        <v>26</v>
      </c>
      <c r="C543" s="22"/>
      <c r="D543" s="22"/>
      <c r="E543" s="22"/>
      <c r="F543" s="22"/>
    </row>
    <row r="544" spans="1:6" ht="14.5">
      <c r="A544" s="25">
        <v>44379</v>
      </c>
      <c r="B544" s="26">
        <v>26</v>
      </c>
      <c r="C544" s="22"/>
      <c r="D544" s="22"/>
      <c r="E544" s="22"/>
      <c r="F544" s="22"/>
    </row>
    <row r="545" spans="1:6" ht="14.5">
      <c r="A545" s="25">
        <v>44380</v>
      </c>
      <c r="B545" s="26">
        <v>26</v>
      </c>
      <c r="C545" s="22"/>
      <c r="D545" s="22"/>
      <c r="E545" s="22"/>
      <c r="F545" s="22"/>
    </row>
    <row r="546" spans="1:6" ht="14.5">
      <c r="A546" s="25">
        <v>44381</v>
      </c>
      <c r="B546" s="26">
        <v>26</v>
      </c>
      <c r="C546" s="22"/>
      <c r="D546" s="22"/>
      <c r="E546" s="22"/>
      <c r="F546" s="22"/>
    </row>
    <row r="547" spans="1:6" ht="14.5">
      <c r="A547" s="25">
        <v>44382</v>
      </c>
      <c r="B547" s="22">
        <v>27</v>
      </c>
      <c r="C547" s="22"/>
      <c r="D547" s="22"/>
      <c r="E547" s="22"/>
      <c r="F547" s="22"/>
    </row>
    <row r="548" spans="1:6" ht="14.5">
      <c r="A548" s="25">
        <v>44383</v>
      </c>
      <c r="B548" s="22">
        <v>27</v>
      </c>
      <c r="C548" s="22"/>
      <c r="D548" s="22"/>
      <c r="E548" s="22"/>
      <c r="F548" s="22"/>
    </row>
    <row r="549" spans="1:6" ht="14.5">
      <c r="A549" s="25">
        <v>44384</v>
      </c>
      <c r="B549" s="22">
        <v>27</v>
      </c>
      <c r="C549" s="22"/>
      <c r="D549" s="22"/>
      <c r="E549" s="22"/>
      <c r="F549" s="22"/>
    </row>
    <row r="550" spans="1:6" ht="14.5">
      <c r="A550" s="25">
        <v>44385</v>
      </c>
      <c r="B550" s="22">
        <v>27</v>
      </c>
      <c r="C550" s="22"/>
      <c r="D550" s="22"/>
      <c r="E550" s="22"/>
      <c r="F550" s="22"/>
    </row>
    <row r="551" spans="1:6" ht="14.5">
      <c r="A551" s="25">
        <v>44386</v>
      </c>
      <c r="B551" s="22">
        <v>27</v>
      </c>
      <c r="C551" s="22"/>
      <c r="D551" s="22"/>
      <c r="E551" s="22"/>
      <c r="F551" s="22"/>
    </row>
    <row r="552" spans="1:6" ht="14.5">
      <c r="A552" s="25">
        <v>44387</v>
      </c>
      <c r="B552" s="22">
        <v>27</v>
      </c>
      <c r="C552" s="22"/>
      <c r="D552" s="22"/>
      <c r="E552" s="22"/>
      <c r="F552" s="22"/>
    </row>
    <row r="553" spans="1:6" ht="14.5">
      <c r="A553" s="25">
        <v>44388</v>
      </c>
      <c r="B553" s="22">
        <v>27</v>
      </c>
      <c r="C553" s="22"/>
      <c r="D553" s="22"/>
      <c r="E553" s="22"/>
      <c r="F553" s="22"/>
    </row>
    <row r="554" spans="1:6" ht="14.5">
      <c r="A554" s="25">
        <v>44389</v>
      </c>
      <c r="B554" s="22">
        <v>28</v>
      </c>
      <c r="C554" s="22"/>
      <c r="D554" s="22"/>
      <c r="E554" s="22"/>
      <c r="F554" s="22"/>
    </row>
    <row r="555" spans="1:6" ht="14.5">
      <c r="A555" s="25">
        <v>44390</v>
      </c>
      <c r="B555" s="22">
        <v>28</v>
      </c>
      <c r="C555" s="22"/>
      <c r="D555" s="22"/>
      <c r="E555" s="22"/>
      <c r="F555" s="22"/>
    </row>
    <row r="556" spans="1:6" ht="14.5">
      <c r="A556" s="25">
        <v>44391</v>
      </c>
      <c r="B556" s="22">
        <v>28</v>
      </c>
      <c r="C556" s="22"/>
      <c r="D556" s="22"/>
      <c r="E556" s="22"/>
      <c r="F556" s="22"/>
    </row>
    <row r="557" spans="1:6" ht="14.5">
      <c r="A557" s="25">
        <v>44392</v>
      </c>
      <c r="B557" s="22">
        <v>28</v>
      </c>
      <c r="C557" s="22"/>
      <c r="D557" s="22"/>
      <c r="E557" s="22"/>
      <c r="F557" s="22"/>
    </row>
    <row r="558" spans="1:6" ht="14.5">
      <c r="A558" s="25">
        <v>44393</v>
      </c>
      <c r="B558" s="22">
        <v>28</v>
      </c>
      <c r="C558" s="22"/>
      <c r="D558" s="22"/>
      <c r="E558" s="22"/>
      <c r="F558" s="22"/>
    </row>
    <row r="559" spans="1:6" ht="14.5">
      <c r="A559" s="25">
        <v>44394</v>
      </c>
      <c r="B559" s="22">
        <v>28</v>
      </c>
      <c r="C559" s="22"/>
      <c r="D559" s="22"/>
      <c r="E559" s="22"/>
      <c r="F559" s="22"/>
    </row>
    <row r="560" spans="1:6" ht="14.5">
      <c r="A560" s="25">
        <v>44395</v>
      </c>
      <c r="B560" s="22">
        <v>28</v>
      </c>
      <c r="C560" s="22"/>
      <c r="D560" s="22"/>
      <c r="E560" s="22"/>
      <c r="F560" s="22"/>
    </row>
    <row r="561" spans="1:6" ht="14.5">
      <c r="A561" s="25">
        <v>44396</v>
      </c>
      <c r="B561" s="22">
        <v>29</v>
      </c>
      <c r="C561" s="22"/>
      <c r="D561" s="22"/>
      <c r="E561" s="22"/>
      <c r="F561" s="22"/>
    </row>
    <row r="562" spans="1:6" ht="14.5">
      <c r="A562" s="25">
        <v>44397</v>
      </c>
      <c r="B562" s="22">
        <v>29</v>
      </c>
      <c r="C562" s="22"/>
      <c r="D562" s="22"/>
      <c r="E562" s="22"/>
      <c r="F562" s="22"/>
    </row>
    <row r="563" spans="1:6" ht="14.5">
      <c r="A563" s="28">
        <v>44398</v>
      </c>
      <c r="B563" s="22">
        <v>29</v>
      </c>
      <c r="C563" s="22">
        <v>6</v>
      </c>
      <c r="D563" s="22"/>
      <c r="E563" s="22"/>
      <c r="F563" s="22"/>
    </row>
    <row r="564" spans="1:6" ht="14.5">
      <c r="A564" s="28">
        <v>44399</v>
      </c>
      <c r="B564" s="22">
        <v>29</v>
      </c>
      <c r="C564" s="22">
        <v>1</v>
      </c>
      <c r="D564" s="22"/>
      <c r="E564" s="22"/>
      <c r="F564" s="22"/>
    </row>
    <row r="565" spans="1:6" ht="14.5">
      <c r="A565" s="25">
        <v>44400</v>
      </c>
      <c r="B565" s="22">
        <v>29</v>
      </c>
      <c r="C565" s="32"/>
      <c r="D565" s="32"/>
      <c r="E565" s="32"/>
      <c r="F565" s="32"/>
    </row>
    <row r="566" spans="1:6" ht="14.5">
      <c r="A566" s="25">
        <v>44401</v>
      </c>
      <c r="B566" s="22">
        <v>29</v>
      </c>
      <c r="C566" s="32"/>
      <c r="D566" s="32"/>
      <c r="E566" s="32"/>
      <c r="F566" s="32"/>
    </row>
    <row r="567" spans="1:6" ht="14.5">
      <c r="A567" s="25">
        <v>44402</v>
      </c>
      <c r="B567" s="22">
        <v>29</v>
      </c>
      <c r="C567" s="32"/>
      <c r="D567" s="32"/>
      <c r="E567" s="32"/>
      <c r="F567" s="32"/>
    </row>
    <row r="568" spans="1:6" ht="14.5">
      <c r="A568" s="25">
        <v>44403</v>
      </c>
      <c r="B568" s="22">
        <v>30</v>
      </c>
      <c r="C568" s="32"/>
      <c r="D568" s="32"/>
      <c r="E568" s="32"/>
      <c r="F568" s="32"/>
    </row>
    <row r="569" spans="1:6" ht="14.5">
      <c r="A569" s="25">
        <v>44404</v>
      </c>
      <c r="B569" s="22">
        <v>30</v>
      </c>
      <c r="C569" s="32"/>
      <c r="D569" s="32"/>
      <c r="E569" s="32"/>
      <c r="F569" s="32"/>
    </row>
    <row r="570" spans="1:6" ht="14.5">
      <c r="A570" s="25">
        <v>44405</v>
      </c>
      <c r="B570" s="22">
        <v>30</v>
      </c>
      <c r="C570" s="32">
        <v>1</v>
      </c>
      <c r="D570" s="32"/>
      <c r="E570" s="32"/>
      <c r="F570" s="32"/>
    </row>
    <row r="571" spans="1:6" ht="14.5">
      <c r="A571" s="28">
        <v>44406</v>
      </c>
      <c r="B571" s="22">
        <v>30</v>
      </c>
      <c r="C571" s="22">
        <v>1</v>
      </c>
      <c r="D571" s="22"/>
      <c r="E571" s="22"/>
      <c r="F571" s="22"/>
    </row>
    <row r="572" spans="1:6" ht="14.5">
      <c r="A572" s="28">
        <v>44407</v>
      </c>
      <c r="B572" s="22">
        <v>30</v>
      </c>
      <c r="C572" s="22"/>
      <c r="D572" s="22"/>
      <c r="E572" s="22"/>
      <c r="F572" s="22"/>
    </row>
    <row r="573" spans="1:6" ht="14.5">
      <c r="A573" s="28">
        <v>44408</v>
      </c>
      <c r="B573" s="22">
        <v>30</v>
      </c>
      <c r="C573" s="22"/>
      <c r="D573" s="22"/>
      <c r="E573" s="22"/>
      <c r="F573" s="22"/>
    </row>
    <row r="574" spans="1:6" ht="14.5">
      <c r="A574" s="28">
        <v>44409</v>
      </c>
      <c r="B574" s="22">
        <v>30</v>
      </c>
      <c r="C574" s="22"/>
      <c r="D574" s="22"/>
      <c r="E574" s="22"/>
      <c r="F574" s="22"/>
    </row>
    <row r="575" spans="1:6" ht="14.5">
      <c r="A575" s="28">
        <v>44410</v>
      </c>
      <c r="B575" s="22">
        <v>31</v>
      </c>
      <c r="C575" s="22">
        <v>3</v>
      </c>
      <c r="D575" s="22"/>
      <c r="E575" s="22"/>
      <c r="F575" s="22"/>
    </row>
    <row r="576" spans="1:6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v>1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v>10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2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v>17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v>2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v>6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v>14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v>5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v>4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v>4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v>4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v>2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>
        <v>1</v>
      </c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v>1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3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/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20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/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v>17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v>30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/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/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9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v>18</v>
      </c>
      <c r="D752" s="22">
        <v>1</v>
      </c>
      <c r="E752" s="22"/>
      <c r="F752" s="22"/>
    </row>
    <row r="753" spans="1:6" ht="14.5">
      <c r="A753" s="28">
        <v>44588</v>
      </c>
      <c r="B753" s="22">
        <v>4</v>
      </c>
      <c r="C753" s="22"/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v>8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/>
      <c r="D757" s="22"/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v>12</v>
      </c>
      <c r="D759" s="52"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v>3</v>
      </c>
      <c r="D760" s="52">
        <v>1</v>
      </c>
      <c r="E760" s="52"/>
      <c r="F760" s="52"/>
    </row>
    <row r="761" spans="1:6" ht="14.5">
      <c r="A761" s="49">
        <v>44596</v>
      </c>
      <c r="B761" s="52">
        <v>5</v>
      </c>
      <c r="C761" s="52">
        <v>3</v>
      </c>
      <c r="D761" s="52">
        <v>1</v>
      </c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v>5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v>10</v>
      </c>
      <c r="D765" s="52">
        <v>1</v>
      </c>
      <c r="E765" s="52"/>
      <c r="F765" s="52"/>
    </row>
    <row r="766" spans="1:6" ht="14.5">
      <c r="A766" s="49">
        <v>44601</v>
      </c>
      <c r="B766" s="52">
        <v>6</v>
      </c>
      <c r="C766" s="52">
        <v>6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v>9</v>
      </c>
      <c r="D771" s="52">
        <v>2</v>
      </c>
      <c r="E771" s="52"/>
      <c r="F771" s="52"/>
    </row>
    <row r="772" spans="1:6" ht="14.5">
      <c r="A772" s="49">
        <v>44607</v>
      </c>
      <c r="B772" s="52">
        <v>7</v>
      </c>
      <c r="C772" s="52">
        <v>5</v>
      </c>
      <c r="D772" s="52">
        <v>1</v>
      </c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v>10</v>
      </c>
      <c r="D778" s="52">
        <v>2</v>
      </c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>
        <v>1</v>
      </c>
      <c r="E781" s="52"/>
      <c r="F781" s="52"/>
    </row>
    <row r="782" spans="1:6" ht="14.5">
      <c r="A782" s="49">
        <v>44617</v>
      </c>
      <c r="B782" s="52">
        <v>8</v>
      </c>
      <c r="C782" s="52"/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/>
      <c r="D785" s="52"/>
      <c r="E785" s="52"/>
      <c r="F785" s="52"/>
    </row>
    <row r="786" spans="1:6" ht="14.5">
      <c r="A786" s="64">
        <v>44621</v>
      </c>
      <c r="B786" s="52">
        <v>9</v>
      </c>
      <c r="C786" s="52"/>
      <c r="D786" s="52"/>
      <c r="E786" s="52"/>
      <c r="F786" s="52"/>
    </row>
    <row r="787" spans="1:6" ht="14.5">
      <c r="A787" s="64">
        <v>44622</v>
      </c>
      <c r="B787" s="52">
        <v>9</v>
      </c>
      <c r="C787" s="52">
        <f>2</f>
        <v>2</v>
      </c>
      <c r="D787" s="52">
        <f>1</f>
        <v>1</v>
      </c>
      <c r="E787" s="52"/>
      <c r="F787" s="52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2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859"/>
  <sheetViews>
    <sheetView zoomScaleNormal="100"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63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11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408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>
        <v>1</v>
      </c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>
        <v>1</v>
      </c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>
        <v>2</v>
      </c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>
        <v>1</v>
      </c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>
        <v>1</v>
      </c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>
        <f>6/3</f>
        <v>2</v>
      </c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>
        <f t="shared" ref="C270:C271" si="0">6/3</f>
        <v>2</v>
      </c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>
        <f t="shared" si="0"/>
        <v>2</v>
      </c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>
        <v>1</v>
      </c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>
        <v>1</v>
      </c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>
        <v>1</v>
      </c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>
        <v>1</v>
      </c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>
        <v>1</v>
      </c>
      <c r="D316" s="22"/>
      <c r="E316" s="13"/>
      <c r="F316" s="14"/>
      <c r="G316" s="80" t="s">
        <v>403</v>
      </c>
    </row>
    <row r="317" spans="1:7" ht="14.5">
      <c r="A317" s="25">
        <v>44152</v>
      </c>
      <c r="B317" s="26">
        <v>45</v>
      </c>
      <c r="C317" s="22">
        <v>1</v>
      </c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>
        <v>1</v>
      </c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>
        <v>1</v>
      </c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>
        <v>1</v>
      </c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>
        <v>1</v>
      </c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>
        <v>1</v>
      </c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>
        <v>1</v>
      </c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>
        <v>1</v>
      </c>
      <c r="D349" s="22">
        <v>1</v>
      </c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>
        <v>1</v>
      </c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>
        <v>2</v>
      </c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>
        <v>1</v>
      </c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>
        <v>1</v>
      </c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2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>
        <v>1</v>
      </c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>
        <v>1</v>
      </c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>
        <v>2</v>
      </c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>
        <v>1</v>
      </c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>
        <v>1</v>
      </c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>
        <v>1</v>
      </c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>
        <v>1</v>
      </c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>
        <v>1</v>
      </c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>
        <v>3</v>
      </c>
      <c r="D449" s="22"/>
      <c r="E449" s="14"/>
      <c r="F449" s="14"/>
      <c r="G449" s="96"/>
    </row>
    <row r="450" spans="1:7" ht="14.5">
      <c r="A450" s="25">
        <v>44285</v>
      </c>
      <c r="B450" s="26">
        <v>13</v>
      </c>
      <c r="C450" s="22">
        <v>2</v>
      </c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>
        <v>4</v>
      </c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>
        <v>2</v>
      </c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>
        <v>2</v>
      </c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>
        <v>2</v>
      </c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>
        <v>2</v>
      </c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>
        <v>3</v>
      </c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6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1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6.5</v>
      </c>
      <c r="D466" s="22"/>
      <c r="E466" s="14"/>
      <c r="F466" s="14"/>
      <c r="G466" s="80" t="s">
        <v>406</v>
      </c>
    </row>
    <row r="467" spans="1:7" ht="14.5">
      <c r="A467" s="25">
        <v>44302</v>
      </c>
      <c r="B467" s="26">
        <v>15</v>
      </c>
      <c r="C467" s="22">
        <v>6</v>
      </c>
      <c r="D467" s="22"/>
      <c r="E467" s="14"/>
      <c r="F467" s="14"/>
      <c r="G467" s="80" t="s">
        <v>407</v>
      </c>
    </row>
    <row r="468" spans="1:7" ht="14.5">
      <c r="A468" s="25">
        <v>44303</v>
      </c>
      <c r="B468" s="26">
        <v>15</v>
      </c>
      <c r="C468" s="22">
        <v>2.5</v>
      </c>
      <c r="D468" s="22"/>
      <c r="E468" s="14"/>
      <c r="F468" s="14"/>
      <c r="G468" s="80" t="s">
        <v>406</v>
      </c>
    </row>
    <row r="469" spans="1:7" ht="14.5">
      <c r="A469" s="25">
        <v>44304</v>
      </c>
      <c r="B469" s="26">
        <v>15</v>
      </c>
      <c r="C469" s="22">
        <v>1</v>
      </c>
      <c r="D469" s="22"/>
      <c r="E469" s="14"/>
      <c r="F469" s="14"/>
      <c r="G469" s="96"/>
    </row>
    <row r="470" spans="1:7" ht="14.5">
      <c r="A470" s="25">
        <v>44305</v>
      </c>
      <c r="B470" s="26">
        <v>16</v>
      </c>
      <c r="C470" s="22">
        <v>6</v>
      </c>
      <c r="D470" s="22"/>
      <c r="E470" s="14"/>
      <c r="F470" s="14"/>
      <c r="G470" s="80" t="s">
        <v>405</v>
      </c>
    </row>
    <row r="471" spans="1:7" ht="14.5">
      <c r="A471" s="25">
        <v>44306</v>
      </c>
      <c r="B471" s="26">
        <v>16</v>
      </c>
      <c r="C471" s="22">
        <v>4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12</v>
      </c>
      <c r="D472" s="22">
        <v>1</v>
      </c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4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>
        <v>2</v>
      </c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1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1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>
        <v>1</v>
      </c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2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>
        <v>1</v>
      </c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>
        <v>1</v>
      </c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1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1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1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C506" s="22">
        <v>3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>
        <v>1</v>
      </c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>
        <v>1</v>
      </c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>
        <v>1</v>
      </c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>
        <v>1</v>
      </c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>
        <v>1</v>
      </c>
      <c r="D544" s="22">
        <v>1</v>
      </c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>
        <v>1</v>
      </c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>
        <v>1</v>
      </c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1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>
        <v>2</v>
      </c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2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>
        <v>2</v>
      </c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>
        <v>1</v>
      </c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1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v>2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5">
        <v>44400</v>
      </c>
      <c r="B565" s="22">
        <v>29</v>
      </c>
      <c r="C565" s="32"/>
      <c r="D565" s="32"/>
      <c r="E565" s="32"/>
      <c r="F565" s="32"/>
    </row>
    <row r="566" spans="1:7" ht="14.5">
      <c r="A566" s="25">
        <v>44401</v>
      </c>
      <c r="B566" s="22">
        <v>29</v>
      </c>
      <c r="C566" s="32">
        <v>1</v>
      </c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>
        <f>2+1</f>
        <v>3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22">
        <f>1</f>
        <v>1</v>
      </c>
      <c r="D572" s="22"/>
      <c r="E572" s="22"/>
      <c r="F572" s="22"/>
    </row>
    <row r="573" spans="1:7" ht="14.5">
      <c r="A573" s="28">
        <v>44408</v>
      </c>
      <c r="B573" s="22">
        <v>30</v>
      </c>
      <c r="C573" s="22"/>
      <c r="D573" s="22"/>
      <c r="E573" s="22"/>
      <c r="F573" s="22"/>
    </row>
    <row r="574" spans="1:7" ht="14.5">
      <c r="A574" s="28">
        <v>44409</v>
      </c>
      <c r="B574" s="22">
        <v>30</v>
      </c>
      <c r="C574" s="22">
        <f>1</f>
        <v>1</v>
      </c>
      <c r="D574" s="22"/>
      <c r="E574" s="22"/>
      <c r="F574" s="22"/>
    </row>
    <row r="575" spans="1:7" ht="14.5">
      <c r="A575" s="28">
        <v>44410</v>
      </c>
      <c r="B575" s="22">
        <v>31</v>
      </c>
      <c r="C575" s="22"/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f>1+1+1</f>
        <v>3</v>
      </c>
      <c r="D576" s="22"/>
      <c r="E576" s="22"/>
      <c r="F576" s="22"/>
    </row>
    <row r="577" spans="1:7" ht="14.5">
      <c r="A577" s="28">
        <v>44412</v>
      </c>
      <c r="B577" s="22">
        <v>31</v>
      </c>
      <c r="C577" s="22"/>
      <c r="D577" s="22"/>
      <c r="E577" s="22"/>
      <c r="F577" s="22"/>
    </row>
    <row r="578" spans="1:7" ht="14.5">
      <c r="A578" s="28">
        <v>44413</v>
      </c>
      <c r="B578" s="22">
        <v>31</v>
      </c>
      <c r="C578" s="22"/>
      <c r="D578" s="22"/>
      <c r="E578" s="22"/>
      <c r="F578" s="22"/>
    </row>
    <row r="579" spans="1:7" ht="14.5">
      <c r="A579" s="28">
        <v>44414</v>
      </c>
      <c r="B579" s="22">
        <v>31</v>
      </c>
      <c r="C579" s="22"/>
      <c r="D579" s="22"/>
      <c r="E579" s="22"/>
      <c r="F579" s="22"/>
    </row>
    <row r="580" spans="1:7" ht="14.5">
      <c r="A580" s="28">
        <v>44415</v>
      </c>
      <c r="B580" s="22">
        <v>31</v>
      </c>
      <c r="C580" s="22">
        <f>1</f>
        <v>1</v>
      </c>
      <c r="D580" s="22"/>
      <c r="E580" s="22"/>
      <c r="F580" s="22"/>
    </row>
    <row r="581" spans="1:7" ht="14.5">
      <c r="A581" s="28">
        <v>44416</v>
      </c>
      <c r="B581" s="22">
        <v>31</v>
      </c>
      <c r="C581" s="22"/>
      <c r="D581" s="22"/>
      <c r="E581" s="22"/>
      <c r="F581" s="22"/>
    </row>
    <row r="582" spans="1:7" ht="14.5">
      <c r="A582" s="28">
        <v>44417</v>
      </c>
      <c r="B582" s="22">
        <v>32</v>
      </c>
      <c r="C582" s="22">
        <f>1</f>
        <v>1</v>
      </c>
      <c r="D582" s="22"/>
      <c r="E582" s="22"/>
      <c r="F582" s="22"/>
    </row>
    <row r="583" spans="1:7" ht="14.5">
      <c r="A583" s="28">
        <v>44418</v>
      </c>
      <c r="B583" s="22">
        <v>32</v>
      </c>
      <c r="C583" s="22"/>
      <c r="D583" s="22"/>
      <c r="E583" s="22"/>
      <c r="F583" s="22"/>
    </row>
    <row r="584" spans="1:7" ht="14.5">
      <c r="A584" s="28">
        <v>44419</v>
      </c>
      <c r="B584" s="22">
        <v>32</v>
      </c>
      <c r="C584" s="22"/>
      <c r="D584" s="22"/>
      <c r="E584" s="22"/>
      <c r="F584" s="22"/>
    </row>
    <row r="585" spans="1:7" ht="14.5">
      <c r="A585" s="28">
        <v>44420</v>
      </c>
      <c r="B585" s="22">
        <v>32</v>
      </c>
      <c r="C585" s="22"/>
      <c r="D585" s="22"/>
      <c r="E585" s="22"/>
      <c r="F585" s="22"/>
    </row>
    <row r="586" spans="1:7" ht="14.5">
      <c r="A586" s="28">
        <v>44421</v>
      </c>
      <c r="B586" s="22">
        <v>32</v>
      </c>
      <c r="C586" s="22"/>
      <c r="D586" s="22"/>
      <c r="E586" s="22"/>
      <c r="F586" s="22"/>
    </row>
    <row r="587" spans="1:7" ht="14.5">
      <c r="A587" s="28">
        <v>44422</v>
      </c>
      <c r="B587" s="22">
        <v>32</v>
      </c>
      <c r="C587" s="22">
        <f>1</f>
        <v>1</v>
      </c>
      <c r="D587" s="22">
        <f>1</f>
        <v>1</v>
      </c>
      <c r="E587" s="22"/>
      <c r="F587" s="22"/>
      <c r="G587" s="80" t="s">
        <v>404</v>
      </c>
    </row>
    <row r="588" spans="1:7" ht="14.5">
      <c r="A588" s="28">
        <v>44423</v>
      </c>
      <c r="B588" s="22">
        <v>32</v>
      </c>
      <c r="C588" s="22"/>
      <c r="D588" s="22"/>
      <c r="E588" s="22"/>
      <c r="F588" s="22"/>
    </row>
    <row r="589" spans="1:7" ht="14.5">
      <c r="A589" s="28">
        <v>44424</v>
      </c>
      <c r="B589" s="22">
        <v>33</v>
      </c>
      <c r="C589" s="22">
        <f>1+1+1</f>
        <v>3</v>
      </c>
      <c r="D589" s="22"/>
      <c r="E589" s="22"/>
      <c r="F589" s="22"/>
      <c r="G589" s="80" t="s">
        <v>403</v>
      </c>
    </row>
    <row r="590" spans="1:7" ht="14.5">
      <c r="A590" s="28">
        <v>44425</v>
      </c>
      <c r="B590" s="22">
        <v>33</v>
      </c>
      <c r="C590" s="22">
        <f>1</f>
        <v>1</v>
      </c>
      <c r="D590" s="22"/>
      <c r="E590" s="22"/>
      <c r="F590" s="22"/>
      <c r="G590" s="80" t="s">
        <v>403</v>
      </c>
    </row>
    <row r="591" spans="1:7" ht="14.5">
      <c r="A591" s="28">
        <v>44426</v>
      </c>
      <c r="B591" s="22">
        <v>33</v>
      </c>
      <c r="C591" s="22">
        <f>1</f>
        <v>1</v>
      </c>
      <c r="D591" s="22">
        <f>1</f>
        <v>1</v>
      </c>
      <c r="E591" s="22"/>
      <c r="F591" s="22"/>
      <c r="G591" s="80" t="s">
        <v>404</v>
      </c>
    </row>
    <row r="592" spans="1:7" ht="14.5">
      <c r="A592" s="28">
        <v>44427</v>
      </c>
      <c r="B592" s="22">
        <v>33</v>
      </c>
      <c r="C592" s="22">
        <f>1+1+1</f>
        <v>3</v>
      </c>
      <c r="D592" s="22"/>
      <c r="E592" s="22"/>
      <c r="F592" s="22"/>
      <c r="G592" s="80" t="s">
        <v>403</v>
      </c>
    </row>
    <row r="593" spans="1:7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7" ht="14.5">
      <c r="A594" s="28">
        <v>44429</v>
      </c>
      <c r="B594" s="22">
        <v>33</v>
      </c>
      <c r="C594" s="22"/>
      <c r="D594" s="22"/>
      <c r="E594" s="22"/>
      <c r="F594" s="22"/>
    </row>
    <row r="595" spans="1:7" ht="14.5">
      <c r="A595" s="28">
        <v>44430</v>
      </c>
      <c r="B595" s="22">
        <v>33</v>
      </c>
      <c r="C595" s="22">
        <f>1</f>
        <v>1</v>
      </c>
      <c r="D595" s="22"/>
      <c r="E595" s="22"/>
      <c r="F595" s="22"/>
      <c r="G595" s="80" t="s">
        <v>403</v>
      </c>
    </row>
    <row r="596" spans="1:7" ht="14.5">
      <c r="A596" s="28">
        <v>44431</v>
      </c>
      <c r="B596" s="22">
        <v>34</v>
      </c>
      <c r="C596" s="22">
        <f>1+1</f>
        <v>2</v>
      </c>
      <c r="D596" s="22"/>
      <c r="E596" s="22"/>
      <c r="F596" s="22"/>
    </row>
    <row r="597" spans="1:7" ht="14.5">
      <c r="A597" s="28">
        <v>44432</v>
      </c>
      <c r="B597" s="22">
        <v>34</v>
      </c>
      <c r="C597" s="22"/>
      <c r="D597" s="22"/>
      <c r="E597" s="22"/>
      <c r="F597" s="22"/>
    </row>
    <row r="598" spans="1:7" ht="14.5">
      <c r="A598" s="28">
        <v>44433</v>
      </c>
      <c r="B598" s="22">
        <v>34</v>
      </c>
      <c r="C598" s="22">
        <f>1</f>
        <v>1</v>
      </c>
      <c r="D598" s="22"/>
      <c r="E598" s="22"/>
      <c r="F598" s="22"/>
    </row>
    <row r="599" spans="1:7" ht="14.5">
      <c r="A599" s="28">
        <v>44434</v>
      </c>
      <c r="B599" s="22">
        <v>34</v>
      </c>
      <c r="C599" s="22">
        <f>1</f>
        <v>1</v>
      </c>
      <c r="D599" s="22"/>
      <c r="E599" s="22"/>
      <c r="F599" s="22"/>
    </row>
    <row r="600" spans="1:7" ht="14.5">
      <c r="A600" s="28">
        <v>44435</v>
      </c>
      <c r="B600" s="22">
        <v>34</v>
      </c>
      <c r="C600" s="22">
        <f>1+1+1+1</f>
        <v>4</v>
      </c>
      <c r="D600" s="22"/>
      <c r="E600" s="22"/>
      <c r="F600" s="22"/>
    </row>
    <row r="601" spans="1:7" ht="14.5">
      <c r="A601" s="28">
        <v>44436</v>
      </c>
      <c r="B601" s="22">
        <v>34</v>
      </c>
      <c r="C601" s="22">
        <f>1</f>
        <v>1</v>
      </c>
      <c r="D601" s="22"/>
      <c r="E601" s="22"/>
      <c r="F601" s="22"/>
    </row>
    <row r="602" spans="1:7" ht="14.5">
      <c r="A602" s="28">
        <v>44437</v>
      </c>
      <c r="B602" s="22">
        <v>34</v>
      </c>
      <c r="C602" s="22">
        <f>1</f>
        <v>1</v>
      </c>
      <c r="D602" s="22"/>
      <c r="E602" s="22"/>
      <c r="F602" s="22"/>
    </row>
    <row r="603" spans="1:7" ht="14.5">
      <c r="A603" s="28">
        <v>44438</v>
      </c>
      <c r="B603" s="22">
        <v>35</v>
      </c>
      <c r="C603" s="22"/>
      <c r="D603" s="22"/>
      <c r="E603" s="22"/>
      <c r="F603" s="22"/>
    </row>
    <row r="604" spans="1:7" ht="14.5">
      <c r="A604" s="28">
        <v>44439</v>
      </c>
      <c r="B604" s="22">
        <v>35</v>
      </c>
      <c r="C604" s="22"/>
      <c r="D604" s="22"/>
      <c r="E604" s="22"/>
      <c r="F604" s="22"/>
    </row>
    <row r="605" spans="1:7" ht="14.5">
      <c r="A605" s="28">
        <v>44440</v>
      </c>
      <c r="B605" s="22">
        <v>35</v>
      </c>
      <c r="C605" s="22">
        <f>1</f>
        <v>1</v>
      </c>
      <c r="D605" s="22"/>
      <c r="E605" s="22"/>
      <c r="F605" s="22"/>
    </row>
    <row r="606" spans="1:7" ht="14.5">
      <c r="A606" s="28">
        <v>44441</v>
      </c>
      <c r="B606" s="22">
        <v>35</v>
      </c>
      <c r="C606" s="22">
        <f>1</f>
        <v>1</v>
      </c>
      <c r="D606" s="22"/>
      <c r="E606" s="22"/>
      <c r="F606" s="22"/>
    </row>
    <row r="607" spans="1:7" ht="14.5">
      <c r="A607" s="28">
        <v>44442</v>
      </c>
      <c r="B607" s="22">
        <v>35</v>
      </c>
      <c r="C607" s="22">
        <f>1</f>
        <v>1</v>
      </c>
      <c r="D607" s="22"/>
      <c r="E607" s="22"/>
      <c r="F607" s="22"/>
    </row>
    <row r="608" spans="1:7" ht="14.5">
      <c r="A608" s="28">
        <v>44443</v>
      </c>
      <c r="B608" s="22">
        <v>35</v>
      </c>
      <c r="C608" s="22">
        <f>1</f>
        <v>1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>1</f>
        <v>1</v>
      </c>
      <c r="D609" s="22">
        <f>1</f>
        <v>1</v>
      </c>
      <c r="E609" s="22"/>
      <c r="F609" s="22"/>
    </row>
    <row r="610" spans="1:6" ht="14.5">
      <c r="A610" s="28">
        <v>44445</v>
      </c>
      <c r="B610" s="22">
        <v>36</v>
      </c>
      <c r="C610" s="22">
        <f>1</f>
        <v>1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1+1</f>
        <v>2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>1+1</f>
        <v>2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>1</f>
        <v>1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1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>
        <f>1</f>
        <v>1</v>
      </c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>
        <f>1</f>
        <v>1</v>
      </c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>
        <f>1</f>
        <v>1</v>
      </c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>
        <f>1</f>
        <v>1</v>
      </c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>
        <f>1</f>
        <v>1</v>
      </c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>
        <f>1</f>
        <v>1</v>
      </c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>
        <f>1</f>
        <v>1</v>
      </c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>
        <f>1</f>
        <v>1</v>
      </c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>1</f>
        <v>1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1</f>
        <v>1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1</f>
        <v>1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1+1+1</f>
        <v>3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1+1+1+1</f>
        <v>4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1+1+1+1+1+1+1+1+1+1</f>
        <v>10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1+1+1+2+1+1+1+1+1+1+1+1+1+1+1+1+4+1+1+1+1+1</f>
        <v>26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1+1+1+1+1+1+1+1+4+1+1+1+1+1</f>
        <v>17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1+1+1+1+1+1</f>
        <v>6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1+1+1+1+1+1+2+1+1+1+1+1+1+1</f>
        <v>15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1+1+1+1+1+1+1+1+1+2+1+1+1</f>
        <v>14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1+2+1+1+1+1+1+1+1+1+1+1</f>
        <v>13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1+1+1+1+1+1+1+1+1+1+1+1</f>
        <v>12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1+1+1+1+1+1+1+1+1+1+1+1+1+1+1</f>
        <v>15</v>
      </c>
      <c r="D747" s="22">
        <f>1</f>
        <v>1</v>
      </c>
      <c r="E747" s="22"/>
      <c r="F747" s="22"/>
    </row>
    <row r="748" spans="1:6" ht="14.5">
      <c r="A748" s="28">
        <v>44583</v>
      </c>
      <c r="B748" s="22">
        <v>3</v>
      </c>
      <c r="C748" s="22">
        <f>1+1+1+1+1+1+1</f>
        <v>7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>1+1+1+1+1+1</f>
        <v>6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1+1+1+1+1+1+1+1+1+1</f>
        <v>10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1+1+1+1+1+1</f>
        <v>6</v>
      </c>
      <c r="D751" s="22">
        <f>1</f>
        <v>1</v>
      </c>
      <c r="E751" s="22"/>
      <c r="F751" s="22"/>
    </row>
    <row r="752" spans="1:6" ht="14.5">
      <c r="A752" s="28">
        <v>44587</v>
      </c>
      <c r="B752" s="22">
        <v>4</v>
      </c>
      <c r="C752" s="22">
        <f>1+1+1+1+1+1+1+1+1</f>
        <v>9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1+1+1+1+1+1+1+1</f>
        <v>8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1+1+1+1+1+1+1</f>
        <v>7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>1+1+1+1+1+1</f>
        <v>6</v>
      </c>
      <c r="D755" s="22">
        <f>1+1</f>
        <v>2</v>
      </c>
      <c r="E755" s="22"/>
      <c r="F755" s="22"/>
    </row>
    <row r="756" spans="1:6" ht="14.5">
      <c r="A756" s="28">
        <v>44591</v>
      </c>
      <c r="B756" s="22">
        <v>4</v>
      </c>
      <c r="C756" s="22">
        <f>1+1</f>
        <v>2</v>
      </c>
      <c r="D756" s="22">
        <f>1</f>
        <v>1</v>
      </c>
      <c r="E756" s="22"/>
      <c r="F756" s="22"/>
    </row>
    <row r="757" spans="1:6" ht="14.5">
      <c r="A757" s="28">
        <v>44592</v>
      </c>
      <c r="B757" s="22">
        <v>5</v>
      </c>
      <c r="C757" s="22">
        <f>1+1+1+1+1+1</f>
        <v>6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f>1+1+1+1+1</f>
        <v>5</v>
      </c>
      <c r="D758" s="52">
        <f>1</f>
        <v>1</v>
      </c>
      <c r="E758" s="52"/>
      <c r="F758" s="52"/>
    </row>
    <row r="759" spans="1:6" ht="14.5">
      <c r="A759" s="49">
        <v>44594</v>
      </c>
      <c r="B759" s="52">
        <v>5</v>
      </c>
      <c r="C759" s="52">
        <f>1+1+1+1+1</f>
        <v>5</v>
      </c>
      <c r="D759" s="52">
        <f>1</f>
        <v>1</v>
      </c>
      <c r="E759" s="52"/>
      <c r="F759" s="52"/>
    </row>
    <row r="760" spans="1:6" ht="14.5">
      <c r="A760" s="49">
        <v>44595</v>
      </c>
      <c r="B760" s="52">
        <v>5</v>
      </c>
      <c r="C760" s="52">
        <f>1+1+2</f>
        <v>4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>1+1+1</f>
        <v>3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/>
      <c r="D764" s="52"/>
      <c r="E764" s="52"/>
      <c r="F764" s="52"/>
    </row>
    <row r="765" spans="1:6" ht="14.5">
      <c r="A765" s="49">
        <v>44600</v>
      </c>
      <c r="B765" s="52">
        <v>6</v>
      </c>
      <c r="C765" s="52"/>
      <c r="D765" s="52"/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/>
      <c r="E771" s="52"/>
      <c r="F771" s="52"/>
    </row>
    <row r="772" spans="1:6" ht="14.5">
      <c r="A772" s="49">
        <v>44607</v>
      </c>
      <c r="B772" s="52">
        <v>7</v>
      </c>
      <c r="C772" s="52"/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/>
      <c r="D778" s="52"/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/>
      <c r="E781" s="52"/>
      <c r="F781" s="52"/>
    </row>
    <row r="782" spans="1:6" ht="14.5">
      <c r="A782" s="49">
        <v>44617</v>
      </c>
      <c r="B782" s="52">
        <v>8</v>
      </c>
      <c r="C782" s="52"/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/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v>5</v>
      </c>
      <c r="D786" s="52">
        <v>2</v>
      </c>
      <c r="E786" s="52"/>
      <c r="F786" s="52"/>
    </row>
    <row r="787" spans="1:6" ht="14.5">
      <c r="A787" s="64">
        <v>44622</v>
      </c>
      <c r="B787" s="52">
        <v>9</v>
      </c>
      <c r="C787" s="52"/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v>10</v>
      </c>
      <c r="D788" s="52"/>
      <c r="E788" s="52"/>
      <c r="F788" s="52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400-000000000000}"/>
  </hyperlinks>
  <pageMargins left="0.7" right="0.7" top="0.75" bottom="0.75" header="0.3" footer="0.3"/>
  <pageSetup paperSize="9" orientation="portrait" horizontalDpi="0" verticalDpi="0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G853"/>
  <sheetViews>
    <sheetView zoomScaleNormal="100"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.33203125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64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23" t="s">
        <v>12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409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>
        <v>1</v>
      </c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>
        <v>1</v>
      </c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>
        <v>1</v>
      </c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>
        <v>1</v>
      </c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>
        <v>6</v>
      </c>
      <c r="D216" s="22"/>
      <c r="E216" s="14"/>
      <c r="F216" s="14"/>
      <c r="G216" s="97" t="s">
        <v>410</v>
      </c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>
        <v>1</v>
      </c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>
        <v>1</v>
      </c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>
        <v>1</v>
      </c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>
        <v>1</v>
      </c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>
        <v>2</v>
      </c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>
        <v>1</v>
      </c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>
        <v>1</v>
      </c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>
        <v>1</v>
      </c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>
        <v>1</v>
      </c>
      <c r="D339" s="22"/>
      <c r="E339" s="14"/>
      <c r="F339" s="14"/>
      <c r="G339" s="97" t="s">
        <v>403</v>
      </c>
    </row>
    <row r="340" spans="1:7" ht="14.5">
      <c r="A340" s="25">
        <v>44175</v>
      </c>
      <c r="B340" s="26">
        <v>48</v>
      </c>
      <c r="C340" s="22">
        <v>2</v>
      </c>
      <c r="D340" s="22"/>
      <c r="E340" s="13"/>
      <c r="F340" s="14"/>
      <c r="G340" s="97" t="s">
        <v>404</v>
      </c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>
        <v>2</v>
      </c>
      <c r="D344" s="22"/>
      <c r="E344" s="14"/>
      <c r="F344" s="14"/>
      <c r="G344" s="97" t="s">
        <v>403</v>
      </c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>
        <v>1</v>
      </c>
      <c r="D348" s="22"/>
      <c r="E348" s="14"/>
      <c r="F348" s="14"/>
      <c r="G348" s="97" t="s">
        <v>403</v>
      </c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>
        <v>1</v>
      </c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>
        <v>1</v>
      </c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>
        <v>1</v>
      </c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>
        <v>2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v>3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>
        <v>1</v>
      </c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2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>
        <v>1</v>
      </c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>
        <v>2</v>
      </c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>
        <v>2</v>
      </c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>
        <v>1</v>
      </c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>
        <v>1</v>
      </c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>
        <v>1</v>
      </c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>
        <v>1</v>
      </c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>
        <v>1</v>
      </c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>
        <v>1</v>
      </c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>
        <v>1</v>
      </c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>
        <v>1</v>
      </c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>
        <v>2</v>
      </c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>
        <v>1</v>
      </c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>
        <v>1</v>
      </c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>
        <v>1</v>
      </c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>
        <v>1</v>
      </c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1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>
        <v>1</v>
      </c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>
        <v>1</v>
      </c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1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>
        <v>2</v>
      </c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1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1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>
        <v>1</v>
      </c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>
        <v>1</v>
      </c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C506" s="22"/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>
        <v>3</v>
      </c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>
        <v>1</v>
      </c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>
        <v>2</v>
      </c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>
        <v>2</v>
      </c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>
        <v>2</v>
      </c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>
        <v>1</v>
      </c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>
        <v>1</v>
      </c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>
        <v>4</v>
      </c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>
        <v>1</v>
      </c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>
        <v>5</v>
      </c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v>1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>
        <v>1</v>
      </c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>
        <v>1</v>
      </c>
      <c r="D565" s="22"/>
      <c r="E565" s="22"/>
      <c r="F565" s="22"/>
    </row>
    <row r="566" spans="1:7" ht="14.5">
      <c r="A566" s="25">
        <v>44401</v>
      </c>
      <c r="B566" s="22">
        <v>29</v>
      </c>
      <c r="C566" s="32">
        <v>1</v>
      </c>
      <c r="D566" s="32"/>
      <c r="E566" s="32"/>
      <c r="F566" s="32"/>
    </row>
    <row r="567" spans="1:7" ht="14.5">
      <c r="A567" s="25">
        <v>44402</v>
      </c>
      <c r="B567" s="22">
        <v>29</v>
      </c>
      <c r="C567" s="32">
        <v>1</v>
      </c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f>1</f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5">
        <v>44405</v>
      </c>
      <c r="B570" s="22">
        <v>30</v>
      </c>
      <c r="C570" s="32">
        <f>1+1</f>
        <v>2</v>
      </c>
      <c r="D570" s="32"/>
      <c r="E570" s="32"/>
      <c r="F570" s="32"/>
    </row>
    <row r="571" spans="1:7" ht="14.5">
      <c r="A571" s="25">
        <v>44406</v>
      </c>
      <c r="B571" s="22">
        <v>30</v>
      </c>
      <c r="C571" s="32">
        <f>1+1</f>
        <v>2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22">
        <f>1</f>
        <v>1</v>
      </c>
      <c r="D572" s="22"/>
      <c r="E572" s="22"/>
      <c r="F572" s="22"/>
    </row>
    <row r="573" spans="1:7" ht="14.5">
      <c r="A573" s="28">
        <v>44408</v>
      </c>
      <c r="B573" s="22">
        <v>30</v>
      </c>
      <c r="C573" s="22">
        <f>1+1+1</f>
        <v>3</v>
      </c>
      <c r="D573" s="22"/>
      <c r="E573" s="22"/>
      <c r="F573" s="2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f>1</f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f>1+1+1+1+1</f>
        <v>5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1+1+1</f>
        <v>3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1+1</f>
        <v>2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f>1+1+1</f>
        <v>3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f>1</f>
        <v>1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>1+1</f>
        <v>2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f>1+1+1</f>
        <v>3</v>
      </c>
      <c r="D585" s="22"/>
      <c r="E585" s="22"/>
      <c r="F585" s="22"/>
    </row>
    <row r="586" spans="1:6" ht="14.5">
      <c r="A586" s="28">
        <v>44421</v>
      </c>
      <c r="B586" s="22">
        <v>32</v>
      </c>
      <c r="C586" s="22">
        <f>1+1</f>
        <v>2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>1+1</f>
        <v>2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1+1</f>
        <v>2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3+1+1+1</f>
        <v>6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1+1+1</f>
        <v>3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1</f>
        <v>1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1+1+1</f>
        <v>3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f>1</f>
        <v>1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>1</f>
        <v>1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>1</f>
        <v>1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>1</f>
        <v>1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1</f>
        <v>1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>1+1</f>
        <v>2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>1</f>
        <v>1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>1</f>
        <v>1</v>
      </c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1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f>1</f>
        <v>1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>
        <f>1</f>
        <v>1</v>
      </c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>
        <f>1</f>
        <v>1</v>
      </c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>
        <f>1</f>
        <v>1</v>
      </c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>
        <f>1</f>
        <v>1</v>
      </c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1+1+1+1+1+1</f>
        <v>6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1+1</f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1+1+1</f>
        <v>3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1</f>
        <v>1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1+1+1+1+1+1+1+1+1+1+1</f>
        <v>11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1+1+1+1+1+1+1+1+1+1</f>
        <v>10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1+1+1+1+1+1+1+1+1</f>
        <v>9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1+1+1+1+1+1+1</f>
        <v>7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1+1+1+1+1+1+1+1+1+2+1+1</f>
        <v>13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2+3+2+1+1</f>
        <v>9</v>
      </c>
      <c r="D744" s="22">
        <f>1</f>
        <v>1</v>
      </c>
      <c r="E744" s="22"/>
      <c r="F744" s="22"/>
    </row>
    <row r="745" spans="1:6" ht="14.5">
      <c r="A745" s="28">
        <v>44580</v>
      </c>
      <c r="B745" s="22">
        <v>3</v>
      </c>
      <c r="C745" s="22">
        <f>5+2+1+1+1</f>
        <v>10</v>
      </c>
      <c r="D745" s="22">
        <f>1</f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f>8+1</f>
        <v>9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2+1+1+1+1+1</f>
        <v>7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>1+1+1+1+1+1+1+1+1+1+1+1</f>
        <v>12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>1+1</f>
        <v>2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1+1+1+1+1+1+1+1+1+1+1</f>
        <v>11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1+1+1+1+1+1+1</f>
        <v>7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1+1</f>
        <v>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1+1+1+1+1</f>
        <v>5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1+1+1</f>
        <v>3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>1+1+1+1</f>
        <v>4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1+1+1</f>
        <v>3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1</f>
        <v>1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1+1</f>
        <v>2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>1</f>
        <v>1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>1+1+1</f>
        <v>3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>1</f>
        <v>1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>1</f>
        <v>1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1</f>
        <v>1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1+1</f>
        <v>2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1+1+1</f>
        <v>3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/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>1</f>
        <v>1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>1</f>
        <v>1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>1</f>
        <v>1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>1</f>
        <v>1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1</f>
        <v>1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>1</f>
        <v>1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>1</f>
        <v>1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>1+1</f>
        <v>2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>1+1</f>
        <v>2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>
        <f>1+1+1+1</f>
        <v>4</v>
      </c>
      <c r="D783" s="52"/>
      <c r="E783" s="52"/>
      <c r="F783" s="52"/>
    </row>
    <row r="784" spans="1:6" ht="14.5">
      <c r="A784" s="49">
        <v>44619</v>
      </c>
      <c r="B784" s="52">
        <v>8</v>
      </c>
      <c r="C784" s="52">
        <f>1</f>
        <v>1</v>
      </c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1+1+1+1+1</f>
        <v>5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>1+1+1+1+1+1</f>
        <v>6</v>
      </c>
      <c r="D786" s="52"/>
      <c r="E786" s="52"/>
      <c r="F786" s="52"/>
    </row>
    <row r="787" spans="1:6" ht="14.5">
      <c r="A787" s="64">
        <v>44622</v>
      </c>
      <c r="B787" s="52">
        <v>9</v>
      </c>
      <c r="C787" s="52">
        <f>1</f>
        <v>1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>1+1+1+1+1</f>
        <v>5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>
        <f>1</f>
        <v>1</v>
      </c>
      <c r="D789" s="52"/>
      <c r="E789" s="52"/>
      <c r="F789" s="52"/>
    </row>
    <row r="790" spans="1:6" ht="14.5">
      <c r="A790" s="64">
        <v>44625</v>
      </c>
      <c r="B790" s="52">
        <v>9</v>
      </c>
      <c r="C790" s="52">
        <f>1</f>
        <v>1</v>
      </c>
      <c r="D790" s="52"/>
      <c r="E790" s="52"/>
      <c r="F790" s="52"/>
    </row>
    <row r="791" spans="1:6" ht="14.5">
      <c r="A791" s="64">
        <v>44626</v>
      </c>
      <c r="B791" s="52">
        <v>9</v>
      </c>
      <c r="C791" s="52">
        <f>1</f>
        <v>1</v>
      </c>
      <c r="D791" s="52"/>
      <c r="E791" s="52"/>
      <c r="F791" s="52"/>
    </row>
    <row r="792" spans="1:6" ht="14.5">
      <c r="A792" s="64">
        <v>44627</v>
      </c>
      <c r="B792" s="52">
        <v>10</v>
      </c>
      <c r="C792" s="52">
        <f>1+1+1</f>
        <v>3</v>
      </c>
      <c r="D792" s="52"/>
      <c r="E792" s="52"/>
      <c r="F792" s="52"/>
    </row>
    <row r="793" spans="1:6" ht="14.5">
      <c r="A793" s="64">
        <v>44628</v>
      </c>
      <c r="B793" s="52">
        <v>10</v>
      </c>
      <c r="C793" s="52">
        <f>1</f>
        <v>1</v>
      </c>
      <c r="D793" s="52"/>
      <c r="E793" s="52"/>
      <c r="F793" s="52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5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G858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1640625" style="55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65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13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350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>
        <v>1</v>
      </c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1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>
        <v>1</v>
      </c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>
        <v>1</v>
      </c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>
        <v>1</v>
      </c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>
        <v>1</v>
      </c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1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>
        <v>1</v>
      </c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1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2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3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1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>
        <v>1</v>
      </c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1.5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1.5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>
        <v>2.25</v>
      </c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2.25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f>5/4</f>
        <v>1.25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>
        <f>5/4</f>
        <v>1.25</v>
      </c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>
        <v>1.5</v>
      </c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>
        <v>1.5</v>
      </c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>
        <v>1</v>
      </c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>
        <v>1</v>
      </c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>
        <v>1</v>
      </c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>
        <v>1</v>
      </c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>
        <v>1</v>
      </c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>
        <v>1</v>
      </c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>
        <v>1</v>
      </c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v>1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1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/>
      <c r="D565" s="22"/>
      <c r="E565" s="22"/>
      <c r="F565" s="22"/>
    </row>
    <row r="566" spans="1:7" ht="14.5">
      <c r="A566" s="25">
        <v>44401</v>
      </c>
      <c r="B566" s="22">
        <v>29</v>
      </c>
      <c r="C566" s="32">
        <v>1</v>
      </c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/>
      <c r="D568" s="32"/>
      <c r="E568" s="32"/>
      <c r="F568" s="32"/>
    </row>
    <row r="569" spans="1:7" ht="14.5">
      <c r="A569" s="25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5">
        <v>44405</v>
      </c>
      <c r="B570" s="22">
        <v>30</v>
      </c>
      <c r="C570" s="32">
        <v>1</v>
      </c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8">
        <v>44407</v>
      </c>
      <c r="B572" s="22">
        <v>30</v>
      </c>
      <c r="C572" s="22">
        <v>1</v>
      </c>
      <c r="D572" s="22"/>
      <c r="E572" s="22"/>
      <c r="F572" s="22"/>
    </row>
    <row r="573" spans="1:7" ht="14.5">
      <c r="A573" s="28">
        <v>44408</v>
      </c>
      <c r="B573" s="22">
        <v>30</v>
      </c>
      <c r="C573" s="22">
        <v>1</v>
      </c>
      <c r="D573" s="22"/>
      <c r="E573" s="22"/>
      <c r="F573" s="2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v>1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3/2</f>
        <v>1.5</v>
      </c>
      <c r="D577" s="22"/>
      <c r="E577" s="22"/>
      <c r="F577" s="22"/>
    </row>
    <row r="578" spans="1:6" ht="14.5">
      <c r="A578" s="28">
        <v>44413</v>
      </c>
      <c r="B578" s="22">
        <v>31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(3/2)+(36/14)</f>
        <v>4.0714285714285712</v>
      </c>
      <c r="D579" s="22">
        <f t="shared" ref="D579:D591" si="0">(1/14)</f>
        <v>7.1428571428571425E-2</v>
      </c>
      <c r="E579" s="22"/>
      <c r="F579" s="22"/>
    </row>
    <row r="580" spans="1:6" ht="14.5">
      <c r="A580" s="28">
        <v>44415</v>
      </c>
      <c r="B580" s="22">
        <v>31</v>
      </c>
      <c r="C580" s="22">
        <f t="shared" ref="C580:C588" si="1">(36/14)</f>
        <v>2.5714285714285716</v>
      </c>
      <c r="D580" s="22">
        <f t="shared" si="0"/>
        <v>7.1428571428571425E-2</v>
      </c>
      <c r="E580" s="22"/>
      <c r="F580" s="22"/>
    </row>
    <row r="581" spans="1:6" ht="14.5">
      <c r="A581" s="28">
        <v>44416</v>
      </c>
      <c r="B581" s="22">
        <v>31</v>
      </c>
      <c r="C581" s="22">
        <f t="shared" si="1"/>
        <v>2.5714285714285716</v>
      </c>
      <c r="D581" s="22">
        <f t="shared" si="0"/>
        <v>7.1428571428571425E-2</v>
      </c>
      <c r="E581" s="22"/>
      <c r="F581" s="22"/>
    </row>
    <row r="582" spans="1:6" ht="14.5">
      <c r="A582" s="28">
        <v>44417</v>
      </c>
      <c r="B582" s="22">
        <v>32</v>
      </c>
      <c r="C582" s="22">
        <f t="shared" si="1"/>
        <v>2.5714285714285716</v>
      </c>
      <c r="D582" s="22">
        <f t="shared" si="0"/>
        <v>7.1428571428571425E-2</v>
      </c>
      <c r="E582" s="22"/>
      <c r="F582" s="22"/>
    </row>
    <row r="583" spans="1:6" ht="14.5">
      <c r="A583" s="28">
        <v>44418</v>
      </c>
      <c r="B583" s="22">
        <v>32</v>
      </c>
      <c r="C583" s="22">
        <f t="shared" si="1"/>
        <v>2.5714285714285716</v>
      </c>
      <c r="D583" s="22">
        <f t="shared" si="0"/>
        <v>7.1428571428571425E-2</v>
      </c>
      <c r="E583" s="22"/>
      <c r="F583" s="22"/>
    </row>
    <row r="584" spans="1:6" ht="14.5">
      <c r="A584" s="28">
        <v>44419</v>
      </c>
      <c r="B584" s="22">
        <v>32</v>
      </c>
      <c r="C584" s="22">
        <f t="shared" si="1"/>
        <v>2.5714285714285716</v>
      </c>
      <c r="D584" s="22">
        <f t="shared" si="0"/>
        <v>7.1428571428571425E-2</v>
      </c>
      <c r="E584" s="22"/>
      <c r="F584" s="22"/>
    </row>
    <row r="585" spans="1:6" ht="14.5">
      <c r="A585" s="28">
        <v>44420</v>
      </c>
      <c r="B585" s="22">
        <v>32</v>
      </c>
      <c r="C585" s="22">
        <f t="shared" si="1"/>
        <v>2.5714285714285716</v>
      </c>
      <c r="D585" s="22">
        <f t="shared" si="0"/>
        <v>7.1428571428571425E-2</v>
      </c>
      <c r="E585" s="22"/>
      <c r="F585" s="22"/>
    </row>
    <row r="586" spans="1:6" ht="14.5">
      <c r="A586" s="28">
        <v>44421</v>
      </c>
      <c r="B586" s="22">
        <v>32</v>
      </c>
      <c r="C586" s="22">
        <f t="shared" si="1"/>
        <v>2.5714285714285716</v>
      </c>
      <c r="D586" s="22">
        <f t="shared" si="0"/>
        <v>7.1428571428571425E-2</v>
      </c>
      <c r="E586" s="22"/>
      <c r="F586" s="22"/>
    </row>
    <row r="587" spans="1:6" ht="14.5">
      <c r="A587" s="28">
        <v>44422</v>
      </c>
      <c r="B587" s="22">
        <v>32</v>
      </c>
      <c r="C587" s="22">
        <f t="shared" si="1"/>
        <v>2.5714285714285716</v>
      </c>
      <c r="D587" s="22">
        <f t="shared" si="0"/>
        <v>7.1428571428571425E-2</v>
      </c>
      <c r="E587" s="22"/>
      <c r="F587" s="22"/>
    </row>
    <row r="588" spans="1:6" ht="14.5">
      <c r="A588" s="28">
        <v>44423</v>
      </c>
      <c r="B588" s="22">
        <v>32</v>
      </c>
      <c r="C588" s="22">
        <f t="shared" si="1"/>
        <v>2.5714285714285716</v>
      </c>
      <c r="D588" s="22">
        <f t="shared" si="0"/>
        <v>7.1428571428571425E-2</v>
      </c>
      <c r="E588" s="22"/>
      <c r="F588" s="22"/>
    </row>
    <row r="589" spans="1:6" ht="14.5">
      <c r="A589" s="28">
        <v>44424</v>
      </c>
      <c r="B589" s="22">
        <v>33</v>
      </c>
      <c r="C589" s="22">
        <f>(36/14)+(7/10)</f>
        <v>3.2714285714285714</v>
      </c>
      <c r="D589" s="22">
        <f t="shared" si="0"/>
        <v>7.1428571428571425E-2</v>
      </c>
      <c r="E589" s="22"/>
      <c r="F589" s="22"/>
    </row>
    <row r="590" spans="1:6" ht="14.5">
      <c r="A590" s="28">
        <v>44425</v>
      </c>
      <c r="B590" s="22">
        <v>33</v>
      </c>
      <c r="C590" s="22">
        <f>(36/14)+(7/10)</f>
        <v>3.2714285714285714</v>
      </c>
      <c r="D590" s="22">
        <f t="shared" si="0"/>
        <v>7.1428571428571425E-2</v>
      </c>
      <c r="E590" s="22"/>
      <c r="F590" s="22"/>
    </row>
    <row r="591" spans="1:6" ht="14.5">
      <c r="A591" s="28">
        <v>44426</v>
      </c>
      <c r="B591" s="22">
        <v>33</v>
      </c>
      <c r="C591" s="22">
        <f>(36/14)+(7/10)</f>
        <v>3.2714285714285714</v>
      </c>
      <c r="D591" s="22">
        <f t="shared" si="0"/>
        <v>7.1428571428571425E-2</v>
      </c>
      <c r="E591" s="22"/>
      <c r="F591" s="22"/>
    </row>
    <row r="592" spans="1:6" ht="14.5">
      <c r="A592" s="28">
        <v>44427</v>
      </c>
      <c r="B592" s="22">
        <v>33</v>
      </c>
      <c r="C592" s="22">
        <f>(36/14)+(7/5)+(7/10)</f>
        <v>4.6714285714285717</v>
      </c>
      <c r="D592" s="22">
        <f>(1/14)</f>
        <v>7.1428571428571425E-2</v>
      </c>
      <c r="E592" s="22"/>
      <c r="F592" s="22"/>
    </row>
    <row r="593" spans="1:6" ht="14.5">
      <c r="A593" s="28">
        <v>44428</v>
      </c>
      <c r="B593" s="22">
        <v>33</v>
      </c>
      <c r="C593" s="22">
        <f>(7/5)+(7/10)</f>
        <v>2.0999999999999996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(7/5)+(7/10)</f>
        <v>2.0999999999999996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>(7/5)+(7/10)</f>
        <v>2.0999999999999996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(7/5)+(7/10)+1</f>
        <v>3.0999999999999996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>(7/10)</f>
        <v>0.7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(7/10)+(14/21)</f>
        <v>1.3666666666666667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1+(14/21)</f>
        <v>1.6666666666666665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(5/3)+(9/11)+(14/21)</f>
        <v>3.1515151515151514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>(5/3)+(9/11)+(14/21)</f>
        <v>3.1515151515151514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f>(5/3)+(9/11)+(14/21)</f>
        <v>3.1515151515151514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 t="shared" ref="C603:C610" si="2">(9/11)+(14/21)</f>
        <v>1.4848484848484849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 t="shared" si="2"/>
        <v>1.4848484848484849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 t="shared" si="2"/>
        <v>1.4848484848484849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 t="shared" si="2"/>
        <v>1.4848484848484849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>
        <f t="shared" si="2"/>
        <v>1.4848484848484849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 t="shared" si="2"/>
        <v>1.4848484848484849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 t="shared" si="2"/>
        <v>1.4848484848484849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 t="shared" si="2"/>
        <v>1.4848484848484849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 t="shared" ref="C611:C617" si="3">(14/21)</f>
        <v>0.66666666666666663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 t="shared" si="3"/>
        <v>0.66666666666666663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 t="shared" si="3"/>
        <v>0.66666666666666663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 t="shared" si="3"/>
        <v>0.66666666666666663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 t="shared" si="3"/>
        <v>0.66666666666666663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 t="shared" si="3"/>
        <v>0.66666666666666663</v>
      </c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 t="shared" si="3"/>
        <v>0.66666666666666663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f>(14/21)</f>
        <v>0.66666666666666663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v>1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>
        <v>1</v>
      </c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/>
      <c r="D739" s="22"/>
      <c r="E739" s="22"/>
      <c r="F739" s="22"/>
    </row>
    <row r="740" spans="1:6" ht="14.5">
      <c r="A740" s="28">
        <v>44575</v>
      </c>
      <c r="B740" s="22">
        <v>2</v>
      </c>
      <c r="C740" s="22"/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/>
      <c r="D743" s="22"/>
      <c r="E743" s="22"/>
      <c r="F743" s="22"/>
    </row>
    <row r="744" spans="1:6" ht="14.5">
      <c r="A744" s="28">
        <v>44579</v>
      </c>
      <c r="B744" s="22">
        <v>3</v>
      </c>
      <c r="C744" s="22"/>
      <c r="D744" s="22"/>
      <c r="E744" s="22"/>
      <c r="F744" s="22"/>
    </row>
    <row r="745" spans="1:6" ht="14.5">
      <c r="A745" s="28">
        <v>44580</v>
      </c>
      <c r="B745" s="22">
        <v>3</v>
      </c>
      <c r="C745" s="22"/>
      <c r="D745" s="22"/>
      <c r="E745" s="22"/>
      <c r="F745" s="22"/>
    </row>
    <row r="746" spans="1:6" ht="14.5">
      <c r="A746" s="28">
        <v>44581</v>
      </c>
      <c r="B746" s="22">
        <v>3</v>
      </c>
      <c r="C746" s="22"/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(18/4)</f>
        <v>4.5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 t="shared" ref="C748:C750" si="4">(18/4)</f>
        <v>4.5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 t="shared" si="4"/>
        <v>4.5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 t="shared" si="4"/>
        <v>4.5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6/3</f>
        <v>2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 t="shared" ref="C752:C753" si="5">6/3</f>
        <v>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 t="shared" si="5"/>
        <v>2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6/4</f>
        <v>1.5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 t="shared" ref="C755:C757" si="6">6/4</f>
        <v>1.5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 t="shared" si="6"/>
        <v>1.5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 t="shared" si="6"/>
        <v>1.5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/>
      <c r="D759" s="52"/>
      <c r="E759" s="52"/>
      <c r="F759" s="52"/>
    </row>
    <row r="760" spans="1:6" ht="14.5">
      <c r="A760" s="49">
        <v>44595</v>
      </c>
      <c r="B760" s="52">
        <v>5</v>
      </c>
      <c r="C760" s="52"/>
      <c r="D760" s="52"/>
      <c r="E760" s="52"/>
      <c r="F760" s="52"/>
    </row>
    <row r="761" spans="1:6" ht="14.5">
      <c r="A761" s="49">
        <v>44596</v>
      </c>
      <c r="B761" s="52">
        <v>5</v>
      </c>
      <c r="C761" s="52"/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/>
      <c r="D764" s="52"/>
      <c r="E764" s="52"/>
      <c r="F764" s="52"/>
    </row>
    <row r="765" spans="1:6" ht="14.5">
      <c r="A765" s="49">
        <v>44600</v>
      </c>
      <c r="B765" s="52">
        <v>6</v>
      </c>
      <c r="C765" s="52"/>
      <c r="D765" s="52"/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/>
      <c r="E771" s="52"/>
      <c r="F771" s="52"/>
    </row>
    <row r="772" spans="1:6" ht="14.5">
      <c r="A772" s="49">
        <v>44607</v>
      </c>
      <c r="B772" s="52">
        <v>7</v>
      </c>
      <c r="C772" s="52"/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3/4</f>
        <v>0.75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 t="shared" ref="C779:C781" si="7">3/4</f>
        <v>0.75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 t="shared" si="7"/>
        <v>0.75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 t="shared" si="7"/>
        <v>0.75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/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1</f>
        <v>1</v>
      </c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6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G854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76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14</v>
      </c>
      <c r="B2" s="115"/>
      <c r="C2" s="115"/>
      <c r="D2" s="115"/>
      <c r="E2" s="115"/>
      <c r="F2" s="116"/>
      <c r="G2" s="72" t="s">
        <v>231</v>
      </c>
    </row>
    <row r="3" spans="1:7" ht="15" customHeight="1">
      <c r="A3" s="118" t="s">
        <v>412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>
        <v>1</v>
      </c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>
        <v>1</v>
      </c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>
        <v>1</v>
      </c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>
        <v>1</v>
      </c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>
        <v>1</v>
      </c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>
        <v>1</v>
      </c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>
        <v>1</v>
      </c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>
        <v>1</v>
      </c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>
        <v>1</v>
      </c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>
        <v>1</v>
      </c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>
        <v>1</v>
      </c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>
        <v>1</v>
      </c>
      <c r="D345" s="22">
        <v>1</v>
      </c>
      <c r="E345" s="14"/>
      <c r="F345" s="14"/>
      <c r="G345" s="54"/>
    </row>
    <row r="346" spans="1:7" ht="14.5">
      <c r="A346" s="25">
        <v>44181</v>
      </c>
      <c r="B346" s="26">
        <v>49</v>
      </c>
      <c r="C346" s="22">
        <v>1</v>
      </c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>
        <v>1</v>
      </c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>
        <v>1</v>
      </c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>
        <v>1</v>
      </c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v>2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1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>
        <v>1</v>
      </c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>
        <v>1</v>
      </c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>
        <v>1</v>
      </c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>
        <v>1</v>
      </c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>
        <v>1</v>
      </c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1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1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>
        <v>1</v>
      </c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2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1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C506" s="45">
        <v>2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>
        <v>1</v>
      </c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>
        <v>1</v>
      </c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>
        <v>2</v>
      </c>
      <c r="D541" s="22">
        <v>1</v>
      </c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>
        <v>1</v>
      </c>
      <c r="E548" s="14"/>
      <c r="F548" s="14"/>
      <c r="G548" s="54"/>
    </row>
    <row r="549" spans="1:7" ht="14.5">
      <c r="A549" s="25">
        <v>44384</v>
      </c>
      <c r="B549" s="22">
        <v>27</v>
      </c>
      <c r="C549" s="22">
        <v>3</v>
      </c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2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>
        <v>3</v>
      </c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>
        <v>2</v>
      </c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/>
      <c r="D565" s="22"/>
      <c r="E565" s="22"/>
      <c r="F565" s="22"/>
    </row>
    <row r="566" spans="1:7" ht="14.5">
      <c r="A566" s="28">
        <v>44401</v>
      </c>
      <c r="B566" s="22">
        <v>29</v>
      </c>
      <c r="C566" s="22"/>
      <c r="D566" s="22"/>
      <c r="E566" s="22"/>
      <c r="F566" s="22"/>
    </row>
    <row r="567" spans="1:7" ht="14.5">
      <c r="A567" s="28">
        <v>44402</v>
      </c>
      <c r="B567" s="22">
        <v>29</v>
      </c>
      <c r="C567" s="22"/>
      <c r="D567" s="22"/>
      <c r="E567" s="22"/>
      <c r="F567" s="22"/>
    </row>
    <row r="568" spans="1:7" ht="14.5">
      <c r="A568" s="28">
        <v>44403</v>
      </c>
      <c r="B568" s="22">
        <v>30</v>
      </c>
      <c r="C568" s="22"/>
      <c r="D568" s="22"/>
      <c r="E568" s="22"/>
      <c r="F568" s="22"/>
    </row>
    <row r="569" spans="1:7" ht="14.5">
      <c r="A569" s="28">
        <v>44404</v>
      </c>
      <c r="B569" s="22">
        <v>30</v>
      </c>
      <c r="C569" s="32"/>
      <c r="D569" s="32"/>
      <c r="E569" s="32"/>
      <c r="F569" s="32"/>
    </row>
    <row r="570" spans="1:7" ht="14.5">
      <c r="A570" s="28">
        <v>44405</v>
      </c>
      <c r="B570" s="22">
        <v>30</v>
      </c>
      <c r="C570" s="32"/>
      <c r="D570" s="32"/>
      <c r="E570" s="32"/>
      <c r="F570" s="32"/>
    </row>
    <row r="571" spans="1:7" ht="14.5">
      <c r="A571" s="28">
        <v>44406</v>
      </c>
      <c r="B571" s="22">
        <v>30</v>
      </c>
      <c r="C571" s="32">
        <v>2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22"/>
      <c r="D572" s="22"/>
      <c r="E572" s="22"/>
      <c r="F572" s="22"/>
    </row>
    <row r="573" spans="1:7" ht="14.5">
      <c r="A573" s="28">
        <v>44408</v>
      </c>
      <c r="B573" s="22">
        <v>30</v>
      </c>
      <c r="C573" s="22">
        <v>1</v>
      </c>
      <c r="D573" s="22"/>
      <c r="E573" s="22"/>
      <c r="F573" s="2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1+1+1</f>
        <v>3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1+1+1</f>
        <v>3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1+1</f>
        <v>2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f>1</f>
        <v>1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>1</f>
        <v>1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1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>1</f>
        <v>1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/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2</f>
        <v>2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/>
      <c r="D741" s="22"/>
      <c r="E741" s="22"/>
      <c r="F741" s="22"/>
    </row>
    <row r="742" spans="1:6" ht="14.5">
      <c r="A742" s="28">
        <v>44577</v>
      </c>
      <c r="B742" s="22">
        <v>2</v>
      </c>
      <c r="C742" s="22"/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1</f>
        <v>1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2</f>
        <v>2</v>
      </c>
      <c r="D744" s="22">
        <f>1</f>
        <v>1</v>
      </c>
      <c r="E744" s="22"/>
      <c r="F744" s="22"/>
    </row>
    <row r="745" spans="1:6" ht="14.5">
      <c r="A745" s="28">
        <v>44580</v>
      </c>
      <c r="B745" s="22">
        <v>3</v>
      </c>
      <c r="C745" s="22"/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2+2</f>
        <v>4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3+1</f>
        <v>4</v>
      </c>
      <c r="D747" s="22">
        <f>1+1</f>
        <v>2</v>
      </c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2</f>
        <v>2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3+1</f>
        <v>4</v>
      </c>
      <c r="D751" s="22">
        <f>(5/10)</f>
        <v>0.5</v>
      </c>
      <c r="E751" s="22"/>
      <c r="F751" s="22"/>
    </row>
    <row r="752" spans="1:6" ht="14.5">
      <c r="A752" s="28">
        <v>44587</v>
      </c>
      <c r="B752" s="22">
        <v>4</v>
      </c>
      <c r="C752" s="22">
        <f>2+2</f>
        <v>4</v>
      </c>
      <c r="D752" s="22">
        <f t="shared" ref="D752:D760" si="0">(5/10)</f>
        <v>0.5</v>
      </c>
      <c r="E752" s="22"/>
      <c r="F752" s="22"/>
    </row>
    <row r="753" spans="1:6" ht="14.5">
      <c r="A753" s="28">
        <v>44588</v>
      </c>
      <c r="B753" s="22">
        <v>4</v>
      </c>
      <c r="C753" s="22">
        <f>3</f>
        <v>3</v>
      </c>
      <c r="D753" s="22">
        <f t="shared" si="0"/>
        <v>0.5</v>
      </c>
      <c r="E753" s="22"/>
      <c r="F753" s="22"/>
    </row>
    <row r="754" spans="1:6" ht="14.5">
      <c r="A754" s="28">
        <v>44589</v>
      </c>
      <c r="B754" s="22">
        <v>4</v>
      </c>
      <c r="C754" s="22"/>
      <c r="D754" s="22">
        <f t="shared" si="0"/>
        <v>0.5</v>
      </c>
      <c r="E754" s="22"/>
      <c r="F754" s="22"/>
    </row>
    <row r="755" spans="1:6" ht="14.5">
      <c r="A755" s="28">
        <v>44590</v>
      </c>
      <c r="B755" s="22">
        <v>4</v>
      </c>
      <c r="C755" s="22"/>
      <c r="D755" s="22">
        <f t="shared" si="0"/>
        <v>0.5</v>
      </c>
      <c r="E755" s="22"/>
      <c r="F755" s="22"/>
    </row>
    <row r="756" spans="1:6" ht="14.5">
      <c r="A756" s="28">
        <v>44591</v>
      </c>
      <c r="B756" s="22">
        <v>4</v>
      </c>
      <c r="C756" s="22"/>
      <c r="D756" s="22">
        <f t="shared" si="0"/>
        <v>0.5</v>
      </c>
      <c r="E756" s="22"/>
      <c r="F756" s="22"/>
    </row>
    <row r="757" spans="1:6" ht="14.5">
      <c r="A757" s="28">
        <v>44592</v>
      </c>
      <c r="B757" s="22">
        <v>5</v>
      </c>
      <c r="C757" s="22">
        <f>(20/7)</f>
        <v>2.8571428571428572</v>
      </c>
      <c r="D757" s="22">
        <f t="shared" si="0"/>
        <v>0.5</v>
      </c>
      <c r="E757" s="22"/>
      <c r="F757" s="22"/>
    </row>
    <row r="758" spans="1:6" ht="14.5">
      <c r="A758" s="49">
        <v>44593</v>
      </c>
      <c r="B758" s="52">
        <v>5</v>
      </c>
      <c r="C758" s="22">
        <f t="shared" ref="C758:C763" si="1">(20/7)</f>
        <v>2.8571428571428572</v>
      </c>
      <c r="D758" s="22">
        <f t="shared" si="0"/>
        <v>0.5</v>
      </c>
      <c r="E758" s="52"/>
      <c r="F758" s="52"/>
    </row>
    <row r="759" spans="1:6" ht="14.5">
      <c r="A759" s="49">
        <v>44594</v>
      </c>
      <c r="B759" s="52">
        <v>5</v>
      </c>
      <c r="C759" s="22">
        <f t="shared" si="1"/>
        <v>2.8571428571428572</v>
      </c>
      <c r="D759" s="22">
        <f t="shared" si="0"/>
        <v>0.5</v>
      </c>
      <c r="E759" s="52"/>
      <c r="F759" s="52"/>
    </row>
    <row r="760" spans="1:6" ht="14.5">
      <c r="A760" s="49">
        <v>44595</v>
      </c>
      <c r="B760" s="52">
        <v>5</v>
      </c>
      <c r="C760" s="22">
        <f t="shared" si="1"/>
        <v>2.8571428571428572</v>
      </c>
      <c r="D760" s="22">
        <f t="shared" si="0"/>
        <v>0.5</v>
      </c>
      <c r="E760" s="52"/>
      <c r="F760" s="52"/>
    </row>
    <row r="761" spans="1:6" ht="14.5">
      <c r="A761" s="49">
        <v>44596</v>
      </c>
      <c r="B761" s="52">
        <v>5</v>
      </c>
      <c r="C761" s="22">
        <f t="shared" si="1"/>
        <v>2.8571428571428572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22">
        <f t="shared" si="1"/>
        <v>2.8571428571428572</v>
      </c>
      <c r="D762" s="52">
        <f>(5/11)</f>
        <v>0.45454545454545453</v>
      </c>
      <c r="E762" s="52"/>
      <c r="F762" s="52"/>
    </row>
    <row r="763" spans="1:6" ht="14.5">
      <c r="A763" s="49">
        <v>44598</v>
      </c>
      <c r="B763" s="52">
        <v>5</v>
      </c>
      <c r="C763" s="22">
        <f t="shared" si="1"/>
        <v>2.8571428571428572</v>
      </c>
      <c r="D763" s="52">
        <f t="shared" ref="D763:D772" si="2">(5/11)</f>
        <v>0.45454545454545453</v>
      </c>
      <c r="E763" s="52"/>
      <c r="F763" s="52"/>
    </row>
    <row r="764" spans="1:6" ht="14.5">
      <c r="A764" s="49">
        <v>44599</v>
      </c>
      <c r="B764" s="52">
        <v>6</v>
      </c>
      <c r="C764" s="52">
        <f>(14/7)</f>
        <v>2</v>
      </c>
      <c r="D764" s="52">
        <f t="shared" si="2"/>
        <v>0.45454545454545453</v>
      </c>
      <c r="E764" s="52"/>
      <c r="F764" s="52"/>
    </row>
    <row r="765" spans="1:6" ht="14.5">
      <c r="A765" s="49">
        <v>44600</v>
      </c>
      <c r="B765" s="52">
        <v>6</v>
      </c>
      <c r="C765" s="52">
        <f t="shared" ref="C765:C770" si="3">(14/7)</f>
        <v>2</v>
      </c>
      <c r="D765" s="52">
        <f t="shared" si="2"/>
        <v>0.45454545454545453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si="3"/>
        <v>2</v>
      </c>
      <c r="D766" s="52">
        <f t="shared" si="2"/>
        <v>0.45454545454545453</v>
      </c>
      <c r="E766" s="52"/>
      <c r="F766" s="52"/>
    </row>
    <row r="767" spans="1:6" ht="14.5">
      <c r="A767" s="49">
        <v>44602</v>
      </c>
      <c r="B767" s="52">
        <v>6</v>
      </c>
      <c r="C767" s="52">
        <f t="shared" si="3"/>
        <v>2</v>
      </c>
      <c r="D767" s="52">
        <f t="shared" si="2"/>
        <v>0.45454545454545453</v>
      </c>
      <c r="E767" s="52"/>
      <c r="F767" s="52"/>
    </row>
    <row r="768" spans="1:6" ht="14.5">
      <c r="A768" s="49">
        <v>44603</v>
      </c>
      <c r="B768" s="52">
        <v>6</v>
      </c>
      <c r="C768" s="52">
        <f t="shared" si="3"/>
        <v>2</v>
      </c>
      <c r="D768" s="52">
        <f t="shared" si="2"/>
        <v>0.45454545454545453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3"/>
        <v>2</v>
      </c>
      <c r="D769" s="52">
        <f t="shared" si="2"/>
        <v>0.45454545454545453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3"/>
        <v>2</v>
      </c>
      <c r="D770" s="52">
        <f t="shared" si="2"/>
        <v>0.45454545454545453</v>
      </c>
      <c r="E770" s="52"/>
      <c r="F770" s="52"/>
    </row>
    <row r="771" spans="1:6" ht="14.5">
      <c r="A771" s="49">
        <v>44606</v>
      </c>
      <c r="B771" s="52">
        <v>7</v>
      </c>
      <c r="C771" s="52">
        <f>(7/7)</f>
        <v>1</v>
      </c>
      <c r="D771" s="52">
        <f t="shared" si="2"/>
        <v>0.45454545454545453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ref="C772:C777" si="4">(7/7)</f>
        <v>1</v>
      </c>
      <c r="D772" s="52">
        <f t="shared" si="2"/>
        <v>0.45454545454545453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4"/>
        <v>1</v>
      </c>
      <c r="D773" s="52">
        <f>(5/8)</f>
        <v>0.625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4"/>
        <v>1</v>
      </c>
      <c r="D774" s="52">
        <f t="shared" ref="D774:D780" si="5">(5/8)</f>
        <v>0.625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4"/>
        <v>1</v>
      </c>
      <c r="D775" s="52">
        <f t="shared" si="5"/>
        <v>0.625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4"/>
        <v>1</v>
      </c>
      <c r="D776" s="52">
        <f t="shared" si="5"/>
        <v>0.625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4"/>
        <v>1</v>
      </c>
      <c r="D777" s="52">
        <f t="shared" si="5"/>
        <v>0.625</v>
      </c>
      <c r="E777" s="52"/>
      <c r="F777" s="52"/>
    </row>
    <row r="778" spans="1:6" ht="14.5">
      <c r="A778" s="49">
        <v>44613</v>
      </c>
      <c r="B778" s="52">
        <v>8</v>
      </c>
      <c r="C778" s="52">
        <f>(5/7)</f>
        <v>0.7142857142857143</v>
      </c>
      <c r="D778" s="52">
        <f t="shared" si="5"/>
        <v>0.625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ref="C779:C784" si="6">(5/7)</f>
        <v>0.7142857142857143</v>
      </c>
      <c r="D779" s="52">
        <f t="shared" si="5"/>
        <v>0.625</v>
      </c>
      <c r="E779" s="52"/>
      <c r="F779" s="52"/>
    </row>
    <row r="780" spans="1:6" ht="14.5">
      <c r="A780" s="49">
        <v>44615</v>
      </c>
      <c r="B780" s="52">
        <v>8</v>
      </c>
      <c r="C780" s="52">
        <f t="shared" si="6"/>
        <v>0.7142857142857143</v>
      </c>
      <c r="D780" s="52">
        <f t="shared" si="5"/>
        <v>0.625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si="6"/>
        <v>0.7142857142857143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 t="shared" si="6"/>
        <v>0.7142857142857143</v>
      </c>
      <c r="D782" s="52">
        <f>1</f>
        <v>1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6"/>
        <v>0.7142857142857143</v>
      </c>
      <c r="D783" s="52"/>
      <c r="E783" s="52"/>
      <c r="F783" s="52"/>
    </row>
    <row r="784" spans="1:6" ht="14.5">
      <c r="A784" s="49">
        <v>44619</v>
      </c>
      <c r="B784" s="52">
        <v>8</v>
      </c>
      <c r="C784" s="52">
        <f t="shared" si="6"/>
        <v>0.7142857142857143</v>
      </c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(11/7)</f>
        <v>1.5714285714285714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 t="shared" ref="C786:C791" si="7">(11/7)</f>
        <v>1.5714285714285714</v>
      </c>
      <c r="D786" s="52"/>
      <c r="E786" s="52"/>
      <c r="F786" s="52"/>
    </row>
    <row r="787" spans="1:6" ht="14.5">
      <c r="A787" s="64">
        <v>44622</v>
      </c>
      <c r="B787" s="52">
        <v>9</v>
      </c>
      <c r="C787" s="52">
        <f t="shared" si="7"/>
        <v>1.5714285714285714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 t="shared" si="7"/>
        <v>1.5714285714285714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>
        <f t="shared" si="7"/>
        <v>1.5714285714285714</v>
      </c>
      <c r="D789" s="52"/>
      <c r="E789" s="52"/>
      <c r="F789" s="52"/>
    </row>
    <row r="790" spans="1:6" ht="14.5">
      <c r="A790" s="64">
        <v>44625</v>
      </c>
      <c r="B790" s="52">
        <v>9</v>
      </c>
      <c r="C790" s="52">
        <f t="shared" si="7"/>
        <v>1.5714285714285714</v>
      </c>
      <c r="D790" s="52"/>
      <c r="E790" s="52"/>
      <c r="F790" s="52"/>
    </row>
    <row r="791" spans="1:6" ht="14.5">
      <c r="A791" s="64">
        <v>44626</v>
      </c>
      <c r="B791" s="52">
        <v>9</v>
      </c>
      <c r="C791" s="52">
        <f t="shared" si="7"/>
        <v>1.5714285714285714</v>
      </c>
      <c r="D791" s="52"/>
      <c r="E791" s="52"/>
      <c r="F791" s="52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7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G859"/>
  <sheetViews>
    <sheetView zoomScaleNormal="100" workbookViewId="0">
      <pane ySplit="7" topLeftCell="A8" activePane="bottomLeft" state="frozen"/>
      <selection pane="bottomLeft" activeCell="G2" sqref="G2"/>
    </sheetView>
  </sheetViews>
  <sheetFormatPr defaultColWidth="12.58203125" defaultRowHeight="15" customHeight="1"/>
  <cols>
    <col min="1" max="1" width="10.33203125" style="55" bestFit="1" customWidth="1"/>
    <col min="2" max="2" width="5.6640625" style="55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4.91406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66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15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413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>
        <v>1</v>
      </c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>
        <v>1</v>
      </c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>
        <v>1</v>
      </c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>
        <v>1</v>
      </c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>
        <v>1</v>
      </c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>
        <v>1</v>
      </c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1.5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1.5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>
        <v>1</v>
      </c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>
        <v>1</v>
      </c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>
        <v>1</v>
      </c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>
        <v>1</v>
      </c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>
        <v>1</v>
      </c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>
        <v>1</v>
      </c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1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1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>
        <v>1</v>
      </c>
      <c r="E475" s="14"/>
      <c r="F475" s="14"/>
      <c r="G475" s="54"/>
    </row>
    <row r="476" spans="1:7" ht="14.5">
      <c r="A476" s="25">
        <v>44311</v>
      </c>
      <c r="B476" s="26">
        <v>16</v>
      </c>
      <c r="C476" s="22">
        <v>1</v>
      </c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2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1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>
        <v>1</v>
      </c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>
        <v>1</v>
      </c>
      <c r="D489" s="22">
        <v>1</v>
      </c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3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>
        <v>1</v>
      </c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>
        <v>2</v>
      </c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>
        <v>2</v>
      </c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>
        <v>2</v>
      </c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>
        <v>1</v>
      </c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1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>
        <v>1</v>
      </c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v>1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>
        <v>1</v>
      </c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>
        <v>1</v>
      </c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>
        <v>1</v>
      </c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1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5">
        <v>44400</v>
      </c>
      <c r="B565" s="32">
        <v>29</v>
      </c>
      <c r="C565" s="32"/>
      <c r="D565" s="32"/>
      <c r="E565" s="32"/>
      <c r="F565" s="32"/>
    </row>
    <row r="566" spans="1:7" ht="14.5">
      <c r="A566" s="25">
        <v>44401</v>
      </c>
      <c r="B566" s="22">
        <v>29</v>
      </c>
      <c r="C566" s="32"/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/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8">
        <v>44407</v>
      </c>
      <c r="B572" s="22">
        <v>30</v>
      </c>
      <c r="C572" s="22"/>
      <c r="D572" s="22"/>
      <c r="E572" s="22"/>
      <c r="F572" s="22"/>
    </row>
    <row r="573" spans="1:7" ht="14.5">
      <c r="A573" s="28">
        <v>44408</v>
      </c>
      <c r="B573" s="22">
        <v>30</v>
      </c>
      <c r="C573" s="22"/>
      <c r="D573" s="22"/>
      <c r="E573" s="22"/>
      <c r="F573" s="22"/>
    </row>
    <row r="574" spans="1:7" ht="14.5">
      <c r="A574" s="28">
        <v>44409</v>
      </c>
      <c r="B574" s="22">
        <v>30</v>
      </c>
      <c r="C574" s="22">
        <v>1</v>
      </c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>
        <v>1</v>
      </c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1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1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>
        <f>1+1</f>
        <v>2</v>
      </c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>1</f>
        <v>1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1+1</f>
        <v>2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1</f>
        <v>1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1+1</f>
        <v>2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1</f>
        <v>1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2+1</f>
        <v>3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</f>
        <v>1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>
        <f>1</f>
        <v>1</v>
      </c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>
        <f>1</f>
        <v>1</v>
      </c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1</f>
        <v>1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>2</f>
        <v>2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>1</f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>
        <f>1</f>
        <v>1</v>
      </c>
      <c r="E618" s="22"/>
      <c r="F618" s="22"/>
    </row>
    <row r="619" spans="1:6" ht="14.5">
      <c r="A619" s="28">
        <v>44454</v>
      </c>
      <c r="B619" s="22">
        <v>37</v>
      </c>
      <c r="C619" s="22">
        <f>1</f>
        <v>1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>
        <f>1</f>
        <v>1</v>
      </c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>
        <f>1</f>
        <v>1</v>
      </c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>
        <f>1</f>
        <v>1</v>
      </c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>
        <f>1</f>
        <v>1</v>
      </c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>
        <f>1</f>
        <v>1</v>
      </c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>1</f>
        <v>1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>1</f>
        <v>1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1+1</f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5</f>
        <v>5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2</f>
        <v>2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2</f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21/3</f>
        <v>7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 t="shared" ref="C741:C742" si="0">21/3</f>
        <v>7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 t="shared" si="0"/>
        <v>7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33/3</f>
        <v>11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 t="shared" ref="C744:C745" si="1">33/3</f>
        <v>11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 t="shared" si="1"/>
        <v>11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(13/4)</f>
        <v>3.25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 t="shared" ref="C747:C749" si="2">(13/4)</f>
        <v>3.25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 t="shared" si="2"/>
        <v>3.25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 t="shared" si="2"/>
        <v>3.25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(28/3)</f>
        <v>9.3333333333333339</v>
      </c>
      <c r="D750" s="22">
        <f>(3/3)</f>
        <v>1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ref="C751:C752" si="3">(28/3)</f>
        <v>9.3333333333333339</v>
      </c>
      <c r="D751" s="22">
        <f t="shared" ref="D751:D752" si="4">(3/3)</f>
        <v>1</v>
      </c>
      <c r="E751" s="22"/>
      <c r="F751" s="22"/>
    </row>
    <row r="752" spans="1:6" ht="14.5">
      <c r="A752" s="28">
        <v>44587</v>
      </c>
      <c r="B752" s="22">
        <v>4</v>
      </c>
      <c r="C752" s="22">
        <f t="shared" si="3"/>
        <v>9.3333333333333339</v>
      </c>
      <c r="D752" s="22">
        <f t="shared" si="4"/>
        <v>1</v>
      </c>
      <c r="E752" s="22"/>
      <c r="F752" s="22"/>
    </row>
    <row r="753" spans="1:6" ht="14.5">
      <c r="A753" s="28">
        <v>44588</v>
      </c>
      <c r="B753" s="22">
        <v>4</v>
      </c>
      <c r="C753" s="22">
        <f>(24/4)</f>
        <v>6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 t="shared" ref="C754:C756" si="5">(24/4)</f>
        <v>6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 t="shared" si="5"/>
        <v>6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 t="shared" si="5"/>
        <v>6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(13/3)</f>
        <v>4.333333333333333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22">
        <f t="shared" ref="C758:C759" si="6">(13/3)</f>
        <v>4.333333333333333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22">
        <f t="shared" si="6"/>
        <v>4.333333333333333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(15/5)</f>
        <v>3</v>
      </c>
      <c r="D760" s="52">
        <f>(1/5)</f>
        <v>0.2</v>
      </c>
      <c r="E760" s="52"/>
      <c r="F760" s="52"/>
    </row>
    <row r="761" spans="1:6" ht="14.5">
      <c r="A761" s="49">
        <v>44596</v>
      </c>
      <c r="B761" s="52">
        <v>5</v>
      </c>
      <c r="C761" s="52">
        <f t="shared" ref="C761:C764" si="7">(15/5)</f>
        <v>3</v>
      </c>
      <c r="D761" s="52">
        <f t="shared" ref="D761:D764" si="8">(1/5)</f>
        <v>0.2</v>
      </c>
      <c r="E761" s="52"/>
      <c r="F761" s="52"/>
    </row>
    <row r="762" spans="1:6" ht="14.5">
      <c r="A762" s="49">
        <v>44597</v>
      </c>
      <c r="B762" s="52">
        <v>5</v>
      </c>
      <c r="C762" s="52">
        <f t="shared" si="7"/>
        <v>3</v>
      </c>
      <c r="D762" s="52">
        <f t="shared" si="8"/>
        <v>0.2</v>
      </c>
      <c r="E762" s="52"/>
      <c r="F762" s="52"/>
    </row>
    <row r="763" spans="1:6" ht="14.5">
      <c r="A763" s="49">
        <v>44598</v>
      </c>
      <c r="B763" s="52">
        <v>5</v>
      </c>
      <c r="C763" s="52">
        <f t="shared" si="7"/>
        <v>3</v>
      </c>
      <c r="D763" s="52">
        <f t="shared" si="8"/>
        <v>0.2</v>
      </c>
      <c r="E763" s="52"/>
      <c r="F763" s="52"/>
    </row>
    <row r="764" spans="1:6" ht="14.5">
      <c r="A764" s="49">
        <v>44599</v>
      </c>
      <c r="B764" s="52">
        <v>6</v>
      </c>
      <c r="C764" s="52">
        <f t="shared" si="7"/>
        <v>3</v>
      </c>
      <c r="D764" s="52">
        <f t="shared" si="8"/>
        <v>0.2</v>
      </c>
      <c r="E764" s="52"/>
      <c r="F764" s="52"/>
    </row>
    <row r="765" spans="1:6" ht="14.5">
      <c r="A765" s="49">
        <v>44600</v>
      </c>
      <c r="B765" s="52">
        <v>6</v>
      </c>
      <c r="C765" s="52">
        <f>(9/6)</f>
        <v>1.5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 t="shared" ref="C766:C770" si="9">(9/6)</f>
        <v>1.5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 t="shared" si="9"/>
        <v>1.5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 t="shared" si="9"/>
        <v>1.5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 t="shared" si="9"/>
        <v>1.5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f t="shared" si="9"/>
        <v>1.5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(1/8)</f>
        <v>0.125</v>
      </c>
      <c r="D771" s="52">
        <f>(1/8)</f>
        <v>0.125</v>
      </c>
      <c r="E771" s="52"/>
      <c r="F771" s="52"/>
    </row>
    <row r="772" spans="1:6" ht="14.5">
      <c r="A772" s="49">
        <v>44607</v>
      </c>
      <c r="B772" s="52">
        <v>7</v>
      </c>
      <c r="C772" s="52">
        <f t="shared" ref="C772:D778" si="10">(1/8)</f>
        <v>0.125</v>
      </c>
      <c r="D772" s="52">
        <f t="shared" si="10"/>
        <v>0.125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si="10"/>
        <v>0.125</v>
      </c>
      <c r="D773" s="52">
        <f t="shared" si="10"/>
        <v>0.125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10"/>
        <v>0.125</v>
      </c>
      <c r="D774" s="52">
        <f t="shared" si="10"/>
        <v>0.125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10"/>
        <v>0.125</v>
      </c>
      <c r="D775" s="52">
        <f t="shared" si="10"/>
        <v>0.125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10"/>
        <v>0.125</v>
      </c>
      <c r="D776" s="52">
        <f t="shared" si="10"/>
        <v>0.125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10"/>
        <v>0.125</v>
      </c>
      <c r="D777" s="52">
        <f t="shared" si="10"/>
        <v>0.125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10"/>
        <v>0.125</v>
      </c>
      <c r="D778" s="52">
        <f t="shared" si="10"/>
        <v>0.125</v>
      </c>
      <c r="E778" s="52"/>
      <c r="F778" s="52"/>
    </row>
    <row r="779" spans="1:6" ht="14.5">
      <c r="A779" s="49">
        <v>44614</v>
      </c>
      <c r="B779" s="52">
        <v>8</v>
      </c>
      <c r="C779" s="52">
        <f>(3/6)</f>
        <v>0.5</v>
      </c>
      <c r="D779" s="52">
        <f>(1/6)</f>
        <v>0.16666666666666666</v>
      </c>
      <c r="E779" s="52"/>
      <c r="F779" s="52"/>
    </row>
    <row r="780" spans="1:6" ht="14.5">
      <c r="A780" s="49">
        <v>44615</v>
      </c>
      <c r="B780" s="52">
        <v>8</v>
      </c>
      <c r="C780" s="52">
        <f t="shared" ref="C780:C784" si="11">(3/6)</f>
        <v>0.5</v>
      </c>
      <c r="D780" s="52">
        <f t="shared" ref="D780:D784" si="12">(1/6)</f>
        <v>0.16666666666666666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si="11"/>
        <v>0.5</v>
      </c>
      <c r="D781" s="52">
        <f t="shared" si="12"/>
        <v>0.16666666666666666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11"/>
        <v>0.5</v>
      </c>
      <c r="D782" s="52">
        <f t="shared" si="12"/>
        <v>0.16666666666666666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11"/>
        <v>0.5</v>
      </c>
      <c r="D783" s="52">
        <f t="shared" si="12"/>
        <v>0.16666666666666666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11"/>
        <v>0.5</v>
      </c>
      <c r="D784" s="52">
        <f t="shared" si="12"/>
        <v>0.16666666666666666</v>
      </c>
      <c r="E784" s="52"/>
      <c r="F784" s="52"/>
    </row>
    <row r="785" spans="1:6" ht="14.5">
      <c r="A785" s="50">
        <v>44620</v>
      </c>
      <c r="B785" s="52">
        <v>9</v>
      </c>
      <c r="C785" s="52">
        <f>6/7</f>
        <v>0.8571428571428571</v>
      </c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 t="shared" ref="C786:C791" si="13">6/7</f>
        <v>0.8571428571428571</v>
      </c>
      <c r="D786" s="52"/>
      <c r="E786" s="52"/>
      <c r="F786" s="52"/>
    </row>
    <row r="787" spans="1:6" ht="14.5">
      <c r="A787" s="64">
        <v>44622</v>
      </c>
      <c r="B787" s="52">
        <v>9</v>
      </c>
      <c r="C787" s="52">
        <f t="shared" si="13"/>
        <v>0.8571428571428571</v>
      </c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 t="shared" si="13"/>
        <v>0.8571428571428571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>
        <f t="shared" si="13"/>
        <v>0.8571428571428571</v>
      </c>
      <c r="D789" s="52"/>
      <c r="E789" s="52"/>
      <c r="F789" s="52"/>
    </row>
    <row r="790" spans="1:6" ht="14.5">
      <c r="A790" s="64">
        <v>44625</v>
      </c>
      <c r="B790" s="52">
        <v>9</v>
      </c>
      <c r="C790" s="52">
        <f t="shared" si="13"/>
        <v>0.8571428571428571</v>
      </c>
      <c r="D790" s="52"/>
      <c r="E790" s="52"/>
      <c r="F790" s="52"/>
    </row>
    <row r="791" spans="1:6" ht="14.5">
      <c r="A791" s="64">
        <v>44626</v>
      </c>
      <c r="B791" s="52">
        <v>9</v>
      </c>
      <c r="C791" s="52">
        <f t="shared" si="13"/>
        <v>0.8571428571428571</v>
      </c>
      <c r="D791" s="52"/>
      <c r="E791" s="52"/>
      <c r="F791" s="52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8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67</v>
      </c>
      <c r="B1" s="112"/>
      <c r="C1" s="112"/>
      <c r="D1" s="112"/>
      <c r="E1" s="112"/>
      <c r="F1" s="113"/>
      <c r="G1" s="69" t="s">
        <v>86</v>
      </c>
    </row>
    <row r="2" spans="1:7" ht="29.25" customHeight="1">
      <c r="A2" s="123" t="s">
        <v>16</v>
      </c>
      <c r="B2" s="145"/>
      <c r="C2" s="145"/>
      <c r="D2" s="145"/>
      <c r="E2" s="145"/>
      <c r="F2" s="146"/>
      <c r="G2" s="68" t="s">
        <v>411</v>
      </c>
    </row>
    <row r="3" spans="1:7" ht="15" customHeight="1">
      <c r="A3" s="118" t="s">
        <v>415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9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12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12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9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9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9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9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9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>
        <v>1</v>
      </c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>
        <v>1</v>
      </c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>
        <v>1</v>
      </c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>
        <v>1</v>
      </c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>
        <v>1</v>
      </c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>
        <v>1</v>
      </c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>
        <v>1</v>
      </c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>
        <v>1</v>
      </c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>
        <v>1</v>
      </c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>
        <v>1</v>
      </c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>
        <v>1</v>
      </c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>
        <v>1</v>
      </c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>
        <v>1</v>
      </c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>
        <v>1</v>
      </c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>
        <v>3</v>
      </c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>
        <v>4</v>
      </c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v>3</v>
      </c>
      <c r="D373" s="22">
        <v>1</v>
      </c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>
        <v>1</v>
      </c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>
        <v>1</v>
      </c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>
        <v>1</v>
      </c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4.5">
      <c r="A397" s="25">
        <v>44232</v>
      </c>
      <c r="B397" s="26">
        <v>5</v>
      </c>
      <c r="C397" s="22"/>
      <c r="D397" s="22"/>
      <c r="E397" s="14"/>
      <c r="F397" s="14"/>
      <c r="G397" s="99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>
        <v>1</v>
      </c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4.5">
      <c r="A444" s="25">
        <v>44279</v>
      </c>
      <c r="B444" s="26">
        <v>12</v>
      </c>
      <c r="C444" s="22"/>
      <c r="D444" s="22"/>
      <c r="E444" s="14"/>
      <c r="F444" s="14"/>
      <c r="G444" s="99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>
        <v>1</v>
      </c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>
        <v>1</v>
      </c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>
        <v>4</v>
      </c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>
        <v>3</v>
      </c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>
        <v>2</v>
      </c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>
        <v>5</v>
      </c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>
        <v>2</v>
      </c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3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1</v>
      </c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3</v>
      </c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4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4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6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4.5">
      <c r="A482" s="25">
        <v>44317</v>
      </c>
      <c r="B482" s="26">
        <v>17</v>
      </c>
      <c r="C482" s="22">
        <v>3</v>
      </c>
      <c r="D482" s="22">
        <v>1</v>
      </c>
      <c r="E482" s="14"/>
      <c r="F482" s="14"/>
      <c r="G482" s="99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3</v>
      </c>
      <c r="D487" s="22">
        <v>1</v>
      </c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3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3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>
        <v>1</v>
      </c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>
        <v>2</v>
      </c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4.5">
      <c r="A502" s="25">
        <v>44337</v>
      </c>
      <c r="B502" s="26">
        <v>20</v>
      </c>
      <c r="C502" s="22"/>
      <c r="D502" s="22"/>
      <c r="E502" s="14"/>
      <c r="F502" s="14"/>
      <c r="G502" s="99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>
        <v>1</v>
      </c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>
        <v>1</v>
      </c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>
        <v>1</v>
      </c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>
        <v>1</v>
      </c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4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5">
        <v>44400</v>
      </c>
      <c r="B565" s="32">
        <v>29</v>
      </c>
      <c r="C565" s="32"/>
      <c r="D565" s="32"/>
      <c r="E565" s="32"/>
      <c r="F565" s="32"/>
    </row>
    <row r="566" spans="1:7" ht="14.5">
      <c r="A566" s="25">
        <v>44401</v>
      </c>
      <c r="B566" s="22">
        <v>29</v>
      </c>
      <c r="C566" s="32"/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5">
        <v>44407</v>
      </c>
      <c r="B572" s="22">
        <v>30</v>
      </c>
      <c r="C572" s="32"/>
      <c r="D572" s="32"/>
      <c r="E572" s="32"/>
      <c r="F572" s="32"/>
    </row>
    <row r="573" spans="1:7" ht="14.5">
      <c r="A573" s="25">
        <v>44408</v>
      </c>
      <c r="B573" s="22">
        <v>30</v>
      </c>
      <c r="C573" s="32">
        <v>1</v>
      </c>
      <c r="D573" s="32"/>
      <c r="E573" s="32"/>
      <c r="F573" s="3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v>1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v>1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1+1</f>
        <v>2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/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v>3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2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v>1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7" ht="14.5">
      <c r="A609" s="28">
        <v>44444</v>
      </c>
      <c r="B609" s="22">
        <v>35</v>
      </c>
      <c r="C609" s="22"/>
      <c r="D609" s="22"/>
      <c r="E609" s="22"/>
      <c r="F609" s="22"/>
    </row>
    <row r="610" spans="1:7" ht="14.5">
      <c r="A610" s="28">
        <v>44445</v>
      </c>
      <c r="B610" s="22">
        <v>36</v>
      </c>
      <c r="C610" s="22">
        <v>7</v>
      </c>
      <c r="D610" s="22"/>
      <c r="E610" s="22"/>
      <c r="F610" s="22"/>
    </row>
    <row r="611" spans="1:7" ht="14.5">
      <c r="A611" s="28">
        <v>44446</v>
      </c>
      <c r="B611" s="22">
        <v>36</v>
      </c>
      <c r="C611" s="22"/>
      <c r="D611" s="22"/>
      <c r="E611" s="22"/>
      <c r="F611" s="22"/>
    </row>
    <row r="612" spans="1:7" ht="14.5">
      <c r="A612" s="28">
        <v>44447</v>
      </c>
      <c r="B612" s="22">
        <v>36</v>
      </c>
      <c r="C612" s="22">
        <v>5</v>
      </c>
      <c r="D612" s="22"/>
      <c r="E612" s="22"/>
      <c r="F612" s="22"/>
    </row>
    <row r="613" spans="1:7" ht="14.5">
      <c r="A613" s="28">
        <v>44448</v>
      </c>
      <c r="B613" s="22">
        <v>36</v>
      </c>
      <c r="C613" s="22"/>
      <c r="D613" s="22"/>
      <c r="E613" s="22"/>
      <c r="F613" s="22"/>
    </row>
    <row r="614" spans="1:7" ht="14.5">
      <c r="A614" s="28">
        <v>44449</v>
      </c>
      <c r="B614" s="22">
        <v>36</v>
      </c>
      <c r="C614" s="22"/>
      <c r="D614" s="22"/>
      <c r="E614" s="22"/>
      <c r="F614" s="22"/>
    </row>
    <row r="615" spans="1:7" ht="14.5">
      <c r="A615" s="28">
        <v>44450</v>
      </c>
      <c r="B615" s="22">
        <v>36</v>
      </c>
      <c r="C615" s="22">
        <v>7</v>
      </c>
      <c r="D615" s="22"/>
      <c r="E615" s="22"/>
      <c r="F615" s="22"/>
      <c r="G615" s="80" t="s">
        <v>414</v>
      </c>
    </row>
    <row r="616" spans="1:7" ht="14.5">
      <c r="A616" s="28">
        <v>44451</v>
      </c>
      <c r="B616" s="22">
        <v>36</v>
      </c>
      <c r="C616" s="22"/>
      <c r="D616" s="22"/>
      <c r="E616" s="22"/>
      <c r="F616" s="22"/>
    </row>
    <row r="617" spans="1:7" ht="14.5">
      <c r="A617" s="28">
        <v>44452</v>
      </c>
      <c r="B617" s="22">
        <v>37</v>
      </c>
      <c r="C617" s="22"/>
      <c r="D617" s="22"/>
      <c r="E617" s="22"/>
      <c r="F617" s="22"/>
    </row>
    <row r="618" spans="1:7" ht="14.5">
      <c r="A618" s="28">
        <v>44453</v>
      </c>
      <c r="B618" s="22">
        <v>37</v>
      </c>
      <c r="C618" s="22">
        <v>5</v>
      </c>
      <c r="D618" s="22"/>
      <c r="E618" s="22"/>
      <c r="F618" s="22"/>
    </row>
    <row r="619" spans="1:7" ht="14.5">
      <c r="A619" s="28">
        <v>44454</v>
      </c>
      <c r="B619" s="22">
        <v>37</v>
      </c>
      <c r="C619" s="22"/>
      <c r="D619" s="22"/>
      <c r="E619" s="22"/>
      <c r="F619" s="22"/>
    </row>
    <row r="620" spans="1:7" ht="14.5">
      <c r="A620" s="28">
        <v>44455</v>
      </c>
      <c r="B620" s="22">
        <v>37</v>
      </c>
      <c r="C620" s="22"/>
      <c r="D620" s="22"/>
      <c r="E620" s="22"/>
      <c r="F620" s="22"/>
    </row>
    <row r="621" spans="1:7" ht="14.5">
      <c r="A621" s="28">
        <v>44456</v>
      </c>
      <c r="B621" s="22">
        <v>37</v>
      </c>
      <c r="C621" s="22">
        <v>1</v>
      </c>
      <c r="D621" s="22"/>
      <c r="E621" s="22"/>
      <c r="F621" s="22"/>
    </row>
    <row r="622" spans="1:7" ht="14.5">
      <c r="A622" s="28">
        <v>44457</v>
      </c>
      <c r="B622" s="22">
        <v>37</v>
      </c>
      <c r="C622" s="22"/>
      <c r="D622" s="22"/>
      <c r="E622" s="22"/>
      <c r="F622" s="22"/>
    </row>
    <row r="623" spans="1:7" ht="14.5">
      <c r="A623" s="28">
        <v>44458</v>
      </c>
      <c r="B623" s="22">
        <v>37</v>
      </c>
      <c r="C623" s="22"/>
      <c r="D623" s="22"/>
      <c r="E623" s="22"/>
      <c r="F623" s="22"/>
    </row>
    <row r="624" spans="1:7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>
        <v>1</v>
      </c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>
        <v>3</v>
      </c>
      <c r="D641" s="22"/>
      <c r="E641" s="22"/>
      <c r="F641" s="22"/>
    </row>
    <row r="642" spans="1:6" ht="14.5">
      <c r="A642" s="28">
        <v>44477</v>
      </c>
      <c r="B642" s="22">
        <v>40</v>
      </c>
      <c r="C642" s="22">
        <v>1</v>
      </c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>
        <v>1</v>
      </c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>
        <v>1</v>
      </c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12/8</f>
        <v>1.5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 t="shared" ref="C733:C739" si="0">12/8</f>
        <v>1.5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 t="shared" si="0"/>
        <v>1.5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 t="shared" si="0"/>
        <v>1.5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 t="shared" si="0"/>
        <v>1.5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 t="shared" si="0"/>
        <v>1.5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 t="shared" si="0"/>
        <v>1.5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 t="shared" si="0"/>
        <v>1.5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25/3</f>
        <v>8.3333333333333339</v>
      </c>
      <c r="D740" s="22">
        <f>1/3</f>
        <v>0.33333333333333331</v>
      </c>
      <c r="E740" s="22"/>
      <c r="F740" s="22"/>
    </row>
    <row r="741" spans="1:6" ht="14.5">
      <c r="A741" s="28">
        <v>44576</v>
      </c>
      <c r="B741" s="22">
        <v>2</v>
      </c>
      <c r="C741" s="22">
        <f>(25/3)+(14/17)</f>
        <v>9.1568627450980404</v>
      </c>
      <c r="D741" s="22">
        <f t="shared" ref="D741:D742" si="1">1/3</f>
        <v>0.33333333333333331</v>
      </c>
      <c r="E741" s="22"/>
      <c r="F741" s="22"/>
    </row>
    <row r="742" spans="1:6" ht="14.5">
      <c r="A742" s="28">
        <v>44577</v>
      </c>
      <c r="B742" s="22">
        <v>2</v>
      </c>
      <c r="C742" s="22">
        <f>(25/3)+(14/17)</f>
        <v>9.1568627450980404</v>
      </c>
      <c r="D742" s="22">
        <f t="shared" si="1"/>
        <v>0.33333333333333331</v>
      </c>
      <c r="E742" s="22"/>
      <c r="F742" s="22"/>
    </row>
    <row r="743" spans="1:6" ht="14.5">
      <c r="A743" s="28">
        <v>44578</v>
      </c>
      <c r="B743" s="22">
        <v>3</v>
      </c>
      <c r="C743" s="22">
        <f>(27/3)+(14/17)</f>
        <v>9.8235294117647065</v>
      </c>
      <c r="D743" s="22">
        <f>3/3</f>
        <v>1</v>
      </c>
      <c r="E743" s="22"/>
      <c r="F743" s="22"/>
    </row>
    <row r="744" spans="1:6" ht="14.5">
      <c r="A744" s="28">
        <v>44579</v>
      </c>
      <c r="B744" s="22">
        <v>3</v>
      </c>
      <c r="C744" s="22">
        <f>(27/3)+(14/17)</f>
        <v>9.8235294117647065</v>
      </c>
      <c r="D744" s="22">
        <f t="shared" ref="D744:D745" si="2">3/3</f>
        <v>1</v>
      </c>
      <c r="E744" s="22"/>
      <c r="F744" s="22"/>
    </row>
    <row r="745" spans="1:6" ht="14.5">
      <c r="A745" s="28">
        <v>44580</v>
      </c>
      <c r="B745" s="22">
        <v>3</v>
      </c>
      <c r="C745" s="22">
        <f>(27/3)+(14/17)</f>
        <v>9.8235294117647065</v>
      </c>
      <c r="D745" s="22">
        <f t="shared" si="2"/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f>(14/4)+(14/17)</f>
        <v>4.3235294117647056</v>
      </c>
      <c r="D746" s="22">
        <f>1/4</f>
        <v>0.25</v>
      </c>
      <c r="E746" s="22"/>
      <c r="F746" s="22"/>
    </row>
    <row r="747" spans="1:6" ht="14.5">
      <c r="A747" s="28">
        <v>44582</v>
      </c>
      <c r="B747" s="22">
        <v>3</v>
      </c>
      <c r="C747" s="22">
        <f t="shared" ref="C747:C748" si="3">(14/4)+(14/17)</f>
        <v>4.3235294117647056</v>
      </c>
      <c r="D747" s="22">
        <f t="shared" ref="D747:D749" si="4">1/4</f>
        <v>0.25</v>
      </c>
      <c r="E747" s="22"/>
      <c r="F747" s="22"/>
    </row>
    <row r="748" spans="1:6" ht="14.5">
      <c r="A748" s="28">
        <v>44583</v>
      </c>
      <c r="B748" s="22">
        <v>3</v>
      </c>
      <c r="C748" s="22">
        <f t="shared" si="3"/>
        <v>4.3235294117647056</v>
      </c>
      <c r="D748" s="22">
        <f t="shared" si="4"/>
        <v>0.25</v>
      </c>
      <c r="E748" s="22"/>
      <c r="F748" s="22"/>
    </row>
    <row r="749" spans="1:6" ht="14.5">
      <c r="A749" s="28">
        <v>44584</v>
      </c>
      <c r="B749" s="22">
        <v>3</v>
      </c>
      <c r="C749" s="22">
        <f>(14/4)+(14/17)</f>
        <v>4.3235294117647056</v>
      </c>
      <c r="D749" s="22">
        <f t="shared" si="4"/>
        <v>0.25</v>
      </c>
      <c r="E749" s="22"/>
      <c r="F749" s="22"/>
    </row>
    <row r="750" spans="1:6" ht="14.5">
      <c r="A750" s="28">
        <v>44585</v>
      </c>
      <c r="B750" s="22">
        <v>4</v>
      </c>
      <c r="C750" s="22">
        <f>(27/3)+(14/17)</f>
        <v>9.8235294117647065</v>
      </c>
      <c r="D750" s="22">
        <f>1/3</f>
        <v>0.33333333333333331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ref="C751" si="5">(27/3)+(14/17)</f>
        <v>9.8235294117647065</v>
      </c>
      <c r="D751" s="22">
        <f t="shared" ref="D751:D752" si="6">1/3</f>
        <v>0.33333333333333331</v>
      </c>
      <c r="E751" s="22"/>
      <c r="F751" s="22"/>
    </row>
    <row r="752" spans="1:6" ht="14.5">
      <c r="A752" s="28">
        <v>44587</v>
      </c>
      <c r="B752" s="22">
        <v>4</v>
      </c>
      <c r="C752" s="22">
        <f>(27/3)+(14/17)</f>
        <v>9.8235294117647065</v>
      </c>
      <c r="D752" s="22">
        <f t="shared" si="6"/>
        <v>0.33333333333333331</v>
      </c>
      <c r="E752" s="22"/>
      <c r="F752" s="22"/>
    </row>
    <row r="753" spans="1:6" ht="14.5">
      <c r="A753" s="28">
        <v>44588</v>
      </c>
      <c r="B753" s="22">
        <v>4</v>
      </c>
      <c r="C753" s="22">
        <f>(13/4)+(14/17)</f>
        <v>4.0735294117647056</v>
      </c>
      <c r="D753" s="22">
        <f>1/4</f>
        <v>0.25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ref="C754:C755" si="7">(13/4)+(14/17)</f>
        <v>4.0735294117647056</v>
      </c>
      <c r="D754" s="22">
        <f t="shared" ref="D754:D756" si="8">1/4</f>
        <v>0.25</v>
      </c>
      <c r="E754" s="22"/>
      <c r="F754" s="22"/>
    </row>
    <row r="755" spans="1:6" ht="14.5">
      <c r="A755" s="28">
        <v>44590</v>
      </c>
      <c r="B755" s="22">
        <v>4</v>
      </c>
      <c r="C755" s="22">
        <f t="shared" si="7"/>
        <v>4.0735294117647056</v>
      </c>
      <c r="D755" s="22">
        <f t="shared" si="8"/>
        <v>0.25</v>
      </c>
      <c r="E755" s="22"/>
      <c r="F755" s="22"/>
    </row>
    <row r="756" spans="1:6" ht="14.5">
      <c r="A756" s="28">
        <v>44591</v>
      </c>
      <c r="B756" s="22">
        <v>4</v>
      </c>
      <c r="C756" s="22">
        <f>(13/4)+(14/17)</f>
        <v>4.0735294117647056</v>
      </c>
      <c r="D756" s="22">
        <f t="shared" si="8"/>
        <v>0.25</v>
      </c>
      <c r="E756" s="22"/>
      <c r="F756" s="22"/>
    </row>
    <row r="757" spans="1:6" ht="14.5">
      <c r="A757" s="28">
        <v>44592</v>
      </c>
      <c r="B757" s="22">
        <v>5</v>
      </c>
      <c r="C757" s="22">
        <f>(38/8)+(14/17)</f>
        <v>5.5735294117647056</v>
      </c>
      <c r="D757" s="22">
        <f>7/8</f>
        <v>0.875</v>
      </c>
      <c r="E757" s="22"/>
      <c r="F757" s="22"/>
    </row>
    <row r="758" spans="1:6" ht="14.5">
      <c r="A758" s="49">
        <v>44593</v>
      </c>
      <c r="B758" s="52">
        <v>5</v>
      </c>
      <c r="C758" s="22">
        <f t="shared" ref="C758:C764" si="9">38/8</f>
        <v>4.75</v>
      </c>
      <c r="D758" s="22">
        <f t="shared" ref="D758:D764" si="10">7/8</f>
        <v>0.875</v>
      </c>
      <c r="E758" s="52"/>
      <c r="F758" s="52"/>
    </row>
    <row r="759" spans="1:6" ht="14.5">
      <c r="A759" s="49">
        <v>44594</v>
      </c>
      <c r="B759" s="52">
        <v>5</v>
      </c>
      <c r="C759" s="22">
        <f t="shared" si="9"/>
        <v>4.75</v>
      </c>
      <c r="D759" s="22">
        <f t="shared" si="10"/>
        <v>0.875</v>
      </c>
      <c r="E759" s="52"/>
      <c r="F759" s="52"/>
    </row>
    <row r="760" spans="1:6" ht="14.5">
      <c r="A760" s="49">
        <v>44595</v>
      </c>
      <c r="B760" s="52">
        <v>5</v>
      </c>
      <c r="C760" s="22">
        <f t="shared" si="9"/>
        <v>4.75</v>
      </c>
      <c r="D760" s="22">
        <f t="shared" si="10"/>
        <v>0.875</v>
      </c>
      <c r="E760" s="52"/>
      <c r="F760" s="52"/>
    </row>
    <row r="761" spans="1:6" ht="14.5">
      <c r="A761" s="49">
        <v>44596</v>
      </c>
      <c r="B761" s="52">
        <v>5</v>
      </c>
      <c r="C761" s="22">
        <f t="shared" si="9"/>
        <v>4.75</v>
      </c>
      <c r="D761" s="22">
        <f t="shared" si="10"/>
        <v>0.875</v>
      </c>
      <c r="E761" s="52"/>
      <c r="F761" s="52"/>
    </row>
    <row r="762" spans="1:6" ht="14.5">
      <c r="A762" s="49">
        <v>44597</v>
      </c>
      <c r="B762" s="52">
        <v>5</v>
      </c>
      <c r="C762" s="22">
        <f t="shared" si="9"/>
        <v>4.75</v>
      </c>
      <c r="D762" s="22">
        <f t="shared" si="10"/>
        <v>0.875</v>
      </c>
      <c r="E762" s="52"/>
      <c r="F762" s="52"/>
    </row>
    <row r="763" spans="1:6" ht="14.5">
      <c r="A763" s="49">
        <v>44598</v>
      </c>
      <c r="B763" s="52">
        <v>5</v>
      </c>
      <c r="C763" s="22">
        <f t="shared" si="9"/>
        <v>4.75</v>
      </c>
      <c r="D763" s="22">
        <f t="shared" si="10"/>
        <v>0.875</v>
      </c>
      <c r="E763" s="52"/>
      <c r="F763" s="52"/>
    </row>
    <row r="764" spans="1:6" ht="14.5">
      <c r="A764" s="49">
        <v>44599</v>
      </c>
      <c r="B764" s="52">
        <v>6</v>
      </c>
      <c r="C764" s="22">
        <f t="shared" si="9"/>
        <v>4.75</v>
      </c>
      <c r="D764" s="22">
        <f t="shared" si="10"/>
        <v>0.875</v>
      </c>
      <c r="E764" s="52"/>
      <c r="F764" s="52"/>
    </row>
    <row r="765" spans="1:6" ht="14.5">
      <c r="A765" s="49">
        <v>44600</v>
      </c>
      <c r="B765" s="52">
        <v>6</v>
      </c>
      <c r="C765" s="52">
        <f>17/7</f>
        <v>2.4285714285714284</v>
      </c>
      <c r="D765" s="52">
        <f>2/7</f>
        <v>0.2857142857142857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ref="C766:C771" si="11">17/7</f>
        <v>2.4285714285714284</v>
      </c>
      <c r="D766" s="52">
        <f t="shared" ref="D766:D771" si="12">2/7</f>
        <v>0.2857142857142857</v>
      </c>
      <c r="E766" s="52"/>
      <c r="F766" s="52"/>
    </row>
    <row r="767" spans="1:6" ht="14.5">
      <c r="A767" s="49">
        <v>44602</v>
      </c>
      <c r="B767" s="52">
        <v>6</v>
      </c>
      <c r="C767" s="52">
        <f t="shared" si="11"/>
        <v>2.4285714285714284</v>
      </c>
      <c r="D767" s="52">
        <f t="shared" si="12"/>
        <v>0.2857142857142857</v>
      </c>
      <c r="E767" s="52"/>
      <c r="F767" s="52"/>
    </row>
    <row r="768" spans="1:6" ht="14.5">
      <c r="A768" s="49">
        <v>44603</v>
      </c>
      <c r="B768" s="52">
        <v>6</v>
      </c>
      <c r="C768" s="52">
        <f t="shared" si="11"/>
        <v>2.4285714285714284</v>
      </c>
      <c r="D768" s="52">
        <f t="shared" si="12"/>
        <v>0.2857142857142857</v>
      </c>
      <c r="E768" s="52"/>
      <c r="F768" s="52"/>
    </row>
    <row r="769" spans="1:6" ht="14.5">
      <c r="A769" s="49">
        <v>44604</v>
      </c>
      <c r="B769" s="52">
        <v>6</v>
      </c>
      <c r="C769" s="52">
        <f t="shared" si="11"/>
        <v>2.4285714285714284</v>
      </c>
      <c r="D769" s="52">
        <f t="shared" si="12"/>
        <v>0.2857142857142857</v>
      </c>
      <c r="E769" s="52"/>
      <c r="F769" s="52"/>
    </row>
    <row r="770" spans="1:6" ht="14.5">
      <c r="A770" s="49">
        <v>44605</v>
      </c>
      <c r="B770" s="52">
        <v>6</v>
      </c>
      <c r="C770" s="52">
        <f t="shared" si="11"/>
        <v>2.4285714285714284</v>
      </c>
      <c r="D770" s="52">
        <f t="shared" si="12"/>
        <v>0.2857142857142857</v>
      </c>
      <c r="E770" s="52"/>
      <c r="F770" s="52"/>
    </row>
    <row r="771" spans="1:6" ht="14.5">
      <c r="A771" s="49">
        <v>44606</v>
      </c>
      <c r="B771" s="52">
        <v>7</v>
      </c>
      <c r="C771" s="52">
        <f t="shared" si="11"/>
        <v>2.4285714285714284</v>
      </c>
      <c r="D771" s="52">
        <f t="shared" si="12"/>
        <v>0.2857142857142857</v>
      </c>
      <c r="E771" s="52"/>
      <c r="F771" s="52"/>
    </row>
    <row r="772" spans="1:6" ht="14.5">
      <c r="A772" s="49">
        <v>44607</v>
      </c>
      <c r="B772" s="52">
        <v>7</v>
      </c>
      <c r="C772" s="52">
        <f>14/8</f>
        <v>1.75</v>
      </c>
      <c r="D772" s="52">
        <f>2/8</f>
        <v>0.25</v>
      </c>
      <c r="E772" s="52"/>
      <c r="F772" s="52"/>
    </row>
    <row r="773" spans="1:6" ht="14.5">
      <c r="A773" s="49">
        <v>44608</v>
      </c>
      <c r="B773" s="52">
        <v>7</v>
      </c>
      <c r="C773" s="52">
        <f t="shared" ref="C773:C779" si="13">14/8</f>
        <v>1.75</v>
      </c>
      <c r="D773" s="52">
        <f t="shared" ref="D773:D779" si="14">2/8</f>
        <v>0.25</v>
      </c>
      <c r="E773" s="52"/>
      <c r="F773" s="52"/>
    </row>
    <row r="774" spans="1:6" ht="14.5">
      <c r="A774" s="49">
        <v>44609</v>
      </c>
      <c r="B774" s="52">
        <v>7</v>
      </c>
      <c r="C774" s="52">
        <f t="shared" si="13"/>
        <v>1.75</v>
      </c>
      <c r="D774" s="52">
        <f t="shared" si="14"/>
        <v>0.25</v>
      </c>
      <c r="E774" s="52"/>
      <c r="F774" s="52"/>
    </row>
    <row r="775" spans="1:6" ht="14.5">
      <c r="A775" s="49">
        <v>44610</v>
      </c>
      <c r="B775" s="52">
        <v>7</v>
      </c>
      <c r="C775" s="52">
        <f t="shared" si="13"/>
        <v>1.75</v>
      </c>
      <c r="D775" s="52">
        <f t="shared" si="14"/>
        <v>0.25</v>
      </c>
      <c r="E775" s="52"/>
      <c r="F775" s="52"/>
    </row>
    <row r="776" spans="1:6" ht="14.5">
      <c r="A776" s="49">
        <v>44611</v>
      </c>
      <c r="B776" s="52">
        <v>7</v>
      </c>
      <c r="C776" s="52">
        <f t="shared" si="13"/>
        <v>1.75</v>
      </c>
      <c r="D776" s="52">
        <f t="shared" si="14"/>
        <v>0.25</v>
      </c>
      <c r="E776" s="52"/>
      <c r="F776" s="52"/>
    </row>
    <row r="777" spans="1:6" ht="14.5">
      <c r="A777" s="49">
        <v>44612</v>
      </c>
      <c r="B777" s="52">
        <v>7</v>
      </c>
      <c r="C777" s="52">
        <f t="shared" si="13"/>
        <v>1.75</v>
      </c>
      <c r="D777" s="52">
        <f t="shared" si="14"/>
        <v>0.25</v>
      </c>
      <c r="E777" s="52"/>
      <c r="F777" s="52"/>
    </row>
    <row r="778" spans="1:6" ht="14.5">
      <c r="A778" s="49">
        <v>44613</v>
      </c>
      <c r="B778" s="52">
        <v>8</v>
      </c>
      <c r="C778" s="52">
        <f t="shared" si="13"/>
        <v>1.75</v>
      </c>
      <c r="D778" s="52">
        <f t="shared" si="14"/>
        <v>0.25</v>
      </c>
      <c r="E778" s="52"/>
      <c r="F778" s="52"/>
    </row>
    <row r="779" spans="1:6" ht="14.5">
      <c r="A779" s="49">
        <v>44614</v>
      </c>
      <c r="B779" s="52">
        <v>8</v>
      </c>
      <c r="C779" s="52">
        <f t="shared" si="13"/>
        <v>1.75</v>
      </c>
      <c r="D779" s="52">
        <f t="shared" si="14"/>
        <v>0.25</v>
      </c>
      <c r="E779" s="52"/>
      <c r="F779" s="52"/>
    </row>
    <row r="780" spans="1:6" ht="14.5">
      <c r="A780" s="49">
        <v>44615</v>
      </c>
      <c r="B780" s="52">
        <v>8</v>
      </c>
      <c r="C780" s="52">
        <f>(7/7)</f>
        <v>1</v>
      </c>
      <c r="D780" s="52">
        <f>(2/7)</f>
        <v>0.2857142857142857</v>
      </c>
      <c r="E780" s="52"/>
      <c r="F780" s="52"/>
    </row>
    <row r="781" spans="1:6" ht="14.5">
      <c r="A781" s="49">
        <v>44616</v>
      </c>
      <c r="B781" s="52">
        <v>8</v>
      </c>
      <c r="C781" s="52">
        <f t="shared" ref="C781:C786" si="15">(7/7)</f>
        <v>1</v>
      </c>
      <c r="D781" s="52">
        <f t="shared" ref="D781:D786" si="16">(2/7)</f>
        <v>0.2857142857142857</v>
      </c>
      <c r="E781" s="52"/>
      <c r="F781" s="52"/>
    </row>
    <row r="782" spans="1:6" ht="14.5">
      <c r="A782" s="49">
        <v>44617</v>
      </c>
      <c r="B782" s="52">
        <v>8</v>
      </c>
      <c r="C782" s="52">
        <f t="shared" si="15"/>
        <v>1</v>
      </c>
      <c r="D782" s="52">
        <f t="shared" si="16"/>
        <v>0.2857142857142857</v>
      </c>
      <c r="E782" s="52"/>
      <c r="F782" s="52"/>
    </row>
    <row r="783" spans="1:6" ht="14.5">
      <c r="A783" s="49">
        <v>44618</v>
      </c>
      <c r="B783" s="52">
        <v>8</v>
      </c>
      <c r="C783" s="52">
        <f t="shared" si="15"/>
        <v>1</v>
      </c>
      <c r="D783" s="52">
        <f t="shared" si="16"/>
        <v>0.2857142857142857</v>
      </c>
      <c r="E783" s="52"/>
      <c r="F783" s="52"/>
    </row>
    <row r="784" spans="1:6" ht="14.5">
      <c r="A784" s="49">
        <v>44619</v>
      </c>
      <c r="B784" s="52">
        <v>8</v>
      </c>
      <c r="C784" s="52">
        <f t="shared" si="15"/>
        <v>1</v>
      </c>
      <c r="D784" s="52">
        <f t="shared" si="16"/>
        <v>0.2857142857142857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15"/>
        <v>1</v>
      </c>
      <c r="D785" s="52">
        <f t="shared" si="16"/>
        <v>0.2857142857142857</v>
      </c>
      <c r="E785" s="52"/>
      <c r="F785" s="52"/>
    </row>
    <row r="786" spans="1:6" ht="14.5">
      <c r="A786" s="64">
        <v>44621</v>
      </c>
      <c r="B786" s="52">
        <v>9</v>
      </c>
      <c r="C786" s="52">
        <f t="shared" si="15"/>
        <v>1</v>
      </c>
      <c r="D786" s="52">
        <f t="shared" si="16"/>
        <v>0.2857142857142857</v>
      </c>
      <c r="E786" s="52"/>
      <c r="F786" s="52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A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G858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69</v>
      </c>
      <c r="B1" s="112"/>
      <c r="C1" s="112"/>
      <c r="D1" s="112"/>
      <c r="E1" s="112"/>
      <c r="F1" s="113"/>
      <c r="G1" s="69" t="s">
        <v>86</v>
      </c>
    </row>
    <row r="2" spans="1:7" ht="15" customHeight="1">
      <c r="A2" s="141" t="s">
        <v>18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413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>
        <v>1</v>
      </c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>
        <v>1</v>
      </c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>
        <v>1</v>
      </c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>
        <v>1</v>
      </c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>
        <v>1</v>
      </c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>
        <v>1</v>
      </c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>
        <v>1</v>
      </c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>
        <v>2</v>
      </c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>
        <v>1</v>
      </c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>
        <v>1</v>
      </c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>
        <v>2</v>
      </c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>
        <v>1</v>
      </c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>
        <v>3</v>
      </c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>
        <v>1</v>
      </c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>
        <v>1</v>
      </c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1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>
        <v>1</v>
      </c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>
        <v>1</v>
      </c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>
        <v>1</v>
      </c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>
        <v>1</v>
      </c>
      <c r="D347" s="22">
        <v>1</v>
      </c>
      <c r="E347" s="14"/>
      <c r="F347" s="14"/>
      <c r="G347" s="54"/>
    </row>
    <row r="348" spans="1:7" ht="14.5">
      <c r="A348" s="25">
        <v>44183</v>
      </c>
      <c r="B348" s="26">
        <v>49</v>
      </c>
      <c r="C348" s="22">
        <v>1</v>
      </c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>
        <v>1</v>
      </c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>
        <v>1</v>
      </c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>
        <v>3</v>
      </c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>
        <v>2</v>
      </c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>
        <v>1</v>
      </c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1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>
        <v>1</v>
      </c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>
        <v>1</v>
      </c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>
        <v>1</v>
      </c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>
        <f t="shared" ref="C440:C444" si="0">6/5</f>
        <v>1.2</v>
      </c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>
        <f t="shared" si="0"/>
        <v>1.2</v>
      </c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>
        <f t="shared" si="0"/>
        <v>1.2</v>
      </c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>
        <f t="shared" si="0"/>
        <v>1.2</v>
      </c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>
        <f t="shared" si="0"/>
        <v>1.2</v>
      </c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>
        <v>1</v>
      </c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>
        <v>1</v>
      </c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>
        <v>2</v>
      </c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>
        <v>2</v>
      </c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1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1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1</v>
      </c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1</v>
      </c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>
        <v>1</v>
      </c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1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4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>
        <v>1</v>
      </c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5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3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>
        <v>3</v>
      </c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1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1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>
        <v>4</v>
      </c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>
        <v>1</v>
      </c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>
        <v>1</v>
      </c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>
        <v>1</v>
      </c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1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v>2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C506" s="45">
        <v>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>
        <v>1</v>
      </c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>
        <v>1</v>
      </c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>
        <v>1</v>
      </c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>
        <v>1</v>
      </c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>
        <v>1</v>
      </c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>
        <v>1</v>
      </c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v>2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v>1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>
        <v>2</v>
      </c>
      <c r="D564" s="22"/>
      <c r="E564" s="14"/>
      <c r="F564" s="14"/>
      <c r="G564" s="54"/>
    </row>
    <row r="565" spans="1:7" ht="14.5">
      <c r="A565" s="25">
        <v>44400</v>
      </c>
      <c r="B565" s="32">
        <v>29</v>
      </c>
      <c r="C565" s="32"/>
      <c r="D565" s="32"/>
      <c r="E565" s="32"/>
      <c r="F565" s="32"/>
    </row>
    <row r="566" spans="1:7" ht="14.5">
      <c r="A566" s="25">
        <v>44401</v>
      </c>
      <c r="B566" s="22">
        <v>29</v>
      </c>
      <c r="C566" s="32"/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>
        <v>1</v>
      </c>
      <c r="D568" s="32"/>
      <c r="E568" s="32"/>
      <c r="F568" s="32"/>
    </row>
    <row r="569" spans="1:7" ht="14.5">
      <c r="A569" s="25">
        <v>44404</v>
      </c>
      <c r="B569" s="22">
        <v>30</v>
      </c>
      <c r="C569" s="32"/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5">
        <v>44407</v>
      </c>
      <c r="B572" s="22">
        <v>30</v>
      </c>
      <c r="C572" s="32">
        <f>2</f>
        <v>2</v>
      </c>
      <c r="D572" s="32"/>
      <c r="E572" s="32"/>
      <c r="F572" s="32"/>
    </row>
    <row r="573" spans="1:7" ht="14.5">
      <c r="A573" s="25">
        <v>44408</v>
      </c>
      <c r="B573" s="22">
        <v>30</v>
      </c>
      <c r="C573" s="32"/>
      <c r="D573" s="32"/>
      <c r="E573" s="32"/>
      <c r="F573" s="3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/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f>2</f>
        <v>2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1</f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2</f>
        <v>2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5/5</f>
        <v>1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f t="shared" ref="C580:C583" si="1">5/5</f>
        <v>1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f t="shared" si="1"/>
        <v>1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 t="shared" si="1"/>
        <v>1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f t="shared" si="1"/>
        <v>1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>18/9</f>
        <v>2</v>
      </c>
      <c r="D584" s="22">
        <f>1/9</f>
        <v>0.1111111111111111</v>
      </c>
      <c r="E584" s="22"/>
      <c r="F584" s="22"/>
    </row>
    <row r="585" spans="1:6" ht="14.5">
      <c r="A585" s="28">
        <v>44420</v>
      </c>
      <c r="B585" s="22">
        <v>32</v>
      </c>
      <c r="C585" s="22">
        <f t="shared" ref="C585:C592" si="2">18/9</f>
        <v>2</v>
      </c>
      <c r="D585" s="22">
        <f t="shared" ref="D585:D592" si="3">1/9</f>
        <v>0.1111111111111111</v>
      </c>
      <c r="E585" s="22"/>
      <c r="F585" s="22"/>
    </row>
    <row r="586" spans="1:6" ht="14.5">
      <c r="A586" s="28">
        <v>44421</v>
      </c>
      <c r="B586" s="22">
        <v>32</v>
      </c>
      <c r="C586" s="22">
        <f t="shared" si="2"/>
        <v>2</v>
      </c>
      <c r="D586" s="22">
        <f t="shared" si="3"/>
        <v>0.1111111111111111</v>
      </c>
      <c r="E586" s="22"/>
      <c r="F586" s="22"/>
    </row>
    <row r="587" spans="1:6" ht="14.5">
      <c r="A587" s="28">
        <v>44422</v>
      </c>
      <c r="B587" s="22">
        <v>32</v>
      </c>
      <c r="C587" s="22">
        <f t="shared" si="2"/>
        <v>2</v>
      </c>
      <c r="D587" s="22">
        <f t="shared" si="3"/>
        <v>0.1111111111111111</v>
      </c>
      <c r="E587" s="22"/>
      <c r="F587" s="22"/>
    </row>
    <row r="588" spans="1:6" ht="14.5">
      <c r="A588" s="28">
        <v>44423</v>
      </c>
      <c r="B588" s="22">
        <v>32</v>
      </c>
      <c r="C588" s="22">
        <f t="shared" si="2"/>
        <v>2</v>
      </c>
      <c r="D588" s="22">
        <f t="shared" si="3"/>
        <v>0.1111111111111111</v>
      </c>
      <c r="E588" s="22"/>
      <c r="F588" s="22"/>
    </row>
    <row r="589" spans="1:6" ht="14.5">
      <c r="A589" s="28">
        <v>44424</v>
      </c>
      <c r="B589" s="22">
        <v>33</v>
      </c>
      <c r="C589" s="22">
        <f t="shared" si="2"/>
        <v>2</v>
      </c>
      <c r="D589" s="22">
        <f t="shared" si="3"/>
        <v>0.1111111111111111</v>
      </c>
      <c r="E589" s="22"/>
      <c r="F589" s="22"/>
    </row>
    <row r="590" spans="1:6" ht="14.5">
      <c r="A590" s="28">
        <v>44425</v>
      </c>
      <c r="B590" s="22">
        <v>33</v>
      </c>
      <c r="C590" s="22">
        <f t="shared" si="2"/>
        <v>2</v>
      </c>
      <c r="D590" s="22">
        <f t="shared" si="3"/>
        <v>0.1111111111111111</v>
      </c>
      <c r="E590" s="22"/>
      <c r="F590" s="22"/>
    </row>
    <row r="591" spans="1:6" ht="14.5">
      <c r="A591" s="28">
        <v>44426</v>
      </c>
      <c r="B591" s="22">
        <v>33</v>
      </c>
      <c r="C591" s="22">
        <f t="shared" si="2"/>
        <v>2</v>
      </c>
      <c r="D591" s="22">
        <f t="shared" si="3"/>
        <v>0.1111111111111111</v>
      </c>
      <c r="E591" s="22"/>
      <c r="F591" s="22"/>
    </row>
    <row r="592" spans="1:6" ht="14.5">
      <c r="A592" s="28">
        <v>44427</v>
      </c>
      <c r="B592" s="22">
        <v>33</v>
      </c>
      <c r="C592" s="22">
        <f t="shared" si="2"/>
        <v>2</v>
      </c>
      <c r="D592" s="22">
        <f t="shared" si="3"/>
        <v>0.1111111111111111</v>
      </c>
      <c r="E592" s="22"/>
      <c r="F592" s="22"/>
    </row>
    <row r="593" spans="1:6" ht="14.5">
      <c r="A593" s="28">
        <v>44428</v>
      </c>
      <c r="B593" s="22">
        <v>33</v>
      </c>
      <c r="C593" s="22">
        <f>19/7</f>
        <v>2.7142857142857144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 t="shared" ref="C594:C599" si="4">19/7</f>
        <v>2.7142857142857144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 t="shared" si="4"/>
        <v>2.7142857142857144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 t="shared" si="4"/>
        <v>2.7142857142857144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 t="shared" si="4"/>
        <v>2.7142857142857144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 t="shared" si="4"/>
        <v>2.7142857142857144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 t="shared" si="4"/>
        <v>2.7142857142857144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12/7</f>
        <v>1.7142857142857142</v>
      </c>
      <c r="D600" s="22">
        <f>1/7</f>
        <v>0.14285714285714285</v>
      </c>
      <c r="E600" s="22"/>
      <c r="F600" s="22"/>
    </row>
    <row r="601" spans="1:6" ht="14.5">
      <c r="A601" s="28">
        <v>44436</v>
      </c>
      <c r="B601" s="22">
        <v>34</v>
      </c>
      <c r="C601" s="22">
        <f t="shared" ref="C601:C606" si="5">12/7</f>
        <v>1.7142857142857142</v>
      </c>
      <c r="D601" s="22">
        <f t="shared" ref="D601:D606" si="6">1/7</f>
        <v>0.14285714285714285</v>
      </c>
      <c r="E601" s="22"/>
      <c r="F601" s="22"/>
    </row>
    <row r="602" spans="1:6" ht="14.5">
      <c r="A602" s="28">
        <v>44437</v>
      </c>
      <c r="B602" s="22">
        <v>34</v>
      </c>
      <c r="C602" s="22">
        <f t="shared" si="5"/>
        <v>1.7142857142857142</v>
      </c>
      <c r="D602" s="22">
        <f t="shared" si="6"/>
        <v>0.14285714285714285</v>
      </c>
      <c r="E602" s="22"/>
      <c r="F602" s="22"/>
    </row>
    <row r="603" spans="1:6" ht="14.5">
      <c r="A603" s="28">
        <v>44438</v>
      </c>
      <c r="B603" s="22">
        <v>35</v>
      </c>
      <c r="C603" s="22">
        <f t="shared" si="5"/>
        <v>1.7142857142857142</v>
      </c>
      <c r="D603" s="22">
        <f t="shared" si="6"/>
        <v>0.14285714285714285</v>
      </c>
      <c r="E603" s="22"/>
      <c r="F603" s="22"/>
    </row>
    <row r="604" spans="1:6" ht="14.5">
      <c r="A604" s="28">
        <v>44439</v>
      </c>
      <c r="B604" s="22">
        <v>35</v>
      </c>
      <c r="C604" s="22">
        <f t="shared" si="5"/>
        <v>1.7142857142857142</v>
      </c>
      <c r="D604" s="22">
        <f t="shared" si="6"/>
        <v>0.14285714285714285</v>
      </c>
      <c r="E604" s="22"/>
      <c r="F604" s="22"/>
    </row>
    <row r="605" spans="1:6" ht="14.5">
      <c r="A605" s="28">
        <v>44440</v>
      </c>
      <c r="B605" s="22">
        <v>35</v>
      </c>
      <c r="C605" s="22">
        <f t="shared" si="5"/>
        <v>1.7142857142857142</v>
      </c>
      <c r="D605" s="22">
        <f t="shared" si="6"/>
        <v>0.14285714285714285</v>
      </c>
      <c r="E605" s="22"/>
      <c r="F605" s="22"/>
    </row>
    <row r="606" spans="1:6" ht="14.5">
      <c r="A606" s="28">
        <v>44441</v>
      </c>
      <c r="B606" s="22">
        <v>35</v>
      </c>
      <c r="C606" s="22">
        <f t="shared" si="5"/>
        <v>1.7142857142857142</v>
      </c>
      <c r="D606" s="22">
        <f t="shared" si="6"/>
        <v>0.14285714285714285</v>
      </c>
      <c r="E606" s="22"/>
      <c r="F606" s="22"/>
    </row>
    <row r="607" spans="1:6" ht="14.5">
      <c r="A607" s="28">
        <v>44442</v>
      </c>
      <c r="B607" s="22">
        <v>35</v>
      </c>
      <c r="C607" s="22">
        <f>5/8</f>
        <v>0.625</v>
      </c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 t="shared" ref="C608:C614" si="7">5/8</f>
        <v>0.625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 t="shared" si="7"/>
        <v>0.625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 t="shared" si="7"/>
        <v>0.625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 t="shared" si="7"/>
        <v>0.625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f t="shared" si="7"/>
        <v>0.625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 t="shared" si="7"/>
        <v>0.625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f t="shared" si="7"/>
        <v>0.625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>3/7</f>
        <v>0.42857142857142855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 t="shared" ref="C616:C621" si="8">3/7</f>
        <v>0.42857142857142855</v>
      </c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f t="shared" si="8"/>
        <v>0.42857142857142855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f t="shared" si="8"/>
        <v>0.42857142857142855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f t="shared" si="8"/>
        <v>0.42857142857142855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f t="shared" si="8"/>
        <v>0.42857142857142855</v>
      </c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 t="shared" si="8"/>
        <v>0.42857142857142855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>
        <f>2/7</f>
        <v>0.2857142857142857</v>
      </c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 t="shared" ref="C623:C628" si="9">2/7</f>
        <v>0.2857142857142857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>
        <f t="shared" si="9"/>
        <v>0.2857142857142857</v>
      </c>
      <c r="D624" s="22"/>
      <c r="E624" s="22"/>
      <c r="F624" s="22"/>
    </row>
    <row r="625" spans="1:6" ht="14.5">
      <c r="A625" s="28">
        <v>44460</v>
      </c>
      <c r="B625" s="22">
        <v>38</v>
      </c>
      <c r="C625" s="22">
        <f t="shared" si="9"/>
        <v>0.2857142857142857</v>
      </c>
      <c r="D625" s="22"/>
      <c r="E625" s="22"/>
      <c r="F625" s="22"/>
    </row>
    <row r="626" spans="1:6" ht="14.5">
      <c r="A626" s="28">
        <v>44461</v>
      </c>
      <c r="B626" s="22">
        <v>38</v>
      </c>
      <c r="C626" s="22">
        <f t="shared" si="9"/>
        <v>0.2857142857142857</v>
      </c>
      <c r="D626" s="22"/>
      <c r="E626" s="22"/>
      <c r="F626" s="22"/>
    </row>
    <row r="627" spans="1:6" ht="14.5">
      <c r="A627" s="28">
        <v>44462</v>
      </c>
      <c r="B627" s="22">
        <v>38</v>
      </c>
      <c r="C627" s="22">
        <f t="shared" si="9"/>
        <v>0.2857142857142857</v>
      </c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 t="shared" si="9"/>
        <v>0.2857142857142857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>
        <f>1/7</f>
        <v>0.14285714285714285</v>
      </c>
      <c r="D629" s="22">
        <f>2/7</f>
        <v>0.2857142857142857</v>
      </c>
      <c r="E629" s="22"/>
      <c r="F629" s="22"/>
    </row>
    <row r="630" spans="1:6" ht="14.5">
      <c r="A630" s="28">
        <v>44465</v>
      </c>
      <c r="B630" s="22">
        <v>38</v>
      </c>
      <c r="C630" s="22">
        <f t="shared" ref="C630:C635" si="10">1/7</f>
        <v>0.14285714285714285</v>
      </c>
      <c r="D630" s="22">
        <f t="shared" ref="D630:D635" si="11">2/7</f>
        <v>0.2857142857142857</v>
      </c>
      <c r="E630" s="22"/>
      <c r="F630" s="22"/>
    </row>
    <row r="631" spans="1:6" ht="14.5">
      <c r="A631" s="28">
        <v>44466</v>
      </c>
      <c r="B631" s="22">
        <v>39</v>
      </c>
      <c r="C631" s="22">
        <f t="shared" si="10"/>
        <v>0.14285714285714285</v>
      </c>
      <c r="D631" s="22">
        <f t="shared" si="11"/>
        <v>0.2857142857142857</v>
      </c>
      <c r="E631" s="22"/>
      <c r="F631" s="22"/>
    </row>
    <row r="632" spans="1:6" ht="14.5">
      <c r="A632" s="28">
        <v>44467</v>
      </c>
      <c r="B632" s="22">
        <v>39</v>
      </c>
      <c r="C632" s="22">
        <f t="shared" si="10"/>
        <v>0.14285714285714285</v>
      </c>
      <c r="D632" s="22">
        <f t="shared" si="11"/>
        <v>0.2857142857142857</v>
      </c>
      <c r="E632" s="22"/>
      <c r="F632" s="22"/>
    </row>
    <row r="633" spans="1:6" ht="14.5">
      <c r="A633" s="28">
        <v>44468</v>
      </c>
      <c r="B633" s="22">
        <v>39</v>
      </c>
      <c r="C633" s="22">
        <f t="shared" si="10"/>
        <v>0.14285714285714285</v>
      </c>
      <c r="D633" s="22">
        <f t="shared" si="11"/>
        <v>0.2857142857142857</v>
      </c>
      <c r="E633" s="22"/>
      <c r="F633" s="22"/>
    </row>
    <row r="634" spans="1:6" ht="14.5">
      <c r="A634" s="28">
        <v>44469</v>
      </c>
      <c r="B634" s="22">
        <v>39</v>
      </c>
      <c r="C634" s="22">
        <f t="shared" si="10"/>
        <v>0.14285714285714285</v>
      </c>
      <c r="D634" s="22">
        <f t="shared" si="11"/>
        <v>0.2857142857142857</v>
      </c>
      <c r="E634" s="22"/>
      <c r="F634" s="22"/>
    </row>
    <row r="635" spans="1:6" ht="14.5">
      <c r="A635" s="28">
        <v>44470</v>
      </c>
      <c r="B635" s="22">
        <v>39</v>
      </c>
      <c r="C635" s="22">
        <f t="shared" si="10"/>
        <v>0.14285714285714285</v>
      </c>
      <c r="D635" s="22">
        <f t="shared" si="11"/>
        <v>0.2857142857142857</v>
      </c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>
        <v>1</v>
      </c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>
        <f>4/7</f>
        <v>0.5714285714285714</v>
      </c>
      <c r="D727" s="22"/>
      <c r="E727" s="22"/>
      <c r="F727" s="22"/>
    </row>
    <row r="728" spans="1:6" ht="14.5">
      <c r="A728" s="28">
        <v>44563</v>
      </c>
      <c r="B728" s="22">
        <v>52</v>
      </c>
      <c r="C728" s="22">
        <f t="shared" ref="C728:C733" si="12">4/7</f>
        <v>0.5714285714285714</v>
      </c>
      <c r="D728" s="22"/>
      <c r="E728" s="22"/>
      <c r="F728" s="22"/>
    </row>
    <row r="729" spans="1:6" ht="14.5">
      <c r="A729" s="28">
        <v>44564</v>
      </c>
      <c r="B729" s="22">
        <v>1</v>
      </c>
      <c r="C729" s="22">
        <f t="shared" si="12"/>
        <v>0.5714285714285714</v>
      </c>
      <c r="D729" s="22"/>
      <c r="E729" s="22"/>
      <c r="F729" s="22"/>
    </row>
    <row r="730" spans="1:6" ht="14.5">
      <c r="A730" s="28">
        <v>44565</v>
      </c>
      <c r="B730" s="22">
        <v>1</v>
      </c>
      <c r="C730" s="22">
        <f t="shared" si="12"/>
        <v>0.5714285714285714</v>
      </c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 t="shared" si="12"/>
        <v>0.5714285714285714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 t="shared" si="12"/>
        <v>0.5714285714285714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 t="shared" si="12"/>
        <v>0.5714285714285714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>29/7</f>
        <v>4.1428571428571432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 t="shared" ref="C735:C740" si="13">29/7</f>
        <v>4.1428571428571432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 t="shared" si="13"/>
        <v>4.1428571428571432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 t="shared" si="13"/>
        <v>4.1428571428571432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 t="shared" si="13"/>
        <v>4.1428571428571432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 t="shared" si="13"/>
        <v>4.1428571428571432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 t="shared" si="13"/>
        <v>4.1428571428571432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38/7</f>
        <v>5.4285714285714288</v>
      </c>
      <c r="D741" s="22">
        <f>1/7</f>
        <v>0.14285714285714285</v>
      </c>
      <c r="E741" s="22"/>
      <c r="F741" s="22"/>
    </row>
    <row r="742" spans="1:6" ht="14.5">
      <c r="A742" s="28">
        <v>44577</v>
      </c>
      <c r="B742" s="22">
        <v>2</v>
      </c>
      <c r="C742" s="22">
        <f t="shared" ref="C742:C747" si="14">38/7</f>
        <v>5.4285714285714288</v>
      </c>
      <c r="D742" s="22">
        <f t="shared" ref="D742:D747" si="15">1/7</f>
        <v>0.14285714285714285</v>
      </c>
      <c r="E742" s="22"/>
      <c r="F742" s="22"/>
    </row>
    <row r="743" spans="1:6" ht="14.5">
      <c r="A743" s="28">
        <v>44578</v>
      </c>
      <c r="B743" s="22">
        <v>3</v>
      </c>
      <c r="C743" s="22">
        <f t="shared" si="14"/>
        <v>5.4285714285714288</v>
      </c>
      <c r="D743" s="22">
        <f t="shared" si="15"/>
        <v>0.14285714285714285</v>
      </c>
      <c r="E743" s="22"/>
      <c r="F743" s="22"/>
    </row>
    <row r="744" spans="1:6" ht="14.5">
      <c r="A744" s="28">
        <v>44579</v>
      </c>
      <c r="B744" s="22">
        <v>3</v>
      </c>
      <c r="C744" s="22">
        <f t="shared" si="14"/>
        <v>5.4285714285714288</v>
      </c>
      <c r="D744" s="22">
        <f t="shared" si="15"/>
        <v>0.14285714285714285</v>
      </c>
      <c r="E744" s="22"/>
      <c r="F744" s="22"/>
    </row>
    <row r="745" spans="1:6" ht="14.5">
      <c r="A745" s="28">
        <v>44580</v>
      </c>
      <c r="B745" s="22">
        <v>3</v>
      </c>
      <c r="C745" s="22">
        <f t="shared" si="14"/>
        <v>5.4285714285714288</v>
      </c>
      <c r="D745" s="22">
        <f t="shared" si="15"/>
        <v>0.14285714285714285</v>
      </c>
      <c r="E745" s="22"/>
      <c r="F745" s="22"/>
    </row>
    <row r="746" spans="1:6" ht="14.5">
      <c r="A746" s="28">
        <v>44581</v>
      </c>
      <c r="B746" s="22">
        <v>3</v>
      </c>
      <c r="C746" s="22">
        <f t="shared" si="14"/>
        <v>5.4285714285714288</v>
      </c>
      <c r="D746" s="22">
        <f t="shared" si="15"/>
        <v>0.14285714285714285</v>
      </c>
      <c r="E746" s="22"/>
      <c r="F746" s="22"/>
    </row>
    <row r="747" spans="1:6" ht="14.5">
      <c r="A747" s="28">
        <v>44582</v>
      </c>
      <c r="B747" s="22">
        <v>3</v>
      </c>
      <c r="C747" s="22">
        <f t="shared" si="14"/>
        <v>5.4285714285714288</v>
      </c>
      <c r="D747" s="22">
        <f t="shared" si="15"/>
        <v>0.14285714285714285</v>
      </c>
      <c r="E747" s="22"/>
      <c r="F747" s="22"/>
    </row>
    <row r="748" spans="1:6" ht="14.5">
      <c r="A748" s="28">
        <v>44583</v>
      </c>
      <c r="B748" s="22">
        <v>3</v>
      </c>
      <c r="C748" s="22">
        <f>(61/7)</f>
        <v>8.7142857142857135</v>
      </c>
      <c r="D748" s="22">
        <f>(1/7)</f>
        <v>0.14285714285714285</v>
      </c>
      <c r="E748" s="22"/>
      <c r="F748" s="22"/>
    </row>
    <row r="749" spans="1:6" ht="14.5">
      <c r="A749" s="28">
        <v>44584</v>
      </c>
      <c r="B749" s="22">
        <v>3</v>
      </c>
      <c r="C749" s="22">
        <f t="shared" ref="C749:C754" si="16">(61/7)</f>
        <v>8.7142857142857135</v>
      </c>
      <c r="D749" s="22">
        <f t="shared" ref="D749:D754" si="17">(1/7)</f>
        <v>0.14285714285714285</v>
      </c>
      <c r="E749" s="22"/>
      <c r="F749" s="22"/>
    </row>
    <row r="750" spans="1:6" ht="14.5">
      <c r="A750" s="28">
        <v>44585</v>
      </c>
      <c r="B750" s="22">
        <v>4</v>
      </c>
      <c r="C750" s="22">
        <f t="shared" si="16"/>
        <v>8.7142857142857135</v>
      </c>
      <c r="D750" s="22">
        <f t="shared" si="17"/>
        <v>0.14285714285714285</v>
      </c>
      <c r="E750" s="22"/>
      <c r="F750" s="22"/>
    </row>
    <row r="751" spans="1:6" ht="14.5">
      <c r="A751" s="28">
        <v>44586</v>
      </c>
      <c r="B751" s="22">
        <v>4</v>
      </c>
      <c r="C751" s="22">
        <f t="shared" si="16"/>
        <v>8.7142857142857135</v>
      </c>
      <c r="D751" s="22">
        <f t="shared" si="17"/>
        <v>0.14285714285714285</v>
      </c>
      <c r="E751" s="22"/>
      <c r="F751" s="22"/>
    </row>
    <row r="752" spans="1:6" ht="14.5">
      <c r="A752" s="28">
        <v>44587</v>
      </c>
      <c r="B752" s="22">
        <v>4</v>
      </c>
      <c r="C752" s="22">
        <f t="shared" si="16"/>
        <v>8.7142857142857135</v>
      </c>
      <c r="D752" s="22">
        <f t="shared" si="17"/>
        <v>0.14285714285714285</v>
      </c>
      <c r="E752" s="22"/>
      <c r="F752" s="22"/>
    </row>
    <row r="753" spans="1:6" ht="14.5">
      <c r="A753" s="28">
        <v>44588</v>
      </c>
      <c r="B753" s="22">
        <v>4</v>
      </c>
      <c r="C753" s="22">
        <f t="shared" si="16"/>
        <v>8.7142857142857135</v>
      </c>
      <c r="D753" s="22">
        <f t="shared" si="17"/>
        <v>0.14285714285714285</v>
      </c>
      <c r="E753" s="22"/>
      <c r="F753" s="22"/>
    </row>
    <row r="754" spans="1:6" ht="14.5">
      <c r="A754" s="28">
        <v>44589</v>
      </c>
      <c r="B754" s="22">
        <v>4</v>
      </c>
      <c r="C754" s="22">
        <f t="shared" si="16"/>
        <v>8.7142857142857135</v>
      </c>
      <c r="D754" s="22">
        <f t="shared" si="17"/>
        <v>0.14285714285714285</v>
      </c>
      <c r="E754" s="22"/>
      <c r="F754" s="22"/>
    </row>
    <row r="755" spans="1:6" ht="14.5">
      <c r="A755" s="28">
        <v>44590</v>
      </c>
      <c r="B755" s="22">
        <v>4</v>
      </c>
      <c r="C755" s="22">
        <f>(15/7)</f>
        <v>2.1428571428571428</v>
      </c>
      <c r="D755" s="22">
        <f>(1/7)</f>
        <v>0.14285714285714285</v>
      </c>
      <c r="E755" s="22"/>
      <c r="F755" s="22"/>
    </row>
    <row r="756" spans="1:6" ht="14.5">
      <c r="A756" s="28">
        <v>44591</v>
      </c>
      <c r="B756" s="22">
        <v>4</v>
      </c>
      <c r="C756" s="22">
        <f t="shared" ref="C756:C761" si="18">(15/7)</f>
        <v>2.1428571428571428</v>
      </c>
      <c r="D756" s="22">
        <f t="shared" ref="D756:D761" si="19">(1/7)</f>
        <v>0.14285714285714285</v>
      </c>
      <c r="E756" s="22"/>
      <c r="F756" s="22"/>
    </row>
    <row r="757" spans="1:6" ht="14.5">
      <c r="A757" s="28">
        <v>44592</v>
      </c>
      <c r="B757" s="22">
        <v>5</v>
      </c>
      <c r="C757" s="22">
        <f t="shared" si="18"/>
        <v>2.1428571428571428</v>
      </c>
      <c r="D757" s="22">
        <f t="shared" si="19"/>
        <v>0.14285714285714285</v>
      </c>
      <c r="E757" s="22"/>
      <c r="F757" s="22"/>
    </row>
    <row r="758" spans="1:6" ht="14.5">
      <c r="A758" s="49">
        <v>44593</v>
      </c>
      <c r="B758" s="52">
        <v>5</v>
      </c>
      <c r="C758" s="22">
        <f t="shared" si="18"/>
        <v>2.1428571428571428</v>
      </c>
      <c r="D758" s="22">
        <f t="shared" si="19"/>
        <v>0.14285714285714285</v>
      </c>
      <c r="E758" s="52"/>
      <c r="F758" s="52"/>
    </row>
    <row r="759" spans="1:6" ht="14.5">
      <c r="A759" s="49">
        <v>44594</v>
      </c>
      <c r="B759" s="52">
        <v>5</v>
      </c>
      <c r="C759" s="22">
        <f t="shared" si="18"/>
        <v>2.1428571428571428</v>
      </c>
      <c r="D759" s="22">
        <f t="shared" si="19"/>
        <v>0.14285714285714285</v>
      </c>
      <c r="E759" s="52"/>
      <c r="F759" s="52"/>
    </row>
    <row r="760" spans="1:6" ht="14.5">
      <c r="A760" s="49">
        <v>44595</v>
      </c>
      <c r="B760" s="52">
        <v>5</v>
      </c>
      <c r="C760" s="22">
        <f t="shared" si="18"/>
        <v>2.1428571428571428</v>
      </c>
      <c r="D760" s="22">
        <f t="shared" si="19"/>
        <v>0.14285714285714285</v>
      </c>
      <c r="E760" s="52"/>
      <c r="F760" s="52"/>
    </row>
    <row r="761" spans="1:6" ht="14.5">
      <c r="A761" s="49">
        <v>44596</v>
      </c>
      <c r="B761" s="52">
        <v>5</v>
      </c>
      <c r="C761" s="22">
        <f t="shared" si="18"/>
        <v>2.1428571428571428</v>
      </c>
      <c r="D761" s="22">
        <f t="shared" si="19"/>
        <v>0.14285714285714285</v>
      </c>
      <c r="E761" s="52"/>
      <c r="F761" s="52"/>
    </row>
    <row r="762" spans="1:6" ht="14.5">
      <c r="A762" s="49">
        <v>44597</v>
      </c>
      <c r="B762" s="52">
        <v>5</v>
      </c>
      <c r="C762" s="52">
        <f>(8/6)</f>
        <v>1.3333333333333333</v>
      </c>
      <c r="D762" s="52">
        <f>(2/6)</f>
        <v>0.33333333333333331</v>
      </c>
      <c r="E762" s="52"/>
      <c r="F762" s="52"/>
    </row>
    <row r="763" spans="1:6" ht="14.5">
      <c r="A763" s="49">
        <v>44598</v>
      </c>
      <c r="B763" s="52">
        <v>5</v>
      </c>
      <c r="C763" s="52">
        <f t="shared" ref="C763:C767" si="20">(8/6)</f>
        <v>1.3333333333333333</v>
      </c>
      <c r="D763" s="52">
        <f t="shared" ref="D763:D767" si="21">(2/6)</f>
        <v>0.33333333333333331</v>
      </c>
      <c r="E763" s="52"/>
      <c r="F763" s="52"/>
    </row>
    <row r="764" spans="1:6" ht="14.5">
      <c r="A764" s="49">
        <v>44599</v>
      </c>
      <c r="B764" s="52">
        <v>6</v>
      </c>
      <c r="C764" s="52">
        <f t="shared" si="20"/>
        <v>1.3333333333333333</v>
      </c>
      <c r="D764" s="52">
        <f t="shared" si="21"/>
        <v>0.33333333333333331</v>
      </c>
      <c r="E764" s="52"/>
      <c r="F764" s="52"/>
    </row>
    <row r="765" spans="1:6" ht="14.5">
      <c r="A765" s="49">
        <v>44600</v>
      </c>
      <c r="B765" s="52">
        <v>6</v>
      </c>
      <c r="C765" s="52">
        <f t="shared" si="20"/>
        <v>1.3333333333333333</v>
      </c>
      <c r="D765" s="52">
        <f t="shared" si="21"/>
        <v>0.33333333333333331</v>
      </c>
      <c r="E765" s="52"/>
      <c r="F765" s="52"/>
    </row>
    <row r="766" spans="1:6" ht="14.5">
      <c r="A766" s="49">
        <v>44601</v>
      </c>
      <c r="B766" s="52">
        <v>6</v>
      </c>
      <c r="C766" s="52">
        <f t="shared" si="20"/>
        <v>1.3333333333333333</v>
      </c>
      <c r="D766" s="52">
        <f t="shared" si="21"/>
        <v>0.33333333333333331</v>
      </c>
      <c r="E766" s="52"/>
      <c r="F766" s="52"/>
    </row>
    <row r="767" spans="1:6" ht="14.5">
      <c r="A767" s="49">
        <v>44602</v>
      </c>
      <c r="B767" s="52">
        <v>6</v>
      </c>
      <c r="C767" s="52">
        <f t="shared" si="20"/>
        <v>1.3333333333333333</v>
      </c>
      <c r="D767" s="52">
        <f t="shared" si="21"/>
        <v>0.33333333333333331</v>
      </c>
      <c r="E767" s="52"/>
      <c r="F767" s="52"/>
    </row>
    <row r="768" spans="1:6" ht="14.5">
      <c r="A768" s="49">
        <v>44603</v>
      </c>
      <c r="B768" s="52">
        <v>6</v>
      </c>
      <c r="C768" s="52">
        <f>(8/8)</f>
        <v>1</v>
      </c>
      <c r="D768" s="52">
        <f>(5/8)</f>
        <v>0.625</v>
      </c>
      <c r="E768" s="52"/>
      <c r="F768" s="52"/>
    </row>
    <row r="769" spans="1:7" ht="14.5">
      <c r="A769" s="49">
        <v>44604</v>
      </c>
      <c r="B769" s="52">
        <v>6</v>
      </c>
      <c r="C769" s="52">
        <f t="shared" ref="C769:C770" si="22">(8/8)</f>
        <v>1</v>
      </c>
      <c r="D769" s="52">
        <f t="shared" ref="D769:D775" si="23">(5/8)</f>
        <v>0.625</v>
      </c>
      <c r="E769" s="52"/>
      <c r="F769" s="52"/>
    </row>
    <row r="770" spans="1:7" ht="14.5">
      <c r="A770" s="49">
        <v>44605</v>
      </c>
      <c r="B770" s="52">
        <v>6</v>
      </c>
      <c r="C770" s="52">
        <f t="shared" si="22"/>
        <v>1</v>
      </c>
      <c r="D770" s="52">
        <f t="shared" si="23"/>
        <v>0.625</v>
      </c>
      <c r="E770" s="52"/>
      <c r="F770" s="52"/>
    </row>
    <row r="771" spans="1:7" ht="14.5">
      <c r="A771" s="49">
        <v>44606</v>
      </c>
      <c r="B771" s="52">
        <v>7</v>
      </c>
      <c r="C771" s="52">
        <f>14+(8/8)</f>
        <v>15</v>
      </c>
      <c r="D771" s="52">
        <f t="shared" si="23"/>
        <v>0.625</v>
      </c>
      <c r="E771" s="52"/>
      <c r="F771" s="52"/>
      <c r="G771" s="80" t="s">
        <v>416</v>
      </c>
    </row>
    <row r="772" spans="1:7" ht="14.5">
      <c r="A772" s="49">
        <v>44607</v>
      </c>
      <c r="B772" s="52">
        <v>7</v>
      </c>
      <c r="C772" s="52">
        <f t="shared" ref="C772:C775" si="24">(8/8)</f>
        <v>1</v>
      </c>
      <c r="D772" s="52">
        <f t="shared" si="23"/>
        <v>0.625</v>
      </c>
      <c r="E772" s="52"/>
      <c r="F772" s="52"/>
    </row>
    <row r="773" spans="1:7" ht="14.5">
      <c r="A773" s="49">
        <v>44608</v>
      </c>
      <c r="B773" s="52">
        <v>7</v>
      </c>
      <c r="C773" s="52">
        <f t="shared" si="24"/>
        <v>1</v>
      </c>
      <c r="D773" s="52">
        <f t="shared" si="23"/>
        <v>0.625</v>
      </c>
      <c r="E773" s="52"/>
      <c r="F773" s="52"/>
    </row>
    <row r="774" spans="1:7" ht="14.5">
      <c r="A774" s="49">
        <v>44609</v>
      </c>
      <c r="B774" s="52">
        <v>7</v>
      </c>
      <c r="C774" s="52">
        <f t="shared" si="24"/>
        <v>1</v>
      </c>
      <c r="D774" s="52">
        <f t="shared" si="23"/>
        <v>0.625</v>
      </c>
      <c r="E774" s="52"/>
      <c r="F774" s="52"/>
    </row>
    <row r="775" spans="1:7" ht="14.5">
      <c r="A775" s="49">
        <v>44610</v>
      </c>
      <c r="B775" s="52">
        <v>7</v>
      </c>
      <c r="C775" s="52">
        <f t="shared" si="24"/>
        <v>1</v>
      </c>
      <c r="D775" s="52">
        <f t="shared" si="23"/>
        <v>0.625</v>
      </c>
      <c r="E775" s="52"/>
      <c r="F775" s="52"/>
    </row>
    <row r="776" spans="1:7" ht="14.5">
      <c r="A776" s="49">
        <v>44611</v>
      </c>
      <c r="B776" s="52">
        <v>7</v>
      </c>
      <c r="C776" s="52">
        <f>(3/7)</f>
        <v>0.42857142857142855</v>
      </c>
      <c r="D776" s="52">
        <f>(1/7)</f>
        <v>0.14285714285714285</v>
      </c>
      <c r="E776" s="52"/>
      <c r="F776" s="52"/>
    </row>
    <row r="777" spans="1:7" ht="14.5">
      <c r="A777" s="49">
        <v>44612</v>
      </c>
      <c r="B777" s="52">
        <v>7</v>
      </c>
      <c r="C777" s="52">
        <f t="shared" ref="C777:C782" si="25">(3/7)</f>
        <v>0.42857142857142855</v>
      </c>
      <c r="D777" s="52">
        <f t="shared" ref="D777:D782" si="26">(1/7)</f>
        <v>0.14285714285714285</v>
      </c>
      <c r="E777" s="52"/>
      <c r="F777" s="52"/>
    </row>
    <row r="778" spans="1:7" ht="14.5">
      <c r="A778" s="49">
        <v>44613</v>
      </c>
      <c r="B778" s="52">
        <v>8</v>
      </c>
      <c r="C778" s="52">
        <f t="shared" si="25"/>
        <v>0.42857142857142855</v>
      </c>
      <c r="D778" s="52">
        <f t="shared" si="26"/>
        <v>0.14285714285714285</v>
      </c>
      <c r="E778" s="52"/>
      <c r="F778" s="52"/>
    </row>
    <row r="779" spans="1:7" ht="14.5">
      <c r="A779" s="49">
        <v>44614</v>
      </c>
      <c r="B779" s="52">
        <v>8</v>
      </c>
      <c r="C779" s="52">
        <f t="shared" si="25"/>
        <v>0.42857142857142855</v>
      </c>
      <c r="D779" s="52">
        <f t="shared" si="26"/>
        <v>0.14285714285714285</v>
      </c>
      <c r="E779" s="52"/>
      <c r="F779" s="52"/>
    </row>
    <row r="780" spans="1:7" ht="14.5">
      <c r="A780" s="49">
        <v>44615</v>
      </c>
      <c r="B780" s="52">
        <v>8</v>
      </c>
      <c r="C780" s="52">
        <f t="shared" si="25"/>
        <v>0.42857142857142855</v>
      </c>
      <c r="D780" s="52">
        <f t="shared" si="26"/>
        <v>0.14285714285714285</v>
      </c>
      <c r="E780" s="52"/>
      <c r="F780" s="52"/>
    </row>
    <row r="781" spans="1:7" ht="14.5">
      <c r="A781" s="49">
        <v>44616</v>
      </c>
      <c r="B781" s="52">
        <v>8</v>
      </c>
      <c r="C781" s="52">
        <f t="shared" si="25"/>
        <v>0.42857142857142855</v>
      </c>
      <c r="D781" s="52">
        <f t="shared" si="26"/>
        <v>0.14285714285714285</v>
      </c>
      <c r="E781" s="52"/>
      <c r="F781" s="52"/>
    </row>
    <row r="782" spans="1:7" ht="14.5">
      <c r="A782" s="49">
        <v>44617</v>
      </c>
      <c r="B782" s="52">
        <v>8</v>
      </c>
      <c r="C782" s="52">
        <f t="shared" si="25"/>
        <v>0.42857142857142855</v>
      </c>
      <c r="D782" s="52">
        <f t="shared" si="26"/>
        <v>0.14285714285714285</v>
      </c>
      <c r="E782" s="52"/>
      <c r="F782" s="52"/>
    </row>
    <row r="783" spans="1:7" ht="14.5">
      <c r="A783" s="49">
        <v>44618</v>
      </c>
      <c r="B783" s="52">
        <v>8</v>
      </c>
      <c r="C783" s="52">
        <f>(4/7)</f>
        <v>0.5714285714285714</v>
      </c>
      <c r="D783" s="52">
        <f>(4/7)</f>
        <v>0.5714285714285714</v>
      </c>
      <c r="E783" s="52"/>
      <c r="F783" s="52"/>
    </row>
    <row r="784" spans="1:7" ht="14.5">
      <c r="A784" s="49">
        <v>44619</v>
      </c>
      <c r="B784" s="52">
        <v>8</v>
      </c>
      <c r="C784" s="52">
        <f t="shared" ref="C784:D789" si="27">(4/7)</f>
        <v>0.5714285714285714</v>
      </c>
      <c r="D784" s="52">
        <f t="shared" si="27"/>
        <v>0.5714285714285714</v>
      </c>
      <c r="E784" s="52"/>
      <c r="F784" s="52"/>
    </row>
    <row r="785" spans="1:6" ht="14.5">
      <c r="A785" s="50">
        <v>44620</v>
      </c>
      <c r="B785" s="52">
        <v>9</v>
      </c>
      <c r="C785" s="52">
        <f t="shared" si="27"/>
        <v>0.5714285714285714</v>
      </c>
      <c r="D785" s="52">
        <f t="shared" si="27"/>
        <v>0.5714285714285714</v>
      </c>
      <c r="E785" s="52"/>
      <c r="F785" s="52"/>
    </row>
    <row r="786" spans="1:6" ht="14.5">
      <c r="A786" s="64">
        <v>44621</v>
      </c>
      <c r="B786" s="52">
        <v>9</v>
      </c>
      <c r="C786" s="52">
        <f t="shared" si="27"/>
        <v>0.5714285714285714</v>
      </c>
      <c r="D786" s="52">
        <f t="shared" si="27"/>
        <v>0.5714285714285714</v>
      </c>
      <c r="E786" s="52"/>
      <c r="F786" s="52"/>
    </row>
    <row r="787" spans="1:6" ht="14.5">
      <c r="A787" s="64">
        <v>44622</v>
      </c>
      <c r="B787" s="52">
        <v>9</v>
      </c>
      <c r="C787" s="52">
        <f t="shared" si="27"/>
        <v>0.5714285714285714</v>
      </c>
      <c r="D787" s="52">
        <f t="shared" si="27"/>
        <v>0.5714285714285714</v>
      </c>
      <c r="E787" s="52"/>
      <c r="F787" s="52"/>
    </row>
    <row r="788" spans="1:6" ht="14.5">
      <c r="A788" s="64">
        <v>44623</v>
      </c>
      <c r="B788" s="52">
        <v>9</v>
      </c>
      <c r="C788" s="52">
        <f t="shared" si="27"/>
        <v>0.5714285714285714</v>
      </c>
      <c r="D788" s="52">
        <f t="shared" si="27"/>
        <v>0.5714285714285714</v>
      </c>
      <c r="E788" s="52"/>
      <c r="F788" s="52"/>
    </row>
    <row r="789" spans="1:6" ht="14.5">
      <c r="A789" s="64">
        <v>44624</v>
      </c>
      <c r="B789" s="52">
        <v>9</v>
      </c>
      <c r="C789" s="52">
        <f t="shared" si="27"/>
        <v>0.5714285714285714</v>
      </c>
      <c r="D789" s="52">
        <f t="shared" si="27"/>
        <v>0.5714285714285714</v>
      </c>
      <c r="E789" s="52"/>
      <c r="F789" s="52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C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G858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20" t="s">
        <v>70</v>
      </c>
      <c r="B1" s="112"/>
      <c r="C1" s="112"/>
      <c r="D1" s="112"/>
      <c r="E1" s="112"/>
      <c r="F1" s="113"/>
      <c r="G1" s="69" t="s">
        <v>86</v>
      </c>
    </row>
    <row r="2" spans="1:7" ht="45.65" customHeight="1">
      <c r="A2" s="123" t="s">
        <v>19</v>
      </c>
      <c r="B2" s="115"/>
      <c r="C2" s="115"/>
      <c r="D2" s="115"/>
      <c r="E2" s="115"/>
      <c r="F2" s="116"/>
      <c r="G2" s="68" t="s">
        <v>313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>
        <v>1</v>
      </c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>
        <v>1</v>
      </c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>
        <v>1</v>
      </c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>
        <v>1</v>
      </c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>
        <v>1</v>
      </c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1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>
        <v>1</v>
      </c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>
        <v>1</v>
      </c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>
        <v>2</v>
      </c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>
        <v>1</v>
      </c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>
        <v>3</v>
      </c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1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v>1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1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>
        <v>1</v>
      </c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>
        <v>1</v>
      </c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>
        <v>1</v>
      </c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>
        <v>1</v>
      </c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>
        <v>1</v>
      </c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>
        <v>1</v>
      </c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>
        <v>1</v>
      </c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>
        <v>1</v>
      </c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>
        <v>1</v>
      </c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>
        <v>1</v>
      </c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>
        <v>1</v>
      </c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>
        <v>1</v>
      </c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1</v>
      </c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2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2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2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1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>
        <v>1</v>
      </c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>
        <v>1</v>
      </c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>
        <v>1</v>
      </c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>
        <v>1</v>
      </c>
      <c r="E505" s="14"/>
      <c r="F505" s="14"/>
      <c r="G505" s="54"/>
    </row>
    <row r="506" spans="1:7" ht="14.5">
      <c r="A506" s="25">
        <v>44341</v>
      </c>
      <c r="B506" s="26">
        <v>21</v>
      </c>
      <c r="C506" s="22">
        <v>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>
        <v>1</v>
      </c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>
        <v>1</v>
      </c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>
        <v>2</v>
      </c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>
        <v>1</v>
      </c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>
        <v>7</v>
      </c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>
        <v>1</v>
      </c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>
        <v>1</v>
      </c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>
        <v>1</v>
      </c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>
        <v>1</v>
      </c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>
        <v>3</v>
      </c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>
        <v>1</v>
      </c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1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>
        <v>1</v>
      </c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>
        <v>1</v>
      </c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1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>
        <v>4</v>
      </c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>
        <v>1</v>
      </c>
      <c r="D565" s="22"/>
      <c r="E565" s="22"/>
      <c r="F565" s="22"/>
    </row>
    <row r="566" spans="1:7" ht="14.5">
      <c r="A566" s="25">
        <v>44401</v>
      </c>
      <c r="B566" s="22">
        <v>29</v>
      </c>
      <c r="C566" s="32">
        <v>1</v>
      </c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/>
      <c r="D568" s="32"/>
      <c r="E568" s="32"/>
      <c r="F568" s="32"/>
    </row>
    <row r="569" spans="1:7" ht="14.5">
      <c r="A569" s="25">
        <v>44404</v>
      </c>
      <c r="B569" s="22">
        <v>30</v>
      </c>
      <c r="C569" s="32"/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>
        <v>2</v>
      </c>
      <c r="D571" s="32"/>
      <c r="E571" s="32"/>
      <c r="F571" s="32"/>
    </row>
    <row r="572" spans="1:7" ht="14.5">
      <c r="A572" s="25">
        <v>44407</v>
      </c>
      <c r="B572" s="22">
        <v>30</v>
      </c>
      <c r="C572" s="32">
        <v>3</v>
      </c>
      <c r="D572" s="32"/>
      <c r="E572" s="32"/>
      <c r="F572" s="32"/>
    </row>
    <row r="573" spans="1:7" ht="14.5">
      <c r="A573" s="25">
        <v>44408</v>
      </c>
      <c r="B573" s="22">
        <v>30</v>
      </c>
      <c r="C573" s="32">
        <v>4</v>
      </c>
      <c r="D573" s="32"/>
      <c r="E573" s="32"/>
      <c r="F573" s="32"/>
    </row>
    <row r="574" spans="1:7" ht="14.5">
      <c r="A574" s="28">
        <v>44409</v>
      </c>
      <c r="B574" s="22">
        <v>30</v>
      </c>
      <c r="C574" s="32"/>
      <c r="D574" s="32"/>
      <c r="E574" s="22"/>
      <c r="F574" s="22"/>
    </row>
    <row r="575" spans="1:7" ht="14.5">
      <c r="A575" s="28">
        <v>44410</v>
      </c>
      <c r="B575" s="22">
        <v>31</v>
      </c>
      <c r="C575" s="32">
        <v>1</v>
      </c>
      <c r="D575" s="32"/>
      <c r="E575" s="22"/>
      <c r="F575" s="22"/>
    </row>
    <row r="576" spans="1:7" ht="14.5">
      <c r="A576" s="28">
        <v>44411</v>
      </c>
      <c r="B576" s="22">
        <v>31</v>
      </c>
      <c r="C576" s="32">
        <v>1</v>
      </c>
      <c r="D576" s="32">
        <v>1</v>
      </c>
      <c r="E576" s="22"/>
      <c r="F576" s="22"/>
    </row>
    <row r="577" spans="1:6" ht="14.5">
      <c r="A577" s="28">
        <v>44412</v>
      </c>
      <c r="B577" s="22">
        <v>31</v>
      </c>
      <c r="C577" s="32">
        <v>3</v>
      </c>
      <c r="D577" s="32"/>
      <c r="E577" s="22"/>
      <c r="F577" s="22"/>
    </row>
    <row r="578" spans="1:6" ht="14.5">
      <c r="A578" s="28">
        <v>44413</v>
      </c>
      <c r="B578" s="22">
        <v>31</v>
      </c>
      <c r="C578" s="32">
        <v>4</v>
      </c>
      <c r="D578" s="32"/>
      <c r="E578" s="22"/>
      <c r="F578" s="22"/>
    </row>
    <row r="579" spans="1:6" ht="14.5">
      <c r="A579" s="28">
        <v>44414</v>
      </c>
      <c r="B579" s="22">
        <v>31</v>
      </c>
      <c r="C579" s="32">
        <v>3</v>
      </c>
      <c r="D579" s="32"/>
      <c r="E579" s="22"/>
      <c r="F579" s="22"/>
    </row>
    <row r="580" spans="1:6" ht="14.5">
      <c r="A580" s="28">
        <v>44415</v>
      </c>
      <c r="B580" s="22">
        <v>31</v>
      </c>
      <c r="C580" s="22">
        <v>3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v>1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v>14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v>1</v>
      </c>
      <c r="D591" s="22">
        <v>1</v>
      </c>
      <c r="E591" s="22"/>
      <c r="F591" s="22"/>
    </row>
    <row r="592" spans="1:6" ht="14.5">
      <c r="A592" s="28">
        <v>44427</v>
      </c>
      <c r="B592" s="22">
        <v>33</v>
      </c>
      <c r="C592" s="22">
        <v>2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/>
      <c r="D593" s="22">
        <v>1</v>
      </c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v>3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v>2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4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/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/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>
        <v>1</v>
      </c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v>4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v>5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>
        <v>2</v>
      </c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v>2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>
        <v>3</v>
      </c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>
        <v>1</v>
      </c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>
        <v>1</v>
      </c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v>1</v>
      </c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v>1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>
        <v>1</v>
      </c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>
        <v>1</v>
      </c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1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v>4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1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2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6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v>3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v>4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7</v>
      </c>
      <c r="D743" s="22">
        <v>1</v>
      </c>
      <c r="E743" s="22"/>
      <c r="F743" s="22"/>
    </row>
    <row r="744" spans="1:6" ht="14.5">
      <c r="A744" s="28">
        <v>44579</v>
      </c>
      <c r="B744" s="22">
        <v>3</v>
      </c>
      <c r="C744" s="22">
        <v>11</v>
      </c>
      <c r="D744" s="22">
        <v>1</v>
      </c>
      <c r="E744" s="22"/>
      <c r="F744" s="22"/>
    </row>
    <row r="745" spans="1:6" ht="14.5">
      <c r="A745" s="28">
        <v>44580</v>
      </c>
      <c r="B745" s="22">
        <v>3</v>
      </c>
      <c r="C745" s="22">
        <v>7</v>
      </c>
      <c r="D745" s="22">
        <v>1</v>
      </c>
      <c r="E745" s="22"/>
      <c r="F745" s="22"/>
    </row>
    <row r="746" spans="1:6" ht="14.5">
      <c r="A746" s="28">
        <v>44581</v>
      </c>
      <c r="B746" s="22">
        <v>3</v>
      </c>
      <c r="C746" s="22">
        <v>7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9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v>4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1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6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v>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v>3</v>
      </c>
      <c r="D753" s="22">
        <v>1</v>
      </c>
      <c r="E753" s="22"/>
      <c r="F753" s="22"/>
    </row>
    <row r="754" spans="1:6" ht="14.5">
      <c r="A754" s="28">
        <v>44589</v>
      </c>
      <c r="B754" s="22">
        <v>4</v>
      </c>
      <c r="C754" s="22"/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v>3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v>6</v>
      </c>
      <c r="D757" s="22">
        <v>1</v>
      </c>
      <c r="E757" s="22"/>
      <c r="F757" s="22"/>
    </row>
    <row r="758" spans="1:6" ht="14.5">
      <c r="A758" s="49">
        <v>44593</v>
      </c>
      <c r="B758" s="52">
        <v>5</v>
      </c>
      <c r="C758" s="52">
        <f>(25/14)</f>
        <v>1.7857142857142858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 t="shared" ref="C759:C771" si="0">(25/14)</f>
        <v>1.7857142857142858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 t="shared" si="0"/>
        <v>1.7857142857142858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 t="shared" si="0"/>
        <v>1.7857142857142858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 t="shared" si="0"/>
        <v>1.7857142857142858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 t="shared" si="0"/>
        <v>1.7857142857142858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 t="shared" si="0"/>
        <v>1.7857142857142858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 t="shared" si="0"/>
        <v>1.7857142857142858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 t="shared" si="0"/>
        <v>1.7857142857142858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 t="shared" si="0"/>
        <v>1.7857142857142858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 t="shared" si="0"/>
        <v>1.7857142857142858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 t="shared" si="0"/>
        <v>1.7857142857142858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>
        <f t="shared" si="0"/>
        <v>1.7857142857142858</v>
      </c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 t="shared" si="0"/>
        <v>1.7857142857142858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f>(16/14)</f>
        <v>1.1428571428571428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 t="shared" ref="C773:C785" si="1">(16/14)</f>
        <v>1.1428571428571428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 t="shared" si="1"/>
        <v>1.1428571428571428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 t="shared" si="1"/>
        <v>1.1428571428571428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 t="shared" si="1"/>
        <v>1.1428571428571428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>
        <f t="shared" si="1"/>
        <v>1.1428571428571428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 t="shared" si="1"/>
        <v>1.1428571428571428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 t="shared" si="1"/>
        <v>1.1428571428571428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>
        <f t="shared" si="1"/>
        <v>1.1428571428571428</v>
      </c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 t="shared" si="1"/>
        <v>1.1428571428571428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 t="shared" si="1"/>
        <v>1.1428571428571428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>
        <f t="shared" si="1"/>
        <v>1.1428571428571428</v>
      </c>
      <c r="D783" s="52"/>
      <c r="E783" s="52"/>
      <c r="F783" s="52"/>
    </row>
    <row r="784" spans="1:6" ht="14.5">
      <c r="A784" s="49">
        <v>44619</v>
      </c>
      <c r="B784" s="52">
        <v>8</v>
      </c>
      <c r="C784" s="52">
        <f t="shared" si="1"/>
        <v>1.1428571428571428</v>
      </c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 t="shared" si="1"/>
        <v>1.1428571428571428</v>
      </c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2E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activeCell="A2" sqref="A2:F2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47" t="s">
        <v>436</v>
      </c>
      <c r="B1" s="115"/>
      <c r="C1" s="115"/>
      <c r="D1" s="115"/>
      <c r="E1" s="115"/>
      <c r="F1" s="116"/>
      <c r="G1" s="69" t="s">
        <v>86</v>
      </c>
    </row>
    <row r="2" spans="1:7" ht="15" customHeight="1">
      <c r="A2" s="141" t="s">
        <v>20</v>
      </c>
      <c r="B2" s="115"/>
      <c r="C2" s="115"/>
      <c r="D2" s="115"/>
      <c r="E2" s="115"/>
      <c r="F2" s="116"/>
      <c r="G2" s="68" t="s">
        <v>229</v>
      </c>
    </row>
    <row r="3" spans="1:7" ht="15" customHeight="1">
      <c r="A3" s="118" t="s">
        <v>232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>
        <v>1</v>
      </c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>
        <v>1</v>
      </c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>
        <v>1</v>
      </c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>
        <v>1</v>
      </c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>
        <v>1</v>
      </c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>
        <v>1</v>
      </c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>
        <v>1</v>
      </c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>
        <v>1</v>
      </c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>
        <v>1</v>
      </c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>
        <v>1</v>
      </c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>
        <v>1</v>
      </c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>
        <v>1</v>
      </c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>
        <v>13</v>
      </c>
      <c r="D313" s="22"/>
      <c r="E313" s="14"/>
      <c r="F313" s="14"/>
      <c r="G313" s="100" t="s">
        <v>419</v>
      </c>
    </row>
    <row r="314" spans="1:7" ht="14.5">
      <c r="A314" s="25">
        <v>44149</v>
      </c>
      <c r="B314" s="26">
        <v>44</v>
      </c>
      <c r="C314" s="22">
        <v>11</v>
      </c>
      <c r="D314" s="22"/>
      <c r="E314" s="14"/>
      <c r="F314" s="14"/>
      <c r="G314" s="100" t="s">
        <v>418</v>
      </c>
    </row>
    <row r="315" spans="1:7" ht="14.5">
      <c r="A315" s="25">
        <v>44150</v>
      </c>
      <c r="B315" s="26">
        <v>44</v>
      </c>
      <c r="C315" s="22">
        <v>1</v>
      </c>
      <c r="D315" s="22"/>
      <c r="E315" s="14"/>
      <c r="F315" s="14"/>
      <c r="G315" s="100" t="s">
        <v>398</v>
      </c>
    </row>
    <row r="316" spans="1:7" ht="14.5">
      <c r="A316" s="25">
        <v>44151</v>
      </c>
      <c r="B316" s="26">
        <v>45</v>
      </c>
      <c r="C316" s="22">
        <v>17</v>
      </c>
      <c r="D316" s="22"/>
      <c r="E316" s="13"/>
      <c r="F316" s="14"/>
      <c r="G316" s="100" t="s">
        <v>417</v>
      </c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>
        <v>10</v>
      </c>
      <c r="D318" s="22"/>
      <c r="E318" s="14"/>
      <c r="F318" s="14"/>
      <c r="G318" s="100" t="s">
        <v>396</v>
      </c>
    </row>
    <row r="319" spans="1:7" ht="14.5">
      <c r="A319" s="25">
        <v>44154</v>
      </c>
      <c r="B319" s="26">
        <v>45</v>
      </c>
      <c r="C319" s="22">
        <v>3</v>
      </c>
      <c r="D319" s="22"/>
      <c r="E319" s="14"/>
      <c r="F319" s="14"/>
      <c r="G319" s="100" t="s">
        <v>395</v>
      </c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>
        <v>1</v>
      </c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>
        <v>1</v>
      </c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>
        <v>1</v>
      </c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>
        <v>1</v>
      </c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>
        <v>1</v>
      </c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>
        <v>1</v>
      </c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>
        <v>1</v>
      </c>
      <c r="E358" s="14"/>
      <c r="F358" s="14"/>
      <c r="G358" s="54"/>
    </row>
    <row r="359" spans="1:7" ht="14.5">
      <c r="A359" s="25">
        <v>44194</v>
      </c>
      <c r="B359" s="26">
        <v>51</v>
      </c>
      <c r="C359" s="22">
        <v>1</v>
      </c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>
        <v>1</v>
      </c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>
        <v>1</v>
      </c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2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>
        <v>1</v>
      </c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>
        <v>1</v>
      </c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>
        <v>1</v>
      </c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>
        <v>1</v>
      </c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>
        <v>1</v>
      </c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>
        <v>2</v>
      </c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>
        <v>1</v>
      </c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>
        <v>1</v>
      </c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>
        <v>1</v>
      </c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>
        <v>1</v>
      </c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>
        <v>1</v>
      </c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>
        <v>1</v>
      </c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>
        <v>1</v>
      </c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>
        <v>1</v>
      </c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>
        <v>1</v>
      </c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>
        <v>2</v>
      </c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>
        <v>1</v>
      </c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>
        <v>2</v>
      </c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>
        <v>3</v>
      </c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>
        <v>2</v>
      </c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>
        <v>4</v>
      </c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>
        <v>1</v>
      </c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>
        <v>1</v>
      </c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>
        <v>3</v>
      </c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3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1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>
        <v>1</v>
      </c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1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3</v>
      </c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1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>
        <v>2</v>
      </c>
      <c r="E479" s="14"/>
      <c r="F479" s="14"/>
      <c r="G479" s="54"/>
    </row>
    <row r="480" spans="1:7" ht="14.5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1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1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>
        <v>1</v>
      </c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2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>
        <v>1</v>
      </c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v>1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>
        <v>1</v>
      </c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>
        <v>1</v>
      </c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>
        <v>1</v>
      </c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>
        <v>1</v>
      </c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>
        <v>1</v>
      </c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>
        <v>1</v>
      </c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>
        <v>1</v>
      </c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>
        <v>1</v>
      </c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>
        <v>1</v>
      </c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1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v>1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>
        <v>3</v>
      </c>
      <c r="D564" s="22"/>
      <c r="E564" s="14"/>
      <c r="F564" s="14"/>
      <c r="G564" s="54"/>
    </row>
    <row r="565" spans="1:7" ht="14.5">
      <c r="A565" s="25">
        <v>44400</v>
      </c>
      <c r="B565" s="32">
        <v>29</v>
      </c>
      <c r="C565" s="32"/>
      <c r="D565" s="32"/>
      <c r="E565" s="32"/>
      <c r="F565" s="32"/>
    </row>
    <row r="566" spans="1:7" ht="14.5">
      <c r="A566" s="25">
        <v>44401</v>
      </c>
      <c r="B566" s="22">
        <v>29</v>
      </c>
      <c r="C566" s="32"/>
      <c r="D566" s="32"/>
      <c r="E566" s="32"/>
      <c r="F566" s="32"/>
    </row>
    <row r="567" spans="1:7" ht="14.5">
      <c r="A567" s="25">
        <v>44402</v>
      </c>
      <c r="B567" s="22">
        <v>29</v>
      </c>
      <c r="C567" s="32"/>
      <c r="D567" s="32"/>
      <c r="E567" s="32"/>
      <c r="F567" s="32"/>
    </row>
    <row r="568" spans="1:7" ht="14.5">
      <c r="A568" s="25">
        <v>44403</v>
      </c>
      <c r="B568" s="22">
        <v>30</v>
      </c>
      <c r="C568" s="32"/>
      <c r="D568" s="32"/>
      <c r="E568" s="32"/>
      <c r="F568" s="32"/>
    </row>
    <row r="569" spans="1:7" ht="14.5">
      <c r="A569" s="25">
        <v>44404</v>
      </c>
      <c r="B569" s="22">
        <v>30</v>
      </c>
      <c r="C569" s="32"/>
      <c r="D569" s="32"/>
      <c r="E569" s="32"/>
      <c r="F569" s="32"/>
    </row>
    <row r="570" spans="1:7" ht="14.5">
      <c r="A570" s="25">
        <v>44405</v>
      </c>
      <c r="B570" s="22">
        <v>30</v>
      </c>
      <c r="C570" s="32"/>
      <c r="D570" s="32"/>
      <c r="E570" s="32"/>
      <c r="F570" s="32"/>
    </row>
    <row r="571" spans="1:7" ht="14.5">
      <c r="A571" s="25">
        <v>44406</v>
      </c>
      <c r="B571" s="22">
        <v>30</v>
      </c>
      <c r="C571" s="32"/>
      <c r="D571" s="32"/>
      <c r="E571" s="32"/>
      <c r="F571" s="32"/>
    </row>
    <row r="572" spans="1:7" ht="14.5">
      <c r="A572" s="25">
        <v>44407</v>
      </c>
      <c r="B572" s="22">
        <v>30</v>
      </c>
      <c r="C572" s="32"/>
      <c r="D572" s="32"/>
      <c r="E572" s="32"/>
      <c r="F572" s="32"/>
    </row>
    <row r="573" spans="1:7" ht="14.5">
      <c r="A573" s="25">
        <v>44408</v>
      </c>
      <c r="B573" s="22">
        <v>30</v>
      </c>
      <c r="C573" s="32"/>
      <c r="D573" s="32"/>
      <c r="E573" s="32"/>
      <c r="F573" s="32"/>
    </row>
    <row r="574" spans="1:7" ht="14.5">
      <c r="A574" s="28">
        <v>44409</v>
      </c>
      <c r="B574" s="22">
        <v>30</v>
      </c>
      <c r="C574" s="22">
        <v>1</v>
      </c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v>1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v>2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v>1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v>3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/>
      <c r="D587" s="22"/>
      <c r="E587" s="22"/>
      <c r="F587" s="22"/>
    </row>
    <row r="588" spans="1:6" ht="14.5">
      <c r="A588" s="28">
        <v>44423</v>
      </c>
      <c r="B588" s="22">
        <v>32</v>
      </c>
      <c r="C588" s="22">
        <v>1</v>
      </c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v>1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v>1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/>
      <c r="D591" s="22"/>
      <c r="E591" s="22"/>
      <c r="F591" s="22"/>
    </row>
    <row r="592" spans="1:6" ht="14.5">
      <c r="A592" s="28">
        <v>44427</v>
      </c>
      <c r="B592" s="22">
        <v>33</v>
      </c>
      <c r="C592" s="22"/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1+1</f>
        <v>2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v>1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v>3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v>1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v>2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>
        <v>1</v>
      </c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>
        <f>1+1</f>
        <v>2</v>
      </c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>2</f>
        <v>2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>
        <f>1</f>
        <v>1</v>
      </c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>
        <f>1</f>
        <v>1</v>
      </c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>1</f>
        <v>1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2</f>
        <v>2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>
        <f>1</f>
        <v>1</v>
      </c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>
        <f>1</f>
        <v>1</v>
      </c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>
        <f>2</f>
        <v>2</v>
      </c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>
        <v>1</v>
      </c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>
        <v>1</v>
      </c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>
        <v>1</v>
      </c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v>2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v>2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v>1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v>2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v>2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v>2</v>
      </c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v>4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v>3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v>6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v>13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v>6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v>1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v>14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6+2</f>
        <v>8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4+3</f>
        <v>7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v>6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v>7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v>4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v>2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v>4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v>3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6+2</f>
        <v>8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4+2</f>
        <v>6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5+1</f>
        <v>6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>4</f>
        <v>4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8+8</f>
        <v>16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f>7</f>
        <v>7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1</f>
        <v>1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5</f>
        <v>5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>4</f>
        <v>4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>1</f>
        <v>1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>2</f>
        <v>2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>4</f>
        <v>4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>5</f>
        <v>5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5</f>
        <v>5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>9</f>
        <v>9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>1</f>
        <v>1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2</f>
        <v>2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4</f>
        <v>4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f>6</f>
        <v>6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>5</f>
        <v>5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>8</f>
        <v>8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>3</f>
        <v>3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>1</f>
        <v>1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1</f>
        <v>1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>1</f>
        <v>1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>2</f>
        <v>2</v>
      </c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>3</f>
        <v>3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>
        <f>3</f>
        <v>3</v>
      </c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1</f>
        <v>1</v>
      </c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0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G859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0" style="55" bestFit="1" customWidth="1"/>
    <col min="2" max="2" width="5.6640625" style="55" bestFit="1" customWidth="1"/>
    <col min="3" max="3" width="11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 ht="15" customHeight="1">
      <c r="A1" s="147" t="s">
        <v>71</v>
      </c>
      <c r="B1" s="115"/>
      <c r="C1" s="115"/>
      <c r="D1" s="115"/>
      <c r="E1" s="115"/>
      <c r="F1" s="116"/>
      <c r="G1" s="69" t="s">
        <v>86</v>
      </c>
    </row>
    <row r="2" spans="1:7" ht="30" customHeight="1">
      <c r="A2" s="123" t="s">
        <v>21</v>
      </c>
      <c r="B2" s="115"/>
      <c r="C2" s="115"/>
      <c r="D2" s="115"/>
      <c r="E2" s="115"/>
      <c r="F2" s="116"/>
      <c r="G2" s="68"/>
    </row>
    <row r="3" spans="1:7" ht="15" customHeight="1">
      <c r="A3" s="118" t="s">
        <v>420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>
        <v>1</v>
      </c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>
        <v>1</v>
      </c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>
        <v>2</v>
      </c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>
        <v>2</v>
      </c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>
        <v>2</v>
      </c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>
        <v>2</v>
      </c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>
        <f>1+1</f>
        <v>2</v>
      </c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>
        <v>1</v>
      </c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>
        <v>1</v>
      </c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>
        <v>1</v>
      </c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>
        <v>1</v>
      </c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>
        <v>1</v>
      </c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>
        <v>3</v>
      </c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>
        <v>1</v>
      </c>
      <c r="D311" s="22">
        <v>1</v>
      </c>
      <c r="E311" s="14"/>
      <c r="F311" s="14"/>
      <c r="G311" s="54"/>
    </row>
    <row r="312" spans="1:7" ht="14.5">
      <c r="A312" s="25">
        <v>44147</v>
      </c>
      <c r="B312" s="26">
        <v>44</v>
      </c>
      <c r="C312" s="22">
        <v>1</v>
      </c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>
        <v>1</v>
      </c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>
        <v>1</v>
      </c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>
        <v>2</v>
      </c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>
        <v>2</v>
      </c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>
        <v>1</v>
      </c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>
        <v>2</v>
      </c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>
        <v>1</v>
      </c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>
        <v>1</v>
      </c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>
        <v>1</v>
      </c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>
        <v>1</v>
      </c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>
        <v>1</v>
      </c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>
        <v>1</v>
      </c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>
        <v>1</v>
      </c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>
        <v>1</v>
      </c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>
        <v>1</v>
      </c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>
        <v>1</v>
      </c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>
        <v>1</v>
      </c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>
        <v>1</v>
      </c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>
        <v>1</v>
      </c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>
        <v>1</v>
      </c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>
        <v>2</v>
      </c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>
        <v>1</v>
      </c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>
        <v>1</v>
      </c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>
        <v>1.5</v>
      </c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>
        <v>1.5</v>
      </c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>
        <v>1</v>
      </c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>
        <v>1</v>
      </c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1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1</v>
      </c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1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>
        <v>1</v>
      </c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2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>
        <v>1</v>
      </c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>
        <v>1</v>
      </c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2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>
        <v>3</v>
      </c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>
        <v>2</v>
      </c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>
        <v>4</v>
      </c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>
        <v>3</v>
      </c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4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>
        <v>2</v>
      </c>
      <c r="D493" s="22">
        <v>1</v>
      </c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5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1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>
        <v>5</v>
      </c>
      <c r="D496" s="22">
        <v>1</v>
      </c>
      <c r="E496" s="14"/>
      <c r="F496" s="14"/>
      <c r="G496" s="54"/>
    </row>
    <row r="497" spans="1:7" ht="14.5">
      <c r="A497" s="25">
        <v>44332</v>
      </c>
      <c r="B497" s="26">
        <v>19</v>
      </c>
      <c r="C497" s="22">
        <v>2</v>
      </c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>
        <v>1</v>
      </c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>
        <v>1.5</v>
      </c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2.5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>
        <v>1</v>
      </c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C506" s="45">
        <v>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>
        <v>4</v>
      </c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>
        <v>1</v>
      </c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>
        <v>1</v>
      </c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>
        <v>1</v>
      </c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>
        <v>1</v>
      </c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>
        <v>1</v>
      </c>
      <c r="D556" s="22">
        <v>1</v>
      </c>
      <c r="E556" s="14"/>
      <c r="F556" s="14"/>
      <c r="G556" s="54"/>
    </row>
    <row r="557" spans="1:7" ht="14.5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>
        <v>1</v>
      </c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f>2+(4/3)</f>
        <v>3.333333333333333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f>(4/3)+1</f>
        <v>2.333333333333333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f>4/3</f>
        <v>1.3333333333333333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32">
        <v>29</v>
      </c>
      <c r="C565" s="32"/>
      <c r="D565" s="32"/>
      <c r="E565" s="32"/>
      <c r="F565" s="32"/>
    </row>
    <row r="566" spans="1:7" ht="14.5">
      <c r="A566" s="28">
        <v>44401</v>
      </c>
      <c r="B566" s="22">
        <v>29</v>
      </c>
      <c r="C566" s="32">
        <v>1</v>
      </c>
      <c r="D566" s="32"/>
      <c r="E566" s="32"/>
      <c r="F566" s="32"/>
    </row>
    <row r="567" spans="1:7" ht="14.5">
      <c r="A567" s="28">
        <v>44402</v>
      </c>
      <c r="B567" s="22">
        <v>29</v>
      </c>
      <c r="C567" s="32">
        <f>1</f>
        <v>1</v>
      </c>
      <c r="D567" s="32"/>
      <c r="E567" s="32"/>
      <c r="F567" s="32"/>
    </row>
    <row r="568" spans="1:7" ht="14.5">
      <c r="A568" s="28">
        <v>44403</v>
      </c>
      <c r="B568" s="22">
        <v>30</v>
      </c>
      <c r="C568" s="32"/>
      <c r="D568" s="32"/>
      <c r="E568" s="32"/>
      <c r="F568" s="32"/>
    </row>
    <row r="569" spans="1:7" ht="14.5">
      <c r="A569" s="28">
        <v>44404</v>
      </c>
      <c r="B569" s="22">
        <v>30</v>
      </c>
      <c r="C569" s="32">
        <v>1</v>
      </c>
      <c r="D569" s="32"/>
      <c r="E569" s="32"/>
      <c r="F569" s="32"/>
    </row>
    <row r="570" spans="1:7" ht="14.5">
      <c r="A570" s="28">
        <v>44405</v>
      </c>
      <c r="B570" s="22">
        <v>30</v>
      </c>
      <c r="C570" s="32">
        <f>1</f>
        <v>1</v>
      </c>
      <c r="D570" s="32"/>
      <c r="E570" s="32"/>
      <c r="F570" s="32"/>
    </row>
    <row r="571" spans="1:7" ht="14.5">
      <c r="A571" s="28">
        <v>44406</v>
      </c>
      <c r="B571" s="22">
        <v>30</v>
      </c>
      <c r="C571" s="32">
        <f>(3/8)</f>
        <v>0.375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32">
        <f>1+(3/8)</f>
        <v>1.375</v>
      </c>
      <c r="D572" s="32"/>
      <c r="E572" s="32"/>
      <c r="F572" s="32"/>
    </row>
    <row r="573" spans="1:7" ht="14.5">
      <c r="A573" s="28">
        <v>44408</v>
      </c>
      <c r="B573" s="22">
        <v>30</v>
      </c>
      <c r="C573" s="22">
        <f t="shared" ref="C573:C574" si="0">(3/8)</f>
        <v>0.375</v>
      </c>
      <c r="D573" s="32"/>
      <c r="E573" s="32"/>
      <c r="F573" s="32"/>
    </row>
    <row r="574" spans="1:7" ht="14.5">
      <c r="A574" s="28">
        <v>44409</v>
      </c>
      <c r="B574" s="22">
        <v>30</v>
      </c>
      <c r="C574" s="22">
        <f t="shared" si="0"/>
        <v>0.375</v>
      </c>
      <c r="D574" s="22"/>
      <c r="E574" s="22"/>
      <c r="F574" s="22"/>
    </row>
    <row r="575" spans="1:7" ht="14.5">
      <c r="A575" s="28">
        <v>44410</v>
      </c>
      <c r="B575" s="22">
        <v>31</v>
      </c>
      <c r="C575" s="22">
        <f>(3/8)+1+1</f>
        <v>2.375</v>
      </c>
      <c r="D575" s="22"/>
      <c r="E575" s="22"/>
      <c r="F575" s="22"/>
    </row>
    <row r="576" spans="1:7" ht="14.5">
      <c r="A576" s="28">
        <v>44411</v>
      </c>
      <c r="B576" s="22">
        <v>31</v>
      </c>
      <c r="C576" s="22">
        <f>(3/8)+1</f>
        <v>1.375</v>
      </c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(3/8)+1</f>
        <v>1.375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(3/8)+1+1</f>
        <v>2.375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f>3</f>
        <v>3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/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>(4/10)+1</f>
        <v>1.4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f t="shared" ref="C583:C584" si="1">(4/10)</f>
        <v>0.4</v>
      </c>
      <c r="D583" s="22"/>
      <c r="E583" s="22"/>
      <c r="F583" s="22"/>
    </row>
    <row r="584" spans="1:6" ht="14.5">
      <c r="A584" s="28">
        <v>44419</v>
      </c>
      <c r="B584" s="22">
        <v>32</v>
      </c>
      <c r="C584" s="22">
        <f t="shared" si="1"/>
        <v>0.4</v>
      </c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f>(4/10)+(6/9)</f>
        <v>1.0666666666666667</v>
      </c>
      <c r="D585" s="22"/>
      <c r="E585" s="22"/>
      <c r="F585" s="22"/>
    </row>
    <row r="586" spans="1:6" ht="14.5">
      <c r="A586" s="28">
        <v>44421</v>
      </c>
      <c r="B586" s="22">
        <v>32</v>
      </c>
      <c r="C586" s="22">
        <f>(4/10)+(6/9)</f>
        <v>1.0666666666666667</v>
      </c>
      <c r="D586" s="22"/>
      <c r="E586" s="22"/>
      <c r="F586" s="22"/>
    </row>
    <row r="587" spans="1:6" ht="14.5">
      <c r="A587" s="28">
        <v>44422</v>
      </c>
      <c r="B587" s="22">
        <v>32</v>
      </c>
      <c r="C587" s="22">
        <f>(4/10)+(6/9)+1+2</f>
        <v>4.0666666666666664</v>
      </c>
      <c r="D587" s="22"/>
      <c r="E587" s="22"/>
      <c r="F587" s="22"/>
    </row>
    <row r="588" spans="1:6" ht="14.5">
      <c r="A588" s="28">
        <v>44423</v>
      </c>
      <c r="B588" s="22">
        <v>32</v>
      </c>
      <c r="C588" s="22">
        <f>(4/10)+(6/9)+1</f>
        <v>2.0666666666666664</v>
      </c>
      <c r="D588" s="22"/>
      <c r="E588" s="22"/>
      <c r="F588" s="22"/>
    </row>
    <row r="589" spans="1:6" ht="14.5">
      <c r="A589" s="28">
        <v>44424</v>
      </c>
      <c r="B589" s="22">
        <v>33</v>
      </c>
      <c r="C589" s="22">
        <f>(4/10)+(6/9)</f>
        <v>1.0666666666666667</v>
      </c>
      <c r="D589" s="22"/>
      <c r="E589" s="22"/>
      <c r="F589" s="22"/>
    </row>
    <row r="590" spans="1:6" ht="14.5">
      <c r="A590" s="28">
        <v>44425</v>
      </c>
      <c r="B590" s="22">
        <v>33</v>
      </c>
      <c r="C590" s="22">
        <f>(4/10)+(6/9)</f>
        <v>1.0666666666666667</v>
      </c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(4/10)+(6/9)</f>
        <v>1.0666666666666667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(6/9)</f>
        <v>0.66666666666666663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(6/9)</f>
        <v>0.66666666666666663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/>
      <c r="D594" s="22"/>
      <c r="E594" s="22"/>
      <c r="F594" s="22"/>
    </row>
    <row r="595" spans="1:6" ht="14.5">
      <c r="A595" s="28">
        <v>44430</v>
      </c>
      <c r="B595" s="22">
        <v>33</v>
      </c>
      <c r="C595" s="22"/>
      <c r="D595" s="22"/>
      <c r="E595" s="22"/>
      <c r="F595" s="22"/>
    </row>
    <row r="596" spans="1:6" ht="14.5">
      <c r="A596" s="28">
        <v>44431</v>
      </c>
      <c r="B596" s="22">
        <v>34</v>
      </c>
      <c r="C596" s="22"/>
      <c r="D596" s="22"/>
      <c r="E596" s="22"/>
      <c r="F596" s="22"/>
    </row>
    <row r="597" spans="1:6" ht="14.5">
      <c r="A597" s="28">
        <v>44432</v>
      </c>
      <c r="B597" s="22">
        <v>34</v>
      </c>
      <c r="C597" s="22"/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2</f>
        <v>2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1</f>
        <v>1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>
        <f>1+1+1</f>
        <v>3</v>
      </c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>1</f>
        <v>1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>
        <f>1</f>
        <v>1</v>
      </c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/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1</f>
        <v>1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>1</f>
        <v>1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>
        <f>1</f>
        <v>1</v>
      </c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>
        <f>1</f>
        <v>1</v>
      </c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>
        <f>2</f>
        <v>2</v>
      </c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(3/4)</f>
        <v>0.75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 t="shared" ref="C733:C735" si="2">(3/4)</f>
        <v>0.75</v>
      </c>
      <c r="D733" s="22"/>
      <c r="E733" s="22"/>
      <c r="F733" s="22"/>
    </row>
    <row r="734" spans="1:6" ht="14.5">
      <c r="A734" s="28">
        <v>44569</v>
      </c>
      <c r="B734" s="22">
        <v>1</v>
      </c>
      <c r="C734" s="22">
        <f t="shared" si="2"/>
        <v>0.75</v>
      </c>
      <c r="D734" s="22"/>
      <c r="E734" s="22"/>
      <c r="F734" s="22"/>
    </row>
    <row r="735" spans="1:6" ht="14.5">
      <c r="A735" s="28">
        <v>44570</v>
      </c>
      <c r="B735" s="22">
        <v>1</v>
      </c>
      <c r="C735" s="22">
        <f t="shared" si="2"/>
        <v>0.75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>
        <f>2+1+1+1+(4/6)</f>
        <v>5.666666666666667</v>
      </c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1+1+2+1+(4/6)+1+1</f>
        <v>7.666666666666667</v>
      </c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5+1+1+1+1+1+(4/6)+1+1+1+1+1</f>
        <v>15.666666666666666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1+1+1+1+(4/6)+1+1+2+2+1+1</f>
        <v>12.666666666666668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1+(4/6)+1+1+1+1+1+1+1+1+1+1+2</f>
        <v>13.666666666666666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(4/6)+1+2+2+1</f>
        <v>6.6666666666666661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1+1+1+1</f>
        <v>4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1+1+1</f>
        <v>3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1+1+3</f>
        <v>5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3+2+1+2+(4/4)+1</f>
        <v>10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1+2+1+2+1+(4/4)+1</f>
        <v>9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>2+(4/4)</f>
        <v>3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>2+1+(4/4)+1+1</f>
        <v>6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>
        <f>1+1+1+2</f>
        <v>5</v>
      </c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1+1+1</f>
        <v>3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1+1</f>
        <v>2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1+1</f>
        <v>2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1+1+1+1</f>
        <v>4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>1</f>
        <v>1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>1</f>
        <v>1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3</f>
        <v>3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f>1+1</f>
        <v>2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1+1+1+1+1</f>
        <v>5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1+1+1+1+1</f>
        <v>5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>
        <f>1+1+1</f>
        <v>3</v>
      </c>
      <c r="D761" s="52"/>
      <c r="E761" s="52"/>
      <c r="F761" s="52"/>
    </row>
    <row r="762" spans="1:6" ht="14.5">
      <c r="A762" s="49">
        <v>44597</v>
      </c>
      <c r="B762" s="52">
        <v>5</v>
      </c>
      <c r="C762" s="52">
        <f>1</f>
        <v>1</v>
      </c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/>
      <c r="D764" s="52"/>
      <c r="E764" s="52"/>
      <c r="F764" s="52"/>
    </row>
    <row r="765" spans="1:6" ht="14.5">
      <c r="A765" s="49">
        <v>44600</v>
      </c>
      <c r="B765" s="52">
        <v>6</v>
      </c>
      <c r="C765" s="52">
        <f>1</f>
        <v>1</v>
      </c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1</f>
        <v>1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>1+1</f>
        <v>2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>1</f>
        <v>1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1+1</f>
        <v>2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(4/7)</f>
        <v>0.5714285714285714</v>
      </c>
      <c r="D771" s="52"/>
      <c r="E771" s="52"/>
      <c r="F771" s="52"/>
    </row>
    <row r="772" spans="1:6" ht="14.5">
      <c r="A772" s="49">
        <v>44607</v>
      </c>
      <c r="B772" s="52">
        <v>7</v>
      </c>
      <c r="C772" s="52">
        <f>(4/7)+1+1</f>
        <v>2.5714285714285712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>
        <f>(4/7)+1</f>
        <v>1.5714285714285714</v>
      </c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>(4/7)+1</f>
        <v>1.5714285714285714</v>
      </c>
      <c r="D774" s="52"/>
      <c r="E774" s="52"/>
      <c r="F774" s="52"/>
    </row>
    <row r="775" spans="1:6" ht="14.5">
      <c r="A775" s="49">
        <v>44610</v>
      </c>
      <c r="B775" s="52">
        <v>7</v>
      </c>
      <c r="C775" s="52">
        <f>(4/7)+(4/5)+1</f>
        <v>2.3714285714285714</v>
      </c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>(4/7)+(4/5)</f>
        <v>1.3714285714285714</v>
      </c>
      <c r="D776" s="52"/>
      <c r="E776" s="52"/>
      <c r="F776" s="52"/>
    </row>
    <row r="777" spans="1:6" ht="14.5">
      <c r="A777" s="49">
        <v>44612</v>
      </c>
      <c r="B777" s="52">
        <v>7</v>
      </c>
      <c r="C777" s="52">
        <f>(4/7)+(4/5)+1</f>
        <v>2.3714285714285714</v>
      </c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(4/5)+1+1</f>
        <v>2.8</v>
      </c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f>(4/5)</f>
        <v>0.8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/>
      <c r="E781" s="52"/>
      <c r="F781" s="52"/>
    </row>
    <row r="782" spans="1:6" ht="14.5">
      <c r="A782" s="49">
        <v>44617</v>
      </c>
      <c r="B782" s="52">
        <v>8</v>
      </c>
      <c r="C782" s="52">
        <f>1</f>
        <v>1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/>
      <c r="D785" s="52"/>
      <c r="E785" s="52"/>
      <c r="F785" s="52"/>
    </row>
    <row r="786" spans="1:6" ht="14.5">
      <c r="A786" s="64">
        <v>44621</v>
      </c>
      <c r="B786" s="52">
        <v>9</v>
      </c>
      <c r="C786" s="52">
        <f>1</f>
        <v>1</v>
      </c>
      <c r="D786" s="52"/>
      <c r="E786" s="52"/>
      <c r="F786" s="52"/>
    </row>
    <row r="787" spans="1:6" ht="14.5">
      <c r="A787" s="64">
        <v>44622</v>
      </c>
      <c r="B787" s="52">
        <v>9</v>
      </c>
      <c r="C787" s="52"/>
      <c r="D787" s="52"/>
      <c r="E787" s="52"/>
      <c r="F787" s="52"/>
    </row>
    <row r="788" spans="1:6" ht="14.5">
      <c r="A788" s="64">
        <v>44623</v>
      </c>
      <c r="B788" s="52">
        <v>9</v>
      </c>
      <c r="C788" s="52">
        <f>1</f>
        <v>1</v>
      </c>
      <c r="D788" s="52"/>
      <c r="E788" s="52"/>
      <c r="F788" s="52"/>
    </row>
    <row r="789" spans="1:6" ht="14.5">
      <c r="A789" s="64">
        <v>44624</v>
      </c>
      <c r="B789" s="52">
        <v>9</v>
      </c>
      <c r="C789" s="52"/>
      <c r="D789" s="52"/>
      <c r="E789" s="52"/>
      <c r="F789" s="52"/>
    </row>
    <row r="790" spans="1:6" ht="14.5">
      <c r="A790" s="64">
        <v>44625</v>
      </c>
      <c r="B790" s="52">
        <v>9</v>
      </c>
      <c r="C790" s="52"/>
      <c r="D790" s="52"/>
      <c r="E790" s="52"/>
      <c r="F790" s="52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  <row r="856" spans="3:6" ht="14.5">
      <c r="C856" s="45"/>
      <c r="D856" s="45"/>
      <c r="E856" s="45"/>
      <c r="F856" s="45"/>
    </row>
    <row r="857" spans="3:6" ht="14.5">
      <c r="C857" s="45"/>
      <c r="D857" s="45"/>
      <c r="E857" s="45"/>
      <c r="F857" s="45"/>
    </row>
    <row r="858" spans="3:6" ht="14.5">
      <c r="C858" s="45"/>
      <c r="D858" s="45"/>
      <c r="E858" s="45"/>
      <c r="F858" s="45"/>
    </row>
    <row r="859" spans="3:6" ht="14.5">
      <c r="C859" s="45"/>
      <c r="D859" s="45"/>
      <c r="E859" s="45"/>
      <c r="F859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1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G855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4.5"/>
  <cols>
    <col min="1" max="1" width="10" style="55" bestFit="1" customWidth="1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5.33203125" style="55" bestFit="1" customWidth="1"/>
    <col min="7" max="7" width="66.33203125" style="55" customWidth="1"/>
    <col min="8" max="16384" width="12.58203125" style="55"/>
  </cols>
  <sheetData>
    <row r="1" spans="1:7">
      <c r="A1" s="120" t="s">
        <v>72</v>
      </c>
      <c r="B1" s="112"/>
      <c r="C1" s="112"/>
      <c r="D1" s="112"/>
      <c r="E1" s="112"/>
      <c r="F1" s="113"/>
      <c r="G1" s="69" t="s">
        <v>86</v>
      </c>
    </row>
    <row r="2" spans="1:7">
      <c r="A2" s="141" t="s">
        <v>22</v>
      </c>
      <c r="B2" s="115"/>
      <c r="C2" s="115"/>
      <c r="D2" s="115"/>
      <c r="E2" s="115"/>
      <c r="F2" s="116"/>
      <c r="G2" s="68" t="s">
        <v>229</v>
      </c>
    </row>
    <row r="3" spans="1:7">
      <c r="A3" s="118" t="s">
        <v>421</v>
      </c>
      <c r="B3" s="115"/>
      <c r="C3" s="115"/>
      <c r="D3" s="115"/>
      <c r="E3" s="115"/>
      <c r="F3" s="116"/>
      <c r="G3" s="4"/>
    </row>
    <row r="4" spans="1:7">
      <c r="A4" s="118"/>
      <c r="B4" s="115"/>
      <c r="C4" s="115"/>
      <c r="D4" s="115"/>
      <c r="E4" s="115"/>
      <c r="F4" s="116"/>
    </row>
    <row r="5" spans="1:7">
      <c r="A5" s="118"/>
      <c r="B5" s="115"/>
      <c r="C5" s="115"/>
      <c r="D5" s="115"/>
      <c r="E5" s="115"/>
      <c r="F5" s="116"/>
    </row>
    <row r="6" spans="1:7">
      <c r="A6" s="118"/>
      <c r="B6" s="115"/>
      <c r="C6" s="115"/>
      <c r="D6" s="115"/>
      <c r="E6" s="115"/>
      <c r="F6" s="116"/>
    </row>
    <row r="7" spans="1:7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>
      <c r="A8" s="25">
        <v>43843</v>
      </c>
      <c r="B8" s="26">
        <v>1</v>
      </c>
      <c r="C8" s="21"/>
      <c r="D8" s="21"/>
      <c r="E8" s="7"/>
      <c r="F8" s="7"/>
      <c r="G8" s="54"/>
    </row>
    <row r="9" spans="1:7">
      <c r="A9" s="25">
        <v>43844</v>
      </c>
      <c r="B9" s="26">
        <v>1</v>
      </c>
      <c r="C9" s="22"/>
      <c r="D9" s="22"/>
      <c r="E9" s="14"/>
      <c r="F9" s="14"/>
      <c r="G9" s="54"/>
    </row>
    <row r="10" spans="1:7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.5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.5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.5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.5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.5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.5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.5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.5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>
      <c r="A194" s="25">
        <v>44029</v>
      </c>
      <c r="B194" s="26">
        <v>27</v>
      </c>
      <c r="C194" s="22">
        <v>1</v>
      </c>
      <c r="D194" s="22"/>
      <c r="E194" s="14"/>
      <c r="F194" s="14"/>
      <c r="G194" s="54"/>
    </row>
    <row r="195" spans="1:7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>
      <c r="A229" s="25">
        <v>44064</v>
      </c>
      <c r="B229" s="26">
        <v>32</v>
      </c>
      <c r="C229" s="22">
        <v>1</v>
      </c>
      <c r="D229" s="22"/>
      <c r="E229" s="14"/>
      <c r="F229" s="14"/>
      <c r="G229" s="54"/>
    </row>
    <row r="230" spans="1:7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>
      <c r="A263" s="25">
        <v>44098</v>
      </c>
      <c r="B263" s="26">
        <v>37</v>
      </c>
      <c r="C263" s="22"/>
      <c r="D263" s="22">
        <v>1</v>
      </c>
      <c r="E263" s="14"/>
      <c r="F263" s="14"/>
      <c r="G263" s="54"/>
    </row>
    <row r="264" spans="1:7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>
      <c r="A296" s="25">
        <v>44131</v>
      </c>
      <c r="B296" s="26">
        <v>42</v>
      </c>
      <c r="C296" s="22">
        <v>1</v>
      </c>
      <c r="D296" s="22"/>
      <c r="E296" s="14"/>
      <c r="F296" s="14"/>
      <c r="G296" s="54"/>
    </row>
    <row r="297" spans="1:7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>
      <c r="A299" s="25">
        <v>44134</v>
      </c>
      <c r="B299" s="26">
        <v>42</v>
      </c>
      <c r="C299" s="22">
        <v>1</v>
      </c>
      <c r="D299" s="22"/>
      <c r="E299" s="14"/>
      <c r="F299" s="14"/>
      <c r="G299" s="54"/>
    </row>
    <row r="300" spans="1:7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>
      <c r="A309" s="25">
        <v>44144</v>
      </c>
      <c r="B309" s="26">
        <v>44</v>
      </c>
      <c r="C309" s="22">
        <v>1</v>
      </c>
      <c r="D309" s="22"/>
      <c r="E309" s="14"/>
      <c r="F309" s="14"/>
      <c r="G309" s="54"/>
    </row>
    <row r="310" spans="1:7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>
      <c r="A313" s="25">
        <v>44148</v>
      </c>
      <c r="B313" s="26">
        <v>44</v>
      </c>
      <c r="C313" s="22">
        <v>1</v>
      </c>
      <c r="D313" s="22"/>
      <c r="E313" s="14"/>
      <c r="F313" s="14"/>
      <c r="G313" s="54"/>
    </row>
    <row r="314" spans="1:7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>
      <c r="A316" s="25">
        <v>44151</v>
      </c>
      <c r="B316" s="26">
        <v>45</v>
      </c>
      <c r="C316" s="22">
        <v>1</v>
      </c>
      <c r="D316" s="22"/>
      <c r="E316" s="13"/>
      <c r="F316" s="14"/>
      <c r="G316" s="54"/>
    </row>
    <row r="317" spans="1:7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>
      <c r="A320" s="25">
        <v>44155</v>
      </c>
      <c r="B320" s="26">
        <v>45</v>
      </c>
      <c r="C320" s="22">
        <v>1</v>
      </c>
      <c r="D320" s="22"/>
      <c r="E320" s="14"/>
      <c r="F320" s="14"/>
      <c r="G320" s="54"/>
    </row>
    <row r="321" spans="1:7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>
      <c r="A345" s="25">
        <v>44180</v>
      </c>
      <c r="B345" s="26">
        <v>49</v>
      </c>
      <c r="C345" s="22">
        <v>1</v>
      </c>
      <c r="D345" s="22"/>
      <c r="E345" s="14"/>
      <c r="F345" s="14"/>
      <c r="G345" s="54"/>
    </row>
    <row r="346" spans="1:7">
      <c r="A346" s="25">
        <v>44181</v>
      </c>
      <c r="B346" s="26">
        <v>49</v>
      </c>
      <c r="C346" s="22">
        <v>1</v>
      </c>
      <c r="D346" s="22"/>
      <c r="E346" s="14"/>
      <c r="F346" s="14"/>
      <c r="G346" s="54"/>
    </row>
    <row r="347" spans="1:7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>
      <c r="A349" s="25">
        <v>44184</v>
      </c>
      <c r="B349" s="26">
        <v>49</v>
      </c>
      <c r="C349" s="22">
        <v>1</v>
      </c>
      <c r="D349" s="22"/>
      <c r="E349" s="14"/>
      <c r="F349" s="14"/>
      <c r="G349" s="54"/>
    </row>
    <row r="350" spans="1:7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>
      <c r="A354" s="25">
        <v>44189</v>
      </c>
      <c r="B354" s="26">
        <v>50</v>
      </c>
      <c r="C354" s="22">
        <v>1</v>
      </c>
      <c r="D354" s="22"/>
      <c r="E354" s="13"/>
      <c r="F354" s="14"/>
      <c r="G354" s="54"/>
    </row>
    <row r="355" spans="1:7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>
      <c r="A361" s="25">
        <v>44196</v>
      </c>
      <c r="B361" s="26">
        <v>51</v>
      </c>
      <c r="C361" s="22">
        <v>1</v>
      </c>
      <c r="D361" s="22"/>
      <c r="E361" s="14"/>
      <c r="F361" s="14"/>
      <c r="G361" s="54"/>
    </row>
    <row r="362" spans="1:7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>
      <c r="A363" s="25">
        <v>44198</v>
      </c>
      <c r="B363" s="26">
        <v>51</v>
      </c>
      <c r="C363" s="22">
        <v>1</v>
      </c>
      <c r="D363" s="22"/>
      <c r="E363" s="14"/>
      <c r="F363" s="14"/>
      <c r="G363" s="54"/>
    </row>
    <row r="364" spans="1:7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>
      <c r="A365" s="25">
        <v>44200</v>
      </c>
      <c r="B365" s="26">
        <v>1</v>
      </c>
      <c r="C365" s="22">
        <v>2</v>
      </c>
      <c r="D365" s="22"/>
      <c r="E365" s="14"/>
      <c r="F365" s="14"/>
      <c r="G365" s="54"/>
    </row>
    <row r="366" spans="1:7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>
      <c r="A368" s="25">
        <v>44203</v>
      </c>
      <c r="B368" s="26">
        <v>1</v>
      </c>
      <c r="C368" s="22">
        <v>1</v>
      </c>
      <c r="D368" s="22"/>
      <c r="E368" s="14"/>
      <c r="F368" s="14"/>
      <c r="G368" s="126"/>
    </row>
    <row r="369" spans="1:7">
      <c r="A369" s="25">
        <v>44204</v>
      </c>
      <c r="B369" s="26">
        <v>1</v>
      </c>
      <c r="C369" s="22">
        <v>1</v>
      </c>
      <c r="D369" s="22"/>
      <c r="E369" s="14"/>
      <c r="F369" s="14"/>
      <c r="G369" s="54"/>
    </row>
    <row r="370" spans="1:7">
      <c r="A370" s="25">
        <v>44205</v>
      </c>
      <c r="B370" s="26">
        <v>1</v>
      </c>
      <c r="C370" s="22">
        <v>1</v>
      </c>
      <c r="D370" s="22"/>
      <c r="E370" s="14"/>
      <c r="F370" s="14"/>
      <c r="G370" s="122"/>
    </row>
    <row r="371" spans="1:7">
      <c r="A371" s="25">
        <v>44206</v>
      </c>
      <c r="B371" s="26">
        <v>1</v>
      </c>
      <c r="C371" s="22">
        <v>1</v>
      </c>
      <c r="D371" s="22"/>
      <c r="E371" s="14"/>
      <c r="F371" s="14"/>
      <c r="G371" s="126"/>
    </row>
    <row r="372" spans="1:7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>
      <c r="A373" s="25">
        <v>44208</v>
      </c>
      <c r="B373" s="26">
        <v>2</v>
      </c>
      <c r="C373" s="22">
        <v>1</v>
      </c>
      <c r="D373" s="22"/>
      <c r="E373" s="14"/>
      <c r="F373" s="14"/>
      <c r="G373" s="54"/>
    </row>
    <row r="374" spans="1:7">
      <c r="A374" s="25">
        <v>44209</v>
      </c>
      <c r="B374" s="26">
        <v>2</v>
      </c>
      <c r="C374" s="22">
        <v>1</v>
      </c>
      <c r="D374" s="22"/>
      <c r="E374" s="14"/>
      <c r="F374" s="12"/>
      <c r="G374" s="54"/>
    </row>
    <row r="375" spans="1:7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>
      <c r="A377" s="25">
        <v>44212</v>
      </c>
      <c r="B377" s="26">
        <v>2</v>
      </c>
      <c r="C377" s="22">
        <v>2</v>
      </c>
      <c r="D377" s="22"/>
      <c r="E377" s="14"/>
      <c r="F377" s="14"/>
      <c r="G377" s="126"/>
    </row>
    <row r="378" spans="1:7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>
      <c r="A382" s="25">
        <v>44217</v>
      </c>
      <c r="B382" s="26">
        <v>3</v>
      </c>
      <c r="C382" s="22">
        <v>1</v>
      </c>
      <c r="D382" s="22"/>
      <c r="E382" s="14"/>
      <c r="F382" s="14"/>
      <c r="G382" s="54"/>
    </row>
    <row r="383" spans="1:7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>
      <c r="A399" s="25">
        <v>44234</v>
      </c>
      <c r="B399" s="26">
        <v>5</v>
      </c>
      <c r="C399" s="22">
        <v>1</v>
      </c>
      <c r="D399" s="22"/>
      <c r="E399" s="14"/>
      <c r="F399" s="14"/>
      <c r="G399" s="54"/>
    </row>
    <row r="400" spans="1:7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>
      <c r="A401" s="25">
        <v>44236</v>
      </c>
      <c r="B401" s="26">
        <v>6</v>
      </c>
      <c r="C401" s="22">
        <v>1</v>
      </c>
      <c r="D401" s="22"/>
      <c r="E401" s="14"/>
      <c r="F401" s="14"/>
      <c r="G401" s="54"/>
    </row>
    <row r="402" spans="1:7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>
      <c r="A429" s="25">
        <v>44264</v>
      </c>
      <c r="B429" s="26">
        <v>10</v>
      </c>
      <c r="C429" s="22">
        <v>1</v>
      </c>
      <c r="D429" s="22"/>
      <c r="E429" s="14"/>
      <c r="F429" s="14"/>
      <c r="G429" s="54"/>
    </row>
    <row r="430" spans="1:7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>
      <c r="A437" s="25">
        <v>44272</v>
      </c>
      <c r="B437" s="26">
        <v>11</v>
      </c>
      <c r="C437" s="22">
        <v>1</v>
      </c>
      <c r="D437" s="22"/>
      <c r="E437" s="14"/>
      <c r="F437" s="14"/>
      <c r="G437" s="54"/>
    </row>
    <row r="438" spans="1:7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>
      <c r="A443" s="25">
        <v>44278</v>
      </c>
      <c r="B443" s="26">
        <v>12</v>
      </c>
      <c r="C443" s="22">
        <v>1</v>
      </c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>
      <c r="A450" s="25">
        <v>44285</v>
      </c>
      <c r="B450" s="26">
        <v>13</v>
      </c>
      <c r="C450" s="22">
        <v>1</v>
      </c>
      <c r="D450" s="22"/>
      <c r="E450" s="14"/>
      <c r="F450" s="14"/>
      <c r="G450" s="54"/>
    </row>
    <row r="451" spans="1:7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>
      <c r="A475" s="25">
        <v>44310</v>
      </c>
      <c r="B475" s="26">
        <v>16</v>
      </c>
      <c r="C475" s="22">
        <v>2</v>
      </c>
      <c r="D475" s="22"/>
      <c r="E475" s="14"/>
      <c r="F475" s="14"/>
      <c r="G475" s="54"/>
    </row>
    <row r="476" spans="1:7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>
      <c r="A481" s="25">
        <v>44316</v>
      </c>
      <c r="B481" s="26">
        <v>17</v>
      </c>
      <c r="C481" s="22">
        <v>1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>
      <c r="A486" s="25">
        <v>44321</v>
      </c>
      <c r="B486" s="26">
        <v>18</v>
      </c>
      <c r="C486" s="22">
        <v>1</v>
      </c>
      <c r="D486" s="22"/>
      <c r="E486" s="14"/>
      <c r="F486" s="14"/>
      <c r="G486" s="54"/>
    </row>
    <row r="487" spans="1:7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>
      <c r="A489" s="25">
        <v>44324</v>
      </c>
      <c r="B489" s="26">
        <v>18</v>
      </c>
      <c r="C489" s="22">
        <v>1</v>
      </c>
      <c r="D489" s="22"/>
      <c r="E489" s="14"/>
      <c r="F489" s="14"/>
      <c r="G489" s="54"/>
    </row>
    <row r="490" spans="1:7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>
      <c r="A495" s="25">
        <v>44330</v>
      </c>
      <c r="B495" s="26">
        <v>19</v>
      </c>
      <c r="C495" s="22">
        <v>1</v>
      </c>
      <c r="D495" s="22"/>
      <c r="E495" s="14"/>
      <c r="F495" s="14"/>
      <c r="G495" s="54"/>
    </row>
    <row r="496" spans="1:7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>
      <c r="A499" s="25">
        <v>44334</v>
      </c>
      <c r="B499" s="26">
        <v>20</v>
      </c>
      <c r="C499" s="22">
        <v>1</v>
      </c>
      <c r="D499" s="22"/>
      <c r="E499" s="14"/>
      <c r="F499" s="14"/>
      <c r="G499" s="54"/>
    </row>
    <row r="500" spans="1:7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>
      <c r="A506" s="25">
        <v>44341</v>
      </c>
      <c r="B506" s="26">
        <v>21</v>
      </c>
      <c r="D506" s="22"/>
      <c r="E506" s="14"/>
      <c r="F506" s="14"/>
      <c r="G506" s="54"/>
    </row>
    <row r="507" spans="1:7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>
      <c r="A528" s="25">
        <v>44363</v>
      </c>
      <c r="B528" s="26">
        <v>24</v>
      </c>
      <c r="C528" s="22">
        <v>1</v>
      </c>
      <c r="D528" s="22"/>
      <c r="E528" s="14"/>
      <c r="F528" s="14"/>
      <c r="G528" s="54"/>
    </row>
    <row r="529" spans="1:7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>
      <c r="A538" s="25">
        <v>44373</v>
      </c>
      <c r="B538" s="26">
        <v>25</v>
      </c>
      <c r="C538" s="22">
        <v>1</v>
      </c>
      <c r="D538" s="22"/>
      <c r="E538" s="16"/>
      <c r="F538" s="14"/>
      <c r="G538" s="54"/>
    </row>
    <row r="539" spans="1:7">
      <c r="A539" s="25">
        <v>44374</v>
      </c>
      <c r="B539" s="26">
        <v>25</v>
      </c>
      <c r="C539" s="22">
        <v>1</v>
      </c>
      <c r="D539" s="22"/>
      <c r="E539" s="16"/>
      <c r="F539" s="14"/>
      <c r="G539" s="54"/>
    </row>
    <row r="540" spans="1:7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>
      <c r="A542" s="25">
        <v>44377</v>
      </c>
      <c r="B542" s="26">
        <v>26</v>
      </c>
      <c r="C542" s="22">
        <v>1</v>
      </c>
      <c r="D542" s="22"/>
      <c r="E542" s="14"/>
      <c r="F542" s="14"/>
      <c r="G542" s="54"/>
    </row>
    <row r="543" spans="1:7">
      <c r="A543" s="25">
        <v>44378</v>
      </c>
      <c r="B543" s="26">
        <v>26</v>
      </c>
      <c r="C543" s="22">
        <v>1</v>
      </c>
      <c r="D543" s="22"/>
      <c r="E543" s="14"/>
      <c r="F543" s="14"/>
      <c r="G543" s="54"/>
    </row>
    <row r="544" spans="1:7">
      <c r="A544" s="25">
        <v>44379</v>
      </c>
      <c r="B544" s="26">
        <v>26</v>
      </c>
      <c r="C544" s="22">
        <v>1</v>
      </c>
      <c r="D544" s="22"/>
      <c r="E544" s="14"/>
      <c r="F544" s="14"/>
      <c r="G544" s="54"/>
    </row>
    <row r="545" spans="1:7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>
      <c r="A550" s="25">
        <v>44385</v>
      </c>
      <c r="B550" s="22">
        <v>27</v>
      </c>
      <c r="C550" s="22">
        <v>1</v>
      </c>
      <c r="D550" s="22">
        <v>2</v>
      </c>
      <c r="E550" s="14"/>
      <c r="F550" s="14"/>
      <c r="G550" s="54"/>
    </row>
    <row r="551" spans="1:7">
      <c r="A551" s="25">
        <v>44386</v>
      </c>
      <c r="B551" s="22">
        <v>27</v>
      </c>
      <c r="C551" s="22">
        <v>1</v>
      </c>
      <c r="D551" s="22"/>
      <c r="E551" s="14"/>
      <c r="F551" s="14"/>
      <c r="G551" s="54"/>
    </row>
    <row r="552" spans="1:7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>
      <c r="A553" s="25">
        <v>44388</v>
      </c>
      <c r="B553" s="22">
        <v>27</v>
      </c>
      <c r="C553" s="22"/>
      <c r="D553" s="22">
        <v>1</v>
      </c>
      <c r="E553" s="14"/>
      <c r="F553" s="14"/>
      <c r="G553" s="54"/>
    </row>
    <row r="554" spans="1:7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>
      <c r="A555" s="25">
        <v>44390</v>
      </c>
      <c r="B555" s="22">
        <v>28</v>
      </c>
      <c r="C555" s="22">
        <v>1</v>
      </c>
      <c r="D555" s="22"/>
      <c r="E555" s="14"/>
      <c r="F555" s="14"/>
      <c r="G555" s="54"/>
    </row>
    <row r="556" spans="1:7">
      <c r="A556" s="25">
        <v>44391</v>
      </c>
      <c r="B556" s="22">
        <v>28</v>
      </c>
      <c r="C556" s="22">
        <v>1</v>
      </c>
      <c r="D556" s="22"/>
      <c r="E556" s="14"/>
      <c r="F556" s="14"/>
      <c r="G556" s="54"/>
    </row>
    <row r="557" spans="1:7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>
      <c r="A558" s="25">
        <v>44393</v>
      </c>
      <c r="B558" s="22">
        <v>28</v>
      </c>
      <c r="C558" s="22">
        <v>1</v>
      </c>
      <c r="D558" s="22"/>
      <c r="E558" s="14"/>
      <c r="F558" s="14"/>
      <c r="G558" s="54"/>
    </row>
    <row r="559" spans="1:7">
      <c r="A559" s="25">
        <v>44394</v>
      </c>
      <c r="B559" s="22">
        <v>28</v>
      </c>
      <c r="C559" s="22">
        <v>1</v>
      </c>
      <c r="D559" s="22"/>
      <c r="E559" s="14"/>
      <c r="F559" s="14"/>
      <c r="G559" s="54"/>
    </row>
    <row r="560" spans="1:7">
      <c r="A560" s="25">
        <v>44395</v>
      </c>
      <c r="B560" s="22">
        <v>28</v>
      </c>
      <c r="C560" s="22">
        <v>1</v>
      </c>
      <c r="D560" s="22"/>
      <c r="E560" s="14"/>
      <c r="F560" s="14"/>
      <c r="G560" s="54"/>
    </row>
    <row r="561" spans="1:7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>
      <c r="A564" s="28">
        <v>44399</v>
      </c>
      <c r="B564" s="22">
        <v>29</v>
      </c>
      <c r="C564" s="22"/>
      <c r="D564" s="22">
        <v>1</v>
      </c>
      <c r="E564" s="14"/>
      <c r="F564" s="14"/>
      <c r="G564" s="54"/>
    </row>
    <row r="565" spans="1:7">
      <c r="A565" s="28">
        <v>44400</v>
      </c>
      <c r="B565" s="22">
        <v>29</v>
      </c>
      <c r="C565" s="22">
        <v>1</v>
      </c>
      <c r="D565" s="22"/>
      <c r="E565" s="22"/>
      <c r="F565" s="22"/>
    </row>
    <row r="566" spans="1:7">
      <c r="A566" s="28">
        <v>44401</v>
      </c>
      <c r="B566" s="22">
        <v>29</v>
      </c>
      <c r="C566" s="22"/>
      <c r="D566" s="22"/>
      <c r="E566" s="22"/>
      <c r="F566" s="22"/>
    </row>
    <row r="567" spans="1:7">
      <c r="A567" s="28">
        <v>44402</v>
      </c>
      <c r="B567" s="22">
        <v>29</v>
      </c>
      <c r="C567" s="22">
        <v>1</v>
      </c>
      <c r="D567" s="22"/>
      <c r="E567" s="22"/>
      <c r="F567" s="22"/>
    </row>
    <row r="568" spans="1:7">
      <c r="A568" s="28">
        <v>44403</v>
      </c>
      <c r="B568" s="22">
        <v>30</v>
      </c>
      <c r="C568" s="22">
        <f>2+1</f>
        <v>3</v>
      </c>
      <c r="D568" s="22"/>
      <c r="E568" s="22"/>
      <c r="F568" s="22"/>
    </row>
    <row r="569" spans="1:7">
      <c r="A569" s="28">
        <v>44404</v>
      </c>
      <c r="B569" s="22">
        <v>30</v>
      </c>
      <c r="C569" s="32">
        <f>1+1</f>
        <v>2</v>
      </c>
      <c r="D569" s="32"/>
      <c r="E569" s="32"/>
      <c r="F569" s="32"/>
    </row>
    <row r="570" spans="1:7">
      <c r="A570" s="28">
        <v>44405</v>
      </c>
      <c r="B570" s="22">
        <v>30</v>
      </c>
      <c r="C570" s="32"/>
      <c r="D570" s="32"/>
      <c r="E570" s="32"/>
      <c r="F570" s="32"/>
    </row>
    <row r="571" spans="1:7">
      <c r="A571" s="28">
        <v>44406</v>
      </c>
      <c r="B571" s="22">
        <v>30</v>
      </c>
      <c r="C571" s="32"/>
      <c r="D571" s="32"/>
      <c r="E571" s="32"/>
      <c r="F571" s="32"/>
    </row>
    <row r="572" spans="1:7">
      <c r="A572" s="28">
        <v>44407</v>
      </c>
      <c r="B572" s="22">
        <v>30</v>
      </c>
      <c r="C572" s="32">
        <f>1</f>
        <v>1</v>
      </c>
      <c r="D572" s="32"/>
      <c r="E572" s="32"/>
      <c r="F572" s="32"/>
    </row>
    <row r="573" spans="1:7">
      <c r="A573" s="28">
        <v>44408</v>
      </c>
      <c r="B573" s="22">
        <v>30</v>
      </c>
      <c r="C573" s="32"/>
      <c r="D573" s="32"/>
      <c r="E573" s="32"/>
      <c r="F573" s="32"/>
    </row>
    <row r="574" spans="1:7">
      <c r="A574" s="28">
        <v>44409</v>
      </c>
      <c r="B574" s="22">
        <v>30</v>
      </c>
      <c r="C574" s="22"/>
      <c r="D574" s="22"/>
      <c r="E574" s="22"/>
      <c r="F574" s="22"/>
    </row>
    <row r="575" spans="1:7">
      <c r="A575" s="28">
        <v>44410</v>
      </c>
      <c r="B575" s="22">
        <v>31</v>
      </c>
      <c r="C575" s="22"/>
      <c r="D575" s="22"/>
      <c r="E575" s="22"/>
      <c r="F575" s="22"/>
    </row>
    <row r="576" spans="1:7">
      <c r="A576" s="28">
        <v>44411</v>
      </c>
      <c r="B576" s="22">
        <v>31</v>
      </c>
      <c r="C576" s="22"/>
      <c r="D576" s="22"/>
      <c r="E576" s="22"/>
      <c r="F576" s="22"/>
    </row>
    <row r="577" spans="1:6">
      <c r="A577" s="28">
        <v>44412</v>
      </c>
      <c r="B577" s="22">
        <v>31</v>
      </c>
      <c r="C577" s="22"/>
      <c r="D577" s="22"/>
      <c r="E577" s="22"/>
      <c r="F577" s="22"/>
    </row>
    <row r="578" spans="1:6">
      <c r="A578" s="28">
        <v>44413</v>
      </c>
      <c r="B578" s="22">
        <v>31</v>
      </c>
      <c r="C578" s="22"/>
      <c r="D578" s="22"/>
      <c r="E578" s="22"/>
      <c r="F578" s="22"/>
    </row>
    <row r="579" spans="1:6">
      <c r="A579" s="28">
        <v>44414</v>
      </c>
      <c r="B579" s="22">
        <v>31</v>
      </c>
      <c r="C579" s="22"/>
      <c r="D579" s="22"/>
      <c r="E579" s="22"/>
      <c r="F579" s="22"/>
    </row>
    <row r="580" spans="1:6">
      <c r="A580" s="28">
        <v>44415</v>
      </c>
      <c r="B580" s="22">
        <v>31</v>
      </c>
      <c r="C580" s="22"/>
      <c r="D580" s="22"/>
      <c r="E580" s="22"/>
      <c r="F580" s="22"/>
    </row>
    <row r="581" spans="1:6">
      <c r="A581" s="28">
        <v>44416</v>
      </c>
      <c r="B581" s="22">
        <v>31</v>
      </c>
      <c r="C581" s="22">
        <f>2</f>
        <v>2</v>
      </c>
      <c r="D581" s="22"/>
      <c r="E581" s="22"/>
      <c r="F581" s="22"/>
    </row>
    <row r="582" spans="1:6">
      <c r="A582" s="28">
        <v>44417</v>
      </c>
      <c r="B582" s="22">
        <v>32</v>
      </c>
      <c r="C582" s="22"/>
      <c r="D582" s="22"/>
      <c r="E582" s="22"/>
      <c r="F582" s="22"/>
    </row>
    <row r="583" spans="1:6">
      <c r="A583" s="28">
        <v>44418</v>
      </c>
      <c r="B583" s="22">
        <v>32</v>
      </c>
      <c r="C583" s="22"/>
      <c r="D583" s="22"/>
      <c r="E583" s="22"/>
      <c r="F583" s="22"/>
    </row>
    <row r="584" spans="1:6">
      <c r="A584" s="28">
        <v>44419</v>
      </c>
      <c r="B584" s="22">
        <v>32</v>
      </c>
      <c r="C584" s="22"/>
      <c r="D584" s="22"/>
      <c r="E584" s="22"/>
      <c r="F584" s="22"/>
    </row>
    <row r="585" spans="1:6">
      <c r="A585" s="28">
        <v>44420</v>
      </c>
      <c r="B585" s="22">
        <v>32</v>
      </c>
      <c r="C585" s="22">
        <f>1</f>
        <v>1</v>
      </c>
      <c r="D585" s="22"/>
      <c r="E585" s="22"/>
      <c r="F585" s="22"/>
    </row>
    <row r="586" spans="1:6">
      <c r="A586" s="28">
        <v>44421</v>
      </c>
      <c r="B586" s="22">
        <v>32</v>
      </c>
      <c r="C586" s="22"/>
      <c r="D586" s="22"/>
      <c r="E586" s="22"/>
      <c r="F586" s="22"/>
    </row>
    <row r="587" spans="1:6">
      <c r="A587" s="28">
        <v>44422</v>
      </c>
      <c r="B587" s="22">
        <v>32</v>
      </c>
      <c r="C587" s="22"/>
      <c r="D587" s="22"/>
      <c r="E587" s="22"/>
      <c r="F587" s="22"/>
    </row>
    <row r="588" spans="1:6">
      <c r="A588" s="28">
        <v>44423</v>
      </c>
      <c r="B588" s="22">
        <v>32</v>
      </c>
      <c r="C588" s="22">
        <f>1</f>
        <v>1</v>
      </c>
      <c r="D588" s="22"/>
      <c r="E588" s="22"/>
      <c r="F588" s="22"/>
    </row>
    <row r="589" spans="1:6">
      <c r="A589" s="28">
        <v>44424</v>
      </c>
      <c r="B589" s="22">
        <v>33</v>
      </c>
      <c r="C589" s="22"/>
      <c r="D589" s="22"/>
      <c r="E589" s="22"/>
      <c r="F589" s="22"/>
    </row>
    <row r="590" spans="1:6">
      <c r="A590" s="28">
        <v>44425</v>
      </c>
      <c r="B590" s="22">
        <v>33</v>
      </c>
      <c r="C590" s="22">
        <f>1</f>
        <v>1</v>
      </c>
      <c r="D590" s="22"/>
      <c r="E590" s="22"/>
      <c r="F590" s="22"/>
    </row>
    <row r="591" spans="1:6">
      <c r="A591" s="28">
        <v>44426</v>
      </c>
      <c r="B591" s="22">
        <v>33</v>
      </c>
      <c r="C591" s="22"/>
      <c r="D591" s="22"/>
      <c r="E591" s="22"/>
      <c r="F591" s="22"/>
    </row>
    <row r="592" spans="1:6">
      <c r="A592" s="28">
        <v>44427</v>
      </c>
      <c r="B592" s="22">
        <v>33</v>
      </c>
      <c r="C592" s="22"/>
      <c r="D592" s="22"/>
      <c r="E592" s="22"/>
      <c r="F592" s="22"/>
    </row>
    <row r="593" spans="1:6">
      <c r="A593" s="28">
        <v>44428</v>
      </c>
      <c r="B593" s="22">
        <v>33</v>
      </c>
      <c r="C593" s="22"/>
      <c r="D593" s="22"/>
      <c r="E593" s="22"/>
      <c r="F593" s="22"/>
    </row>
    <row r="594" spans="1:6">
      <c r="A594" s="28">
        <v>44429</v>
      </c>
      <c r="B594" s="22">
        <v>33</v>
      </c>
      <c r="C594" s="22"/>
      <c r="D594" s="22"/>
      <c r="E594" s="22"/>
      <c r="F594" s="22"/>
    </row>
    <row r="595" spans="1:6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6">
      <c r="A596" s="28">
        <v>44431</v>
      </c>
      <c r="B596" s="22">
        <v>34</v>
      </c>
      <c r="C596" s="22">
        <f>1</f>
        <v>1</v>
      </c>
      <c r="D596" s="22"/>
      <c r="E596" s="22"/>
      <c r="F596" s="22"/>
    </row>
    <row r="597" spans="1:6">
      <c r="A597" s="28">
        <v>44432</v>
      </c>
      <c r="B597" s="22">
        <v>34</v>
      </c>
      <c r="C597" s="22"/>
      <c r="D597" s="22"/>
      <c r="E597" s="22"/>
      <c r="F597" s="22"/>
    </row>
    <row r="598" spans="1:6">
      <c r="A598" s="28">
        <v>44433</v>
      </c>
      <c r="B598" s="22">
        <v>34</v>
      </c>
      <c r="C598" s="22"/>
      <c r="D598" s="22"/>
      <c r="E598" s="22"/>
      <c r="F598" s="22"/>
    </row>
    <row r="599" spans="1:6">
      <c r="A599" s="28">
        <v>44434</v>
      </c>
      <c r="B599" s="22">
        <v>34</v>
      </c>
      <c r="C599" s="22"/>
      <c r="D599" s="22">
        <f>1</f>
        <v>1</v>
      </c>
      <c r="E599" s="22"/>
      <c r="F599" s="22"/>
    </row>
    <row r="600" spans="1:6">
      <c r="A600" s="28">
        <v>44435</v>
      </c>
      <c r="B600" s="22">
        <v>34</v>
      </c>
      <c r="C600" s="22"/>
      <c r="D600" s="22"/>
      <c r="E600" s="22"/>
      <c r="F600" s="22"/>
    </row>
    <row r="601" spans="1:6">
      <c r="A601" s="28">
        <v>44436</v>
      </c>
      <c r="B601" s="22">
        <v>34</v>
      </c>
      <c r="C601" s="22"/>
      <c r="D601" s="22"/>
      <c r="E601" s="22"/>
      <c r="F601" s="22"/>
    </row>
    <row r="602" spans="1:6">
      <c r="A602" s="28">
        <v>44437</v>
      </c>
      <c r="B602" s="22">
        <v>34</v>
      </c>
      <c r="C602" s="22"/>
      <c r="D602" s="22"/>
      <c r="E602" s="22"/>
      <c r="F602" s="22"/>
    </row>
    <row r="603" spans="1:6">
      <c r="A603" s="28">
        <v>44438</v>
      </c>
      <c r="B603" s="22">
        <v>35</v>
      </c>
      <c r="C603" s="22"/>
      <c r="D603" s="22"/>
      <c r="E603" s="22"/>
      <c r="F603" s="22"/>
    </row>
    <row r="604" spans="1:6">
      <c r="A604" s="28">
        <v>44439</v>
      </c>
      <c r="B604" s="22">
        <v>35</v>
      </c>
      <c r="C604" s="22">
        <f>1</f>
        <v>1</v>
      </c>
      <c r="D604" s="22"/>
      <c r="E604" s="22"/>
      <c r="F604" s="22"/>
    </row>
    <row r="605" spans="1:6">
      <c r="A605" s="28">
        <v>44440</v>
      </c>
      <c r="B605" s="22">
        <v>35</v>
      </c>
      <c r="C605" s="22"/>
      <c r="D605" s="22"/>
      <c r="E605" s="22"/>
      <c r="F605" s="22"/>
    </row>
    <row r="606" spans="1:6">
      <c r="A606" s="28">
        <v>44441</v>
      </c>
      <c r="B606" s="22">
        <v>35</v>
      </c>
      <c r="C606" s="22"/>
      <c r="D606" s="22"/>
      <c r="E606" s="22"/>
      <c r="F606" s="22"/>
    </row>
    <row r="607" spans="1:6">
      <c r="A607" s="28">
        <v>44442</v>
      </c>
      <c r="B607" s="22">
        <v>35</v>
      </c>
      <c r="C607" s="22"/>
      <c r="D607" s="22"/>
      <c r="E607" s="22"/>
      <c r="F607" s="22"/>
    </row>
    <row r="608" spans="1:6">
      <c r="A608" s="28">
        <v>44443</v>
      </c>
      <c r="B608" s="22">
        <v>35</v>
      </c>
      <c r="C608" s="22"/>
      <c r="D608" s="22"/>
      <c r="E608" s="22"/>
      <c r="F608" s="22"/>
    </row>
    <row r="609" spans="1:6">
      <c r="A609" s="28">
        <v>44444</v>
      </c>
      <c r="B609" s="22">
        <v>35</v>
      </c>
      <c r="C609" s="22"/>
      <c r="D609" s="22"/>
      <c r="E609" s="22"/>
      <c r="F609" s="22"/>
    </row>
    <row r="610" spans="1:6">
      <c r="A610" s="28">
        <v>44445</v>
      </c>
      <c r="B610" s="22">
        <v>36</v>
      </c>
      <c r="C610" s="22"/>
      <c r="D610" s="22"/>
      <c r="E610" s="22"/>
      <c r="F610" s="22"/>
    </row>
    <row r="611" spans="1:6">
      <c r="A611" s="28">
        <v>44446</v>
      </c>
      <c r="B611" s="22">
        <v>36</v>
      </c>
      <c r="C611" s="22"/>
      <c r="D611" s="22"/>
      <c r="E611" s="22"/>
      <c r="F611" s="22"/>
    </row>
    <row r="612" spans="1:6">
      <c r="A612" s="28">
        <v>44447</v>
      </c>
      <c r="B612" s="22">
        <v>36</v>
      </c>
      <c r="C612" s="22"/>
      <c r="D612" s="22"/>
      <c r="E612" s="22"/>
      <c r="F612" s="22"/>
    </row>
    <row r="613" spans="1:6">
      <c r="A613" s="28">
        <v>44448</v>
      </c>
      <c r="B613" s="22">
        <v>36</v>
      </c>
      <c r="C613" s="22"/>
      <c r="D613" s="22"/>
      <c r="E613" s="22"/>
      <c r="F613" s="22"/>
    </row>
    <row r="614" spans="1:6">
      <c r="A614" s="28">
        <v>44449</v>
      </c>
      <c r="B614" s="22">
        <v>36</v>
      </c>
      <c r="C614" s="22"/>
      <c r="D614" s="22"/>
      <c r="E614" s="22"/>
      <c r="F614" s="22"/>
    </row>
    <row r="615" spans="1:6">
      <c r="A615" s="28">
        <v>44450</v>
      </c>
      <c r="B615" s="22">
        <v>36</v>
      </c>
      <c r="C615" s="22"/>
      <c r="D615" s="22"/>
      <c r="E615" s="22"/>
      <c r="F615" s="22"/>
    </row>
    <row r="616" spans="1:6">
      <c r="A616" s="28">
        <v>44451</v>
      </c>
      <c r="B616" s="22">
        <v>36</v>
      </c>
      <c r="C616" s="22"/>
      <c r="D616" s="22"/>
      <c r="E616" s="22"/>
      <c r="F616" s="22"/>
    </row>
    <row r="617" spans="1:6">
      <c r="A617" s="28">
        <v>44452</v>
      </c>
      <c r="B617" s="22">
        <v>37</v>
      </c>
      <c r="C617" s="22"/>
      <c r="D617" s="22"/>
      <c r="E617" s="22"/>
      <c r="F617" s="22"/>
    </row>
    <row r="618" spans="1:6">
      <c r="A618" s="28">
        <v>44453</v>
      </c>
      <c r="B618" s="22">
        <v>37</v>
      </c>
      <c r="C618" s="22"/>
      <c r="D618" s="22"/>
      <c r="E618" s="22"/>
      <c r="F618" s="22"/>
    </row>
    <row r="619" spans="1:6">
      <c r="A619" s="28">
        <v>44454</v>
      </c>
      <c r="B619" s="22">
        <v>37</v>
      </c>
      <c r="C619" s="22"/>
      <c r="D619" s="22"/>
      <c r="E619" s="22"/>
      <c r="F619" s="22"/>
    </row>
    <row r="620" spans="1:6">
      <c r="A620" s="28">
        <v>44455</v>
      </c>
      <c r="B620" s="22">
        <v>37</v>
      </c>
      <c r="C620" s="22"/>
      <c r="D620" s="22"/>
      <c r="E620" s="22"/>
      <c r="F620" s="22"/>
    </row>
    <row r="621" spans="1:6">
      <c r="A621" s="28">
        <v>44456</v>
      </c>
      <c r="B621" s="22">
        <v>37</v>
      </c>
      <c r="C621" s="22"/>
      <c r="D621" s="22"/>
      <c r="E621" s="22"/>
      <c r="F621" s="22"/>
    </row>
    <row r="622" spans="1:6">
      <c r="A622" s="28">
        <v>44457</v>
      </c>
      <c r="B622" s="22">
        <v>37</v>
      </c>
      <c r="C622" s="22"/>
      <c r="D622" s="22"/>
      <c r="E622" s="22"/>
      <c r="F622" s="22"/>
    </row>
    <row r="623" spans="1:6">
      <c r="A623" s="28">
        <v>44458</v>
      </c>
      <c r="B623" s="22">
        <v>37</v>
      </c>
      <c r="C623" s="22"/>
      <c r="D623" s="22"/>
      <c r="E623" s="22"/>
      <c r="F623" s="22"/>
    </row>
    <row r="624" spans="1:6">
      <c r="A624" s="28">
        <v>44459</v>
      </c>
      <c r="B624" s="22">
        <v>38</v>
      </c>
      <c r="C624" s="22"/>
      <c r="D624" s="22"/>
      <c r="E624" s="22"/>
      <c r="F624" s="22"/>
    </row>
    <row r="625" spans="1:6">
      <c r="A625" s="28">
        <v>44460</v>
      </c>
      <c r="B625" s="22">
        <v>38</v>
      </c>
      <c r="C625" s="22"/>
      <c r="D625" s="22"/>
      <c r="E625" s="22"/>
      <c r="F625" s="22"/>
    </row>
    <row r="626" spans="1:6">
      <c r="A626" s="28">
        <v>44461</v>
      </c>
      <c r="B626" s="22">
        <v>38</v>
      </c>
      <c r="C626" s="22"/>
      <c r="D626" s="22"/>
      <c r="E626" s="22"/>
      <c r="F626" s="22"/>
    </row>
    <row r="627" spans="1:6">
      <c r="A627" s="28">
        <v>44462</v>
      </c>
      <c r="B627" s="22">
        <v>38</v>
      </c>
      <c r="C627" s="22"/>
      <c r="D627" s="22"/>
      <c r="E627" s="22"/>
      <c r="F627" s="22"/>
    </row>
    <row r="628" spans="1:6">
      <c r="A628" s="28">
        <v>44463</v>
      </c>
      <c r="B628" s="22">
        <v>38</v>
      </c>
      <c r="C628" s="22"/>
      <c r="D628" s="22"/>
      <c r="E628" s="22"/>
      <c r="F628" s="22"/>
    </row>
    <row r="629" spans="1:6">
      <c r="A629" s="28">
        <v>44464</v>
      </c>
      <c r="B629" s="22">
        <v>38</v>
      </c>
      <c r="C629" s="22"/>
      <c r="D629" s="22"/>
      <c r="E629" s="22"/>
      <c r="F629" s="22"/>
    </row>
    <row r="630" spans="1:6">
      <c r="A630" s="28">
        <v>44465</v>
      </c>
      <c r="B630" s="22">
        <v>38</v>
      </c>
      <c r="C630" s="22"/>
      <c r="D630" s="22"/>
      <c r="E630" s="22"/>
      <c r="F630" s="22"/>
    </row>
    <row r="631" spans="1:6">
      <c r="A631" s="28">
        <v>44466</v>
      </c>
      <c r="B631" s="22">
        <v>39</v>
      </c>
      <c r="C631" s="22"/>
      <c r="D631" s="22"/>
      <c r="E631" s="22"/>
      <c r="F631" s="22"/>
    </row>
    <row r="632" spans="1:6">
      <c r="A632" s="28">
        <v>44467</v>
      </c>
      <c r="B632" s="22">
        <v>39</v>
      </c>
      <c r="C632" s="22"/>
      <c r="D632" s="22"/>
      <c r="E632" s="22"/>
      <c r="F632" s="22"/>
    </row>
    <row r="633" spans="1:6">
      <c r="A633" s="28">
        <v>44468</v>
      </c>
      <c r="B633" s="22">
        <v>39</v>
      </c>
      <c r="C633" s="22"/>
      <c r="D633" s="22"/>
      <c r="E633" s="22"/>
      <c r="F633" s="22"/>
    </row>
    <row r="634" spans="1:6">
      <c r="A634" s="28">
        <v>44469</v>
      </c>
      <c r="B634" s="22">
        <v>39</v>
      </c>
      <c r="C634" s="22"/>
      <c r="D634" s="22"/>
      <c r="E634" s="22"/>
      <c r="F634" s="22"/>
    </row>
    <row r="635" spans="1:6">
      <c r="A635" s="28">
        <v>44470</v>
      </c>
      <c r="B635" s="22">
        <v>39</v>
      </c>
      <c r="C635" s="22"/>
      <c r="D635" s="22"/>
      <c r="E635" s="22"/>
      <c r="F635" s="22"/>
    </row>
    <row r="636" spans="1:6">
      <c r="A636" s="28">
        <v>44471</v>
      </c>
      <c r="B636" s="22">
        <v>39</v>
      </c>
      <c r="C636" s="22"/>
      <c r="D636" s="22"/>
      <c r="E636" s="22"/>
      <c r="F636" s="22"/>
    </row>
    <row r="637" spans="1:6">
      <c r="A637" s="28">
        <v>44472</v>
      </c>
      <c r="B637" s="22">
        <v>39</v>
      </c>
      <c r="C637" s="22"/>
      <c r="D637" s="22"/>
      <c r="E637" s="22"/>
      <c r="F637" s="22"/>
    </row>
    <row r="638" spans="1:6">
      <c r="A638" s="28">
        <v>44473</v>
      </c>
      <c r="B638" s="22">
        <v>40</v>
      </c>
      <c r="C638" s="22"/>
      <c r="D638" s="22"/>
      <c r="E638" s="22"/>
      <c r="F638" s="22"/>
    </row>
    <row r="639" spans="1:6">
      <c r="A639" s="28">
        <v>44474</v>
      </c>
      <c r="B639" s="22">
        <v>40</v>
      </c>
      <c r="C639" s="22"/>
      <c r="D639" s="22"/>
      <c r="E639" s="22"/>
      <c r="F639" s="22"/>
    </row>
    <row r="640" spans="1:6">
      <c r="A640" s="28">
        <v>44475</v>
      </c>
      <c r="B640" s="22">
        <v>40</v>
      </c>
      <c r="C640" s="22"/>
      <c r="D640" s="22"/>
      <c r="E640" s="22"/>
      <c r="F640" s="22"/>
    </row>
    <row r="641" spans="1:6">
      <c r="A641" s="28">
        <v>44476</v>
      </c>
      <c r="B641" s="22">
        <v>40</v>
      </c>
      <c r="C641" s="22"/>
      <c r="D641" s="22"/>
      <c r="E641" s="22"/>
      <c r="F641" s="22"/>
    </row>
    <row r="642" spans="1:6">
      <c r="A642" s="28">
        <v>44477</v>
      </c>
      <c r="B642" s="22">
        <v>40</v>
      </c>
      <c r="C642" s="22"/>
      <c r="D642" s="22"/>
      <c r="E642" s="22"/>
      <c r="F642" s="22"/>
    </row>
    <row r="643" spans="1:6">
      <c r="A643" s="28">
        <v>44478</v>
      </c>
      <c r="B643" s="22">
        <v>40</v>
      </c>
      <c r="C643" s="22"/>
      <c r="D643" s="22"/>
      <c r="E643" s="22"/>
      <c r="F643" s="22"/>
    </row>
    <row r="644" spans="1:6">
      <c r="A644" s="28">
        <v>44479</v>
      </c>
      <c r="B644" s="22">
        <v>40</v>
      </c>
      <c r="C644" s="22"/>
      <c r="D644" s="22"/>
      <c r="E644" s="22"/>
      <c r="F644" s="22"/>
    </row>
    <row r="645" spans="1:6">
      <c r="A645" s="28">
        <v>44480</v>
      </c>
      <c r="B645" s="22">
        <v>41</v>
      </c>
      <c r="C645" s="22"/>
      <c r="D645" s="22"/>
      <c r="E645" s="22"/>
      <c r="F645" s="22"/>
    </row>
    <row r="646" spans="1:6">
      <c r="A646" s="28">
        <v>44481</v>
      </c>
      <c r="B646" s="22">
        <v>41</v>
      </c>
      <c r="C646" s="22"/>
      <c r="D646" s="22"/>
      <c r="E646" s="22"/>
      <c r="F646" s="22"/>
    </row>
    <row r="647" spans="1:6">
      <c r="A647" s="28">
        <v>44482</v>
      </c>
      <c r="B647" s="22">
        <v>41</v>
      </c>
      <c r="C647" s="22"/>
      <c r="D647" s="22"/>
      <c r="E647" s="22"/>
      <c r="F647" s="22"/>
    </row>
    <row r="648" spans="1:6">
      <c r="A648" s="28">
        <v>44483</v>
      </c>
      <c r="B648" s="22">
        <v>41</v>
      </c>
      <c r="C648" s="22"/>
      <c r="D648" s="22"/>
      <c r="E648" s="22"/>
      <c r="F648" s="22"/>
    </row>
    <row r="649" spans="1:6">
      <c r="A649" s="28">
        <v>44484</v>
      </c>
      <c r="B649" s="22">
        <v>41</v>
      </c>
      <c r="C649" s="22"/>
      <c r="D649" s="22"/>
      <c r="E649" s="22"/>
      <c r="F649" s="22"/>
    </row>
    <row r="650" spans="1:6">
      <c r="A650" s="28">
        <v>44485</v>
      </c>
      <c r="B650" s="22">
        <v>41</v>
      </c>
      <c r="C650" s="22"/>
      <c r="D650" s="22"/>
      <c r="E650" s="22"/>
      <c r="F650" s="22"/>
    </row>
    <row r="651" spans="1:6">
      <c r="A651" s="28">
        <v>44486</v>
      </c>
      <c r="B651" s="22">
        <v>41</v>
      </c>
      <c r="C651" s="22"/>
      <c r="D651" s="22"/>
      <c r="E651" s="22"/>
      <c r="F651" s="22"/>
    </row>
    <row r="652" spans="1:6">
      <c r="A652" s="28">
        <v>44487</v>
      </c>
      <c r="B652" s="22">
        <v>42</v>
      </c>
      <c r="C652" s="22"/>
      <c r="D652" s="22"/>
      <c r="E652" s="22"/>
      <c r="F652" s="22"/>
    </row>
    <row r="653" spans="1:6">
      <c r="A653" s="28">
        <v>44488</v>
      </c>
      <c r="B653" s="22">
        <v>42</v>
      </c>
      <c r="C653" s="22"/>
      <c r="D653" s="22"/>
      <c r="E653" s="22"/>
      <c r="F653" s="22"/>
    </row>
    <row r="654" spans="1:6">
      <c r="A654" s="28">
        <v>44489</v>
      </c>
      <c r="B654" s="22">
        <v>42</v>
      </c>
      <c r="C654" s="22"/>
      <c r="D654" s="22"/>
      <c r="E654" s="22"/>
      <c r="F654" s="22"/>
    </row>
    <row r="655" spans="1:6">
      <c r="A655" s="28">
        <v>44490</v>
      </c>
      <c r="B655" s="22">
        <v>42</v>
      </c>
      <c r="C655" s="22"/>
      <c r="D655" s="22"/>
      <c r="E655" s="22"/>
      <c r="F655" s="22"/>
    </row>
    <row r="656" spans="1:6">
      <c r="A656" s="28">
        <v>44491</v>
      </c>
      <c r="B656" s="22">
        <v>42</v>
      </c>
      <c r="C656" s="22"/>
      <c r="D656" s="22"/>
      <c r="E656" s="22"/>
      <c r="F656" s="22"/>
    </row>
    <row r="657" spans="1:6">
      <c r="A657" s="28">
        <v>44492</v>
      </c>
      <c r="B657" s="22">
        <v>42</v>
      </c>
      <c r="C657" s="22"/>
      <c r="D657" s="22"/>
      <c r="E657" s="22"/>
      <c r="F657" s="22"/>
    </row>
    <row r="658" spans="1:6">
      <c r="A658" s="28">
        <v>44493</v>
      </c>
      <c r="B658" s="22">
        <v>42</v>
      </c>
      <c r="C658" s="22"/>
      <c r="D658" s="22"/>
      <c r="E658" s="22"/>
      <c r="F658" s="22"/>
    </row>
    <row r="659" spans="1:6">
      <c r="A659" s="28">
        <v>44494</v>
      </c>
      <c r="B659" s="22">
        <v>43</v>
      </c>
      <c r="C659" s="22"/>
      <c r="D659" s="22"/>
      <c r="E659" s="22"/>
      <c r="F659" s="22"/>
    </row>
    <row r="660" spans="1:6">
      <c r="A660" s="28">
        <v>44495</v>
      </c>
      <c r="B660" s="22">
        <v>43</v>
      </c>
      <c r="C660" s="22"/>
      <c r="D660" s="22"/>
      <c r="E660" s="22"/>
      <c r="F660" s="22"/>
    </row>
    <row r="661" spans="1:6">
      <c r="A661" s="28">
        <v>44496</v>
      </c>
      <c r="B661" s="22">
        <v>43</v>
      </c>
      <c r="C661" s="22"/>
      <c r="D661" s="22"/>
      <c r="E661" s="22"/>
      <c r="F661" s="22"/>
    </row>
    <row r="662" spans="1:6">
      <c r="A662" s="28">
        <v>44497</v>
      </c>
      <c r="B662" s="22">
        <v>43</v>
      </c>
      <c r="C662" s="22"/>
      <c r="D662" s="22"/>
      <c r="E662" s="22"/>
      <c r="F662" s="22"/>
    </row>
    <row r="663" spans="1:6">
      <c r="A663" s="28">
        <v>44498</v>
      </c>
      <c r="B663" s="22">
        <v>43</v>
      </c>
      <c r="C663" s="22"/>
      <c r="D663" s="22"/>
      <c r="E663" s="22"/>
      <c r="F663" s="22"/>
    </row>
    <row r="664" spans="1:6">
      <c r="A664" s="28">
        <v>44499</v>
      </c>
      <c r="B664" s="22">
        <v>43</v>
      </c>
      <c r="C664" s="22"/>
      <c r="D664" s="22"/>
      <c r="E664" s="22"/>
      <c r="F664" s="22"/>
    </row>
    <row r="665" spans="1:6">
      <c r="A665" s="28">
        <v>44500</v>
      </c>
      <c r="B665" s="22">
        <v>43</v>
      </c>
      <c r="C665" s="22"/>
      <c r="D665" s="22"/>
      <c r="E665" s="22"/>
      <c r="F665" s="22"/>
    </row>
    <row r="666" spans="1:6">
      <c r="A666" s="28">
        <v>44501</v>
      </c>
      <c r="B666" s="22">
        <v>44</v>
      </c>
      <c r="C666" s="22"/>
      <c r="D666" s="22"/>
      <c r="E666" s="22"/>
      <c r="F666" s="22"/>
    </row>
    <row r="667" spans="1:6">
      <c r="A667" s="28">
        <v>44502</v>
      </c>
      <c r="B667" s="22">
        <v>44</v>
      </c>
      <c r="C667" s="22"/>
      <c r="D667" s="22"/>
      <c r="E667" s="22"/>
      <c r="F667" s="22"/>
    </row>
    <row r="668" spans="1:6">
      <c r="A668" s="28">
        <v>44503</v>
      </c>
      <c r="B668" s="22">
        <v>44</v>
      </c>
      <c r="C668" s="22"/>
      <c r="D668" s="22"/>
      <c r="E668" s="22"/>
      <c r="F668" s="22"/>
    </row>
    <row r="669" spans="1:6">
      <c r="A669" s="28">
        <v>44504</v>
      </c>
      <c r="B669" s="22">
        <v>44</v>
      </c>
      <c r="C669" s="22"/>
      <c r="D669" s="22"/>
      <c r="E669" s="22"/>
      <c r="F669" s="22"/>
    </row>
    <row r="670" spans="1:6">
      <c r="A670" s="28">
        <v>44505</v>
      </c>
      <c r="B670" s="22">
        <v>44</v>
      </c>
      <c r="C670" s="22"/>
      <c r="D670" s="22"/>
      <c r="E670" s="22"/>
      <c r="F670" s="22"/>
    </row>
    <row r="671" spans="1:6">
      <c r="A671" s="28">
        <v>44506</v>
      </c>
      <c r="B671" s="22">
        <v>44</v>
      </c>
      <c r="C671" s="22"/>
      <c r="D671" s="22"/>
      <c r="E671" s="22"/>
      <c r="F671" s="22"/>
    </row>
    <row r="672" spans="1:6">
      <c r="A672" s="28">
        <v>44507</v>
      </c>
      <c r="B672" s="22">
        <v>44</v>
      </c>
      <c r="C672" s="22"/>
      <c r="D672" s="22"/>
      <c r="E672" s="22"/>
      <c r="F672" s="22"/>
    </row>
    <row r="673" spans="1:6">
      <c r="A673" s="28">
        <v>44508</v>
      </c>
      <c r="B673" s="22">
        <v>45</v>
      </c>
      <c r="C673" s="22"/>
      <c r="D673" s="22"/>
      <c r="E673" s="22"/>
      <c r="F673" s="22"/>
    </row>
    <row r="674" spans="1:6">
      <c r="A674" s="28">
        <v>44509</v>
      </c>
      <c r="B674" s="22">
        <v>45</v>
      </c>
      <c r="C674" s="22"/>
      <c r="D674" s="22"/>
      <c r="E674" s="22"/>
      <c r="F674" s="22"/>
    </row>
    <row r="675" spans="1:6">
      <c r="A675" s="28">
        <v>44510</v>
      </c>
      <c r="B675" s="22">
        <v>45</v>
      </c>
      <c r="C675" s="22"/>
      <c r="D675" s="22"/>
      <c r="E675" s="22"/>
      <c r="F675" s="22"/>
    </row>
    <row r="676" spans="1:6">
      <c r="A676" s="28">
        <v>44511</v>
      </c>
      <c r="B676" s="22">
        <v>45</v>
      </c>
      <c r="C676" s="22"/>
      <c r="D676" s="22"/>
      <c r="E676" s="22"/>
      <c r="F676" s="22"/>
    </row>
    <row r="677" spans="1:6">
      <c r="A677" s="28">
        <v>44512</v>
      </c>
      <c r="B677" s="22">
        <v>45</v>
      </c>
      <c r="C677" s="22"/>
      <c r="D677" s="22"/>
      <c r="E677" s="22"/>
      <c r="F677" s="22"/>
    </row>
    <row r="678" spans="1:6">
      <c r="A678" s="28">
        <v>44513</v>
      </c>
      <c r="B678" s="22">
        <v>45</v>
      </c>
      <c r="C678" s="22"/>
      <c r="D678" s="22"/>
      <c r="E678" s="22"/>
      <c r="F678" s="22"/>
    </row>
    <row r="679" spans="1:6">
      <c r="A679" s="28">
        <v>44514</v>
      </c>
      <c r="B679" s="22">
        <v>45</v>
      </c>
      <c r="C679" s="22"/>
      <c r="D679" s="22"/>
      <c r="E679" s="22"/>
      <c r="F679" s="22"/>
    </row>
    <row r="680" spans="1:6">
      <c r="A680" s="28">
        <v>44515</v>
      </c>
      <c r="B680" s="22">
        <v>46</v>
      </c>
      <c r="C680" s="22"/>
      <c r="D680" s="22"/>
      <c r="E680" s="22"/>
      <c r="F680" s="22"/>
    </row>
    <row r="681" spans="1:6">
      <c r="A681" s="28">
        <v>44516</v>
      </c>
      <c r="B681" s="22">
        <v>46</v>
      </c>
      <c r="C681" s="22"/>
      <c r="D681" s="22"/>
      <c r="E681" s="22"/>
      <c r="F681" s="22"/>
    </row>
    <row r="682" spans="1:6">
      <c r="A682" s="28">
        <v>44517</v>
      </c>
      <c r="B682" s="22">
        <v>46</v>
      </c>
      <c r="C682" s="22"/>
      <c r="D682" s="22"/>
      <c r="E682" s="22"/>
      <c r="F682" s="22"/>
    </row>
    <row r="683" spans="1:6">
      <c r="A683" s="28">
        <v>44518</v>
      </c>
      <c r="B683" s="22">
        <v>46</v>
      </c>
      <c r="C683" s="22"/>
      <c r="D683" s="22"/>
      <c r="E683" s="22"/>
      <c r="F683" s="22"/>
    </row>
    <row r="684" spans="1:6">
      <c r="A684" s="28">
        <v>44519</v>
      </c>
      <c r="B684" s="22">
        <v>46</v>
      </c>
      <c r="C684" s="22"/>
      <c r="D684" s="22"/>
      <c r="E684" s="22"/>
      <c r="F684" s="22"/>
    </row>
    <row r="685" spans="1:6">
      <c r="A685" s="28">
        <v>44520</v>
      </c>
      <c r="B685" s="22">
        <v>46</v>
      </c>
      <c r="C685" s="22"/>
      <c r="D685" s="22"/>
      <c r="E685" s="22"/>
      <c r="F685" s="22"/>
    </row>
    <row r="686" spans="1:6">
      <c r="A686" s="28">
        <v>44521</v>
      </c>
      <c r="B686" s="22">
        <v>46</v>
      </c>
      <c r="C686" s="22"/>
      <c r="D686" s="22"/>
      <c r="E686" s="22"/>
      <c r="F686" s="22"/>
    </row>
    <row r="687" spans="1:6">
      <c r="A687" s="28">
        <v>44522</v>
      </c>
      <c r="B687" s="22">
        <v>47</v>
      </c>
      <c r="C687" s="22"/>
      <c r="D687" s="22"/>
      <c r="E687" s="22"/>
      <c r="F687" s="22"/>
    </row>
    <row r="688" spans="1:6">
      <c r="A688" s="28">
        <v>44523</v>
      </c>
      <c r="B688" s="22">
        <v>47</v>
      </c>
      <c r="C688" s="22"/>
      <c r="D688" s="22"/>
      <c r="E688" s="22"/>
      <c r="F688" s="22"/>
    </row>
    <row r="689" spans="1:6">
      <c r="A689" s="28">
        <v>44524</v>
      </c>
      <c r="B689" s="22">
        <v>47</v>
      </c>
      <c r="C689" s="22"/>
      <c r="D689" s="22"/>
      <c r="E689" s="22"/>
      <c r="F689" s="22"/>
    </row>
    <row r="690" spans="1:6">
      <c r="A690" s="28">
        <v>44525</v>
      </c>
      <c r="B690" s="22">
        <v>47</v>
      </c>
      <c r="C690" s="22"/>
      <c r="D690" s="22"/>
      <c r="E690" s="22"/>
      <c r="F690" s="22"/>
    </row>
    <row r="691" spans="1:6">
      <c r="A691" s="28">
        <v>44526</v>
      </c>
      <c r="B691" s="22">
        <v>47</v>
      </c>
      <c r="C691" s="22"/>
      <c r="D691" s="22"/>
      <c r="E691" s="22"/>
      <c r="F691" s="22"/>
    </row>
    <row r="692" spans="1:6">
      <c r="A692" s="28">
        <v>44527</v>
      </c>
      <c r="B692" s="22">
        <v>47</v>
      </c>
      <c r="C692" s="22"/>
      <c r="D692" s="22"/>
      <c r="E692" s="22"/>
      <c r="F692" s="22"/>
    </row>
    <row r="693" spans="1:6">
      <c r="A693" s="28">
        <v>44528</v>
      </c>
      <c r="B693" s="22">
        <v>47</v>
      </c>
      <c r="C693" s="22"/>
      <c r="D693" s="22"/>
      <c r="E693" s="22"/>
      <c r="F693" s="22"/>
    </row>
    <row r="694" spans="1:6">
      <c r="A694" s="28">
        <v>44529</v>
      </c>
      <c r="B694" s="22">
        <v>48</v>
      </c>
      <c r="C694" s="22"/>
      <c r="D694" s="22"/>
      <c r="E694" s="22"/>
      <c r="F694" s="22"/>
    </row>
    <row r="695" spans="1:6">
      <c r="A695" s="28">
        <v>44530</v>
      </c>
      <c r="B695" s="22">
        <v>48</v>
      </c>
      <c r="C695" s="22"/>
      <c r="D695" s="22"/>
      <c r="E695" s="22"/>
      <c r="F695" s="22"/>
    </row>
    <row r="696" spans="1:6">
      <c r="A696" s="28">
        <v>44531</v>
      </c>
      <c r="B696" s="22">
        <v>48</v>
      </c>
      <c r="C696" s="22"/>
      <c r="D696" s="22"/>
      <c r="E696" s="22"/>
      <c r="F696" s="22"/>
    </row>
    <row r="697" spans="1:6">
      <c r="A697" s="28">
        <v>44532</v>
      </c>
      <c r="B697" s="22">
        <v>48</v>
      </c>
      <c r="C697" s="22"/>
      <c r="D697" s="22"/>
      <c r="E697" s="22"/>
      <c r="F697" s="22"/>
    </row>
    <row r="698" spans="1:6">
      <c r="A698" s="28">
        <v>44533</v>
      </c>
      <c r="B698" s="22">
        <v>48</v>
      </c>
      <c r="C698" s="22"/>
      <c r="D698" s="22"/>
      <c r="E698" s="22"/>
      <c r="F698" s="22"/>
    </row>
    <row r="699" spans="1:6">
      <c r="A699" s="28">
        <v>44534</v>
      </c>
      <c r="B699" s="22">
        <v>48</v>
      </c>
      <c r="C699" s="22"/>
      <c r="D699" s="22"/>
      <c r="E699" s="22"/>
      <c r="F699" s="22"/>
    </row>
    <row r="700" spans="1:6">
      <c r="A700" s="28">
        <v>44535</v>
      </c>
      <c r="B700" s="22">
        <v>48</v>
      </c>
      <c r="C700" s="22"/>
      <c r="D700" s="22"/>
      <c r="E700" s="22"/>
      <c r="F700" s="22"/>
    </row>
    <row r="701" spans="1:6">
      <c r="A701" s="28">
        <v>44536</v>
      </c>
      <c r="B701" s="22">
        <v>49</v>
      </c>
      <c r="C701" s="22"/>
      <c r="D701" s="22"/>
      <c r="E701" s="22"/>
      <c r="F701" s="22"/>
    </row>
    <row r="702" spans="1:6">
      <c r="A702" s="28">
        <v>44537</v>
      </c>
      <c r="B702" s="22">
        <v>49</v>
      </c>
      <c r="C702" s="22"/>
      <c r="D702" s="22"/>
      <c r="E702" s="22"/>
      <c r="F702" s="22"/>
    </row>
    <row r="703" spans="1:6">
      <c r="A703" s="28">
        <v>44538</v>
      </c>
      <c r="B703" s="22">
        <v>49</v>
      </c>
      <c r="C703" s="22"/>
      <c r="D703" s="22"/>
      <c r="E703" s="22"/>
      <c r="F703" s="22"/>
    </row>
    <row r="704" spans="1:6">
      <c r="A704" s="28">
        <v>44539</v>
      </c>
      <c r="B704" s="22">
        <v>49</v>
      </c>
      <c r="C704" s="22"/>
      <c r="D704" s="22"/>
      <c r="E704" s="22"/>
      <c r="F704" s="22"/>
    </row>
    <row r="705" spans="1:6">
      <c r="A705" s="28">
        <v>44540</v>
      </c>
      <c r="B705" s="22">
        <v>49</v>
      </c>
      <c r="C705" s="22"/>
      <c r="D705" s="22"/>
      <c r="E705" s="22"/>
      <c r="F705" s="22"/>
    </row>
    <row r="706" spans="1:6">
      <c r="A706" s="28">
        <v>44541</v>
      </c>
      <c r="B706" s="22">
        <v>49</v>
      </c>
      <c r="C706" s="22"/>
      <c r="D706" s="22"/>
      <c r="E706" s="22"/>
      <c r="F706" s="22"/>
    </row>
    <row r="707" spans="1:6">
      <c r="A707" s="28">
        <v>44542</v>
      </c>
      <c r="B707" s="22">
        <v>49</v>
      </c>
      <c r="C707" s="22"/>
      <c r="D707" s="22"/>
      <c r="E707" s="22"/>
      <c r="F707" s="22"/>
    </row>
    <row r="708" spans="1:6">
      <c r="A708" s="28">
        <v>44543</v>
      </c>
      <c r="B708" s="22">
        <v>50</v>
      </c>
      <c r="C708" s="22"/>
      <c r="D708" s="22"/>
      <c r="E708" s="22"/>
      <c r="F708" s="22"/>
    </row>
    <row r="709" spans="1:6">
      <c r="A709" s="28">
        <v>44544</v>
      </c>
      <c r="B709" s="22">
        <v>50</v>
      </c>
      <c r="C709" s="22"/>
      <c r="D709" s="22"/>
      <c r="E709" s="22"/>
      <c r="F709" s="22"/>
    </row>
    <row r="710" spans="1:6">
      <c r="A710" s="28">
        <v>44545</v>
      </c>
      <c r="B710" s="22">
        <v>50</v>
      </c>
      <c r="C710" s="22"/>
      <c r="D710" s="22"/>
      <c r="E710" s="22"/>
      <c r="F710" s="22"/>
    </row>
    <row r="711" spans="1:6">
      <c r="A711" s="28">
        <v>44546</v>
      </c>
      <c r="B711" s="22">
        <v>50</v>
      </c>
      <c r="C711" s="22"/>
      <c r="D711" s="22"/>
      <c r="E711" s="22"/>
      <c r="F711" s="22"/>
    </row>
    <row r="712" spans="1:6">
      <c r="A712" s="28">
        <v>44547</v>
      </c>
      <c r="B712" s="22">
        <v>50</v>
      </c>
      <c r="C712" s="22"/>
      <c r="D712" s="22"/>
      <c r="E712" s="22"/>
      <c r="F712" s="22"/>
    </row>
    <row r="713" spans="1:6">
      <c r="A713" s="28">
        <v>44548</v>
      </c>
      <c r="B713" s="22">
        <v>50</v>
      </c>
      <c r="C713" s="22"/>
      <c r="D713" s="22"/>
      <c r="E713" s="22"/>
      <c r="F713" s="22"/>
    </row>
    <row r="714" spans="1:6">
      <c r="A714" s="28">
        <v>44549</v>
      </c>
      <c r="B714" s="22">
        <v>50</v>
      </c>
      <c r="C714" s="22"/>
      <c r="D714" s="22"/>
      <c r="E714" s="22"/>
      <c r="F714" s="22"/>
    </row>
    <row r="715" spans="1:6">
      <c r="A715" s="28">
        <v>44550</v>
      </c>
      <c r="B715" s="22">
        <v>51</v>
      </c>
      <c r="C715" s="22"/>
      <c r="D715" s="22"/>
      <c r="E715" s="22"/>
      <c r="F715" s="22"/>
    </row>
    <row r="716" spans="1:6">
      <c r="A716" s="28">
        <v>44551</v>
      </c>
      <c r="B716" s="22">
        <v>51</v>
      </c>
      <c r="C716" s="22"/>
      <c r="D716" s="22"/>
      <c r="E716" s="22"/>
      <c r="F716" s="22"/>
    </row>
    <row r="717" spans="1:6">
      <c r="A717" s="28">
        <v>44552</v>
      </c>
      <c r="B717" s="22">
        <v>51</v>
      </c>
      <c r="C717" s="22"/>
      <c r="D717" s="22"/>
      <c r="E717" s="22"/>
      <c r="F717" s="22"/>
    </row>
    <row r="718" spans="1:6">
      <c r="A718" s="28">
        <v>44553</v>
      </c>
      <c r="B718" s="22">
        <v>51</v>
      </c>
      <c r="C718" s="22"/>
      <c r="D718" s="22"/>
      <c r="E718" s="22"/>
      <c r="F718" s="22"/>
    </row>
    <row r="719" spans="1:6">
      <c r="A719" s="28">
        <v>44554</v>
      </c>
      <c r="B719" s="22">
        <v>51</v>
      </c>
      <c r="C719" s="22"/>
      <c r="D719" s="22"/>
      <c r="E719" s="22"/>
      <c r="F719" s="22"/>
    </row>
    <row r="720" spans="1:6">
      <c r="A720" s="28">
        <v>44555</v>
      </c>
      <c r="B720" s="22">
        <v>51</v>
      </c>
      <c r="C720" s="22"/>
      <c r="D720" s="22"/>
      <c r="E720" s="22"/>
      <c r="F720" s="22"/>
    </row>
    <row r="721" spans="1:6">
      <c r="A721" s="28">
        <v>44556</v>
      </c>
      <c r="B721" s="22">
        <v>51</v>
      </c>
      <c r="C721" s="22"/>
      <c r="D721" s="22"/>
      <c r="E721" s="22"/>
      <c r="F721" s="22"/>
    </row>
    <row r="722" spans="1:6">
      <c r="A722" s="28">
        <v>44557</v>
      </c>
      <c r="B722" s="22">
        <v>52</v>
      </c>
      <c r="C722" s="22"/>
      <c r="D722" s="22"/>
      <c r="E722" s="22"/>
      <c r="F722" s="22"/>
    </row>
    <row r="723" spans="1:6">
      <c r="A723" s="28">
        <v>44558</v>
      </c>
      <c r="B723" s="22">
        <v>52</v>
      </c>
      <c r="C723" s="22"/>
      <c r="D723" s="22"/>
      <c r="E723" s="22"/>
      <c r="F723" s="22"/>
    </row>
    <row r="724" spans="1:6">
      <c r="A724" s="28">
        <v>44559</v>
      </c>
      <c r="B724" s="22">
        <v>52</v>
      </c>
      <c r="C724" s="22"/>
      <c r="D724" s="22"/>
      <c r="E724" s="22"/>
      <c r="F724" s="22"/>
    </row>
    <row r="725" spans="1:6">
      <c r="A725" s="28">
        <v>44560</v>
      </c>
      <c r="B725" s="22">
        <v>52</v>
      </c>
      <c r="C725" s="22"/>
      <c r="D725" s="22"/>
      <c r="E725" s="22"/>
      <c r="F725" s="22"/>
    </row>
    <row r="726" spans="1:6">
      <c r="A726" s="28">
        <v>44561</v>
      </c>
      <c r="B726" s="22">
        <v>52</v>
      </c>
      <c r="C726" s="22"/>
      <c r="D726" s="22"/>
      <c r="E726" s="22"/>
      <c r="F726" s="22"/>
    </row>
    <row r="727" spans="1:6">
      <c r="A727" s="28">
        <v>44562</v>
      </c>
      <c r="B727" s="22">
        <v>52</v>
      </c>
      <c r="C727" s="22"/>
      <c r="D727" s="22"/>
      <c r="E727" s="22"/>
      <c r="F727" s="22"/>
    </row>
    <row r="728" spans="1:6">
      <c r="A728" s="28">
        <v>44563</v>
      </c>
      <c r="B728" s="22">
        <v>52</v>
      </c>
      <c r="C728" s="22"/>
      <c r="D728" s="22"/>
      <c r="E728" s="22"/>
      <c r="F728" s="22"/>
    </row>
    <row r="729" spans="1:6">
      <c r="A729" s="28">
        <v>44564</v>
      </c>
      <c r="B729" s="22">
        <v>1</v>
      </c>
      <c r="C729" s="22"/>
      <c r="D729" s="22"/>
      <c r="E729" s="22"/>
      <c r="F729" s="22"/>
    </row>
    <row r="730" spans="1:6">
      <c r="A730" s="28">
        <v>44565</v>
      </c>
      <c r="B730" s="22">
        <v>1</v>
      </c>
      <c r="C730" s="22"/>
      <c r="D730" s="22"/>
      <c r="E730" s="22"/>
      <c r="F730" s="22"/>
    </row>
    <row r="731" spans="1:6">
      <c r="A731" s="28">
        <v>44566</v>
      </c>
      <c r="B731" s="22">
        <v>1</v>
      </c>
      <c r="C731" s="22"/>
      <c r="D731" s="22"/>
      <c r="E731" s="22"/>
      <c r="F731" s="22"/>
    </row>
    <row r="732" spans="1:6">
      <c r="A732" s="28">
        <v>44567</v>
      </c>
      <c r="B732" s="22">
        <v>1</v>
      </c>
      <c r="C732" s="22">
        <f>1</f>
        <v>1</v>
      </c>
      <c r="D732" s="22"/>
      <c r="E732" s="22"/>
      <c r="F732" s="22"/>
    </row>
    <row r="733" spans="1:6">
      <c r="A733" s="28">
        <v>44568</v>
      </c>
      <c r="B733" s="22">
        <v>1</v>
      </c>
      <c r="C733" s="22"/>
      <c r="D733" s="22">
        <f>2</f>
        <v>2</v>
      </c>
      <c r="E733" s="22"/>
      <c r="F733" s="22"/>
    </row>
    <row r="734" spans="1:6">
      <c r="A734" s="28">
        <v>44569</v>
      </c>
      <c r="B734" s="22">
        <v>1</v>
      </c>
      <c r="C734" s="22">
        <f>1+1</f>
        <v>2</v>
      </c>
      <c r="D734" s="22"/>
      <c r="E734" s="22"/>
      <c r="F734" s="22"/>
    </row>
    <row r="735" spans="1:6">
      <c r="A735" s="28">
        <v>44570</v>
      </c>
      <c r="B735" s="22">
        <v>1</v>
      </c>
      <c r="C735" s="22"/>
      <c r="D735" s="22"/>
      <c r="E735" s="22"/>
      <c r="F735" s="22"/>
    </row>
    <row r="736" spans="1:6">
      <c r="A736" s="28">
        <v>44571</v>
      </c>
      <c r="B736" s="22">
        <v>2</v>
      </c>
      <c r="C736" s="22"/>
      <c r="D736" s="22"/>
      <c r="E736" s="22"/>
      <c r="F736" s="22"/>
    </row>
    <row r="737" spans="1:6">
      <c r="A737" s="28">
        <v>44572</v>
      </c>
      <c r="B737" s="22">
        <v>2</v>
      </c>
      <c r="C737" s="22">
        <f>1</f>
        <v>1</v>
      </c>
      <c r="D737" s="22"/>
      <c r="E737" s="22"/>
      <c r="F737" s="22"/>
    </row>
    <row r="738" spans="1:6">
      <c r="A738" s="28">
        <v>44573</v>
      </c>
      <c r="B738" s="22">
        <v>2</v>
      </c>
      <c r="C738" s="22">
        <f>2</f>
        <v>2</v>
      </c>
      <c r="D738" s="22"/>
      <c r="E738" s="22"/>
      <c r="F738" s="22"/>
    </row>
    <row r="739" spans="1:6">
      <c r="A739" s="28">
        <v>44574</v>
      </c>
      <c r="B739" s="22">
        <v>2</v>
      </c>
      <c r="C739" s="22">
        <f>2+2+2+1</f>
        <v>7</v>
      </c>
      <c r="D739" s="22"/>
      <c r="E739" s="22"/>
      <c r="F739" s="22"/>
    </row>
    <row r="740" spans="1:6">
      <c r="A740" s="28">
        <v>44575</v>
      </c>
      <c r="B740" s="22">
        <v>2</v>
      </c>
      <c r="C740" s="22">
        <f>5+4+2+1+1</f>
        <v>13</v>
      </c>
      <c r="D740" s="22"/>
      <c r="E740" s="22"/>
      <c r="F740" s="22"/>
    </row>
    <row r="741" spans="1:6">
      <c r="A741" s="28">
        <v>44576</v>
      </c>
      <c r="B741" s="22">
        <v>2</v>
      </c>
      <c r="C741" s="22">
        <f>7+1</f>
        <v>8</v>
      </c>
      <c r="D741" s="22"/>
      <c r="E741" s="22"/>
      <c r="F741" s="22"/>
    </row>
    <row r="742" spans="1:6">
      <c r="A742" s="28">
        <v>44577</v>
      </c>
      <c r="B742" s="22">
        <v>2</v>
      </c>
      <c r="C742" s="22">
        <f>3+2</f>
        <v>5</v>
      </c>
      <c r="D742" s="22"/>
      <c r="E742" s="22"/>
      <c r="F742" s="22"/>
    </row>
    <row r="743" spans="1:6">
      <c r="A743" s="28">
        <v>44578</v>
      </c>
      <c r="B743" s="22">
        <v>3</v>
      </c>
      <c r="C743" s="22">
        <f>4+4</f>
        <v>8</v>
      </c>
      <c r="D743" s="22">
        <v>1</v>
      </c>
      <c r="E743" s="22"/>
      <c r="F743" s="22"/>
    </row>
    <row r="744" spans="1:6">
      <c r="A744" s="28">
        <v>44579</v>
      </c>
      <c r="B744" s="22">
        <v>3</v>
      </c>
      <c r="C744" s="22">
        <f>1+8+2+1</f>
        <v>12</v>
      </c>
      <c r="D744" s="22"/>
      <c r="E744" s="22"/>
      <c r="F744" s="22"/>
    </row>
    <row r="745" spans="1:6">
      <c r="A745" s="28">
        <v>44580</v>
      </c>
      <c r="B745" s="22">
        <v>3</v>
      </c>
      <c r="C745" s="22">
        <f>4+1+1</f>
        <v>6</v>
      </c>
      <c r="D745" s="22"/>
      <c r="E745" s="22"/>
      <c r="F745" s="22"/>
    </row>
    <row r="746" spans="1:6">
      <c r="A746" s="28">
        <v>44581</v>
      </c>
      <c r="B746" s="22">
        <v>3</v>
      </c>
      <c r="C746" s="22">
        <f>3+1+1</f>
        <v>5</v>
      </c>
      <c r="D746" s="22"/>
      <c r="E746" s="22"/>
      <c r="F746" s="22"/>
    </row>
    <row r="747" spans="1:6">
      <c r="A747" s="28">
        <v>44582</v>
      </c>
      <c r="B747" s="22">
        <v>3</v>
      </c>
      <c r="C747" s="22">
        <f>2+2+1</f>
        <v>5</v>
      </c>
      <c r="D747" s="22"/>
      <c r="E747" s="22"/>
      <c r="F747" s="22"/>
    </row>
    <row r="748" spans="1:6">
      <c r="A748" s="28">
        <v>44583</v>
      </c>
      <c r="B748" s="22">
        <v>3</v>
      </c>
      <c r="C748" s="22">
        <f>1</f>
        <v>1</v>
      </c>
      <c r="D748" s="22"/>
      <c r="E748" s="22"/>
      <c r="F748" s="22"/>
    </row>
    <row r="749" spans="1:6">
      <c r="A749" s="28">
        <v>44584</v>
      </c>
      <c r="B749" s="22">
        <v>3</v>
      </c>
      <c r="C749" s="22">
        <f>2+1</f>
        <v>3</v>
      </c>
      <c r="D749" s="22"/>
      <c r="E749" s="22"/>
      <c r="F749" s="22"/>
    </row>
    <row r="750" spans="1:6">
      <c r="A750" s="28">
        <v>44585</v>
      </c>
      <c r="B750" s="22">
        <v>4</v>
      </c>
      <c r="C750" s="22">
        <f>1+2+1+1</f>
        <v>5</v>
      </c>
      <c r="D750" s="22">
        <v>1</v>
      </c>
      <c r="E750" s="22"/>
      <c r="F750" s="22"/>
    </row>
    <row r="751" spans="1:6">
      <c r="A751" s="28">
        <v>44586</v>
      </c>
      <c r="B751" s="22">
        <v>4</v>
      </c>
      <c r="C751" s="22">
        <f>1</f>
        <v>1</v>
      </c>
      <c r="D751" s="22">
        <v>1</v>
      </c>
      <c r="E751" s="22"/>
      <c r="F751" s="22"/>
    </row>
    <row r="752" spans="1:6">
      <c r="A752" s="28">
        <v>44587</v>
      </c>
      <c r="B752" s="22">
        <v>4</v>
      </c>
      <c r="C752" s="22">
        <f>1+2+1</f>
        <v>4</v>
      </c>
      <c r="D752" s="22"/>
      <c r="E752" s="22"/>
      <c r="F752" s="22"/>
    </row>
    <row r="753" spans="1:6">
      <c r="A753" s="28">
        <v>44588</v>
      </c>
      <c r="B753" s="22">
        <v>4</v>
      </c>
      <c r="C753" s="22">
        <f>1+4+1</f>
        <v>6</v>
      </c>
      <c r="D753" s="22"/>
      <c r="E753" s="22"/>
      <c r="F753" s="22"/>
    </row>
    <row r="754" spans="1:6">
      <c r="A754" s="28">
        <v>44589</v>
      </c>
      <c r="B754" s="22">
        <v>4</v>
      </c>
      <c r="C754" s="22">
        <f>2</f>
        <v>2</v>
      </c>
      <c r="D754" s="22">
        <f>1</f>
        <v>1</v>
      </c>
      <c r="E754" s="22"/>
      <c r="F754" s="22"/>
    </row>
    <row r="755" spans="1:6">
      <c r="A755" s="28">
        <v>44590</v>
      </c>
      <c r="B755" s="22">
        <v>4</v>
      </c>
      <c r="C755" s="22">
        <f>1+5+1+1+1</f>
        <v>9</v>
      </c>
      <c r="D755" s="22"/>
      <c r="E755" s="22"/>
      <c r="F755" s="22"/>
    </row>
    <row r="756" spans="1:6">
      <c r="A756" s="28">
        <v>44591</v>
      </c>
      <c r="B756" s="22">
        <v>4</v>
      </c>
      <c r="C756" s="22">
        <f>2</f>
        <v>2</v>
      </c>
      <c r="D756" s="22"/>
      <c r="E756" s="22"/>
      <c r="F756" s="22"/>
    </row>
    <row r="757" spans="1:6">
      <c r="A757" s="28">
        <v>44592</v>
      </c>
      <c r="B757" s="22">
        <v>5</v>
      </c>
      <c r="C757" s="22">
        <f>1</f>
        <v>1</v>
      </c>
      <c r="D757" s="22"/>
      <c r="E757" s="22"/>
      <c r="F757" s="22"/>
    </row>
    <row r="758" spans="1:6">
      <c r="A758" s="49">
        <v>44593</v>
      </c>
      <c r="B758" s="52">
        <v>5</v>
      </c>
      <c r="C758" s="52">
        <f>1+2+1+1</f>
        <v>5</v>
      </c>
      <c r="D758" s="52"/>
      <c r="E758" s="52"/>
      <c r="F758" s="52"/>
    </row>
    <row r="759" spans="1:6">
      <c r="A759" s="49">
        <v>44594</v>
      </c>
      <c r="B759" s="52">
        <v>5</v>
      </c>
      <c r="C759" s="52">
        <f>2+2+3</f>
        <v>7</v>
      </c>
      <c r="D759" s="52">
        <f>1</f>
        <v>1</v>
      </c>
      <c r="E759" s="52"/>
      <c r="F759" s="52"/>
    </row>
    <row r="760" spans="1:6">
      <c r="A760" s="49">
        <v>44595</v>
      </c>
      <c r="B760" s="52">
        <v>5</v>
      </c>
      <c r="C760" s="52">
        <f>1+1</f>
        <v>2</v>
      </c>
      <c r="D760" s="52"/>
      <c r="E760" s="52"/>
      <c r="F760" s="52"/>
    </row>
    <row r="761" spans="1:6">
      <c r="A761" s="49">
        <v>44596</v>
      </c>
      <c r="B761" s="52">
        <v>5</v>
      </c>
      <c r="C761" s="52">
        <f>1</f>
        <v>1</v>
      </c>
      <c r="D761" s="52">
        <f>1</f>
        <v>1</v>
      </c>
      <c r="E761" s="52"/>
      <c r="F761" s="52"/>
    </row>
    <row r="762" spans="1:6">
      <c r="A762" s="49">
        <v>44597</v>
      </c>
      <c r="B762" s="52">
        <v>5</v>
      </c>
      <c r="C762" s="52">
        <f>1+3</f>
        <v>4</v>
      </c>
      <c r="D762" s="52"/>
      <c r="E762" s="52"/>
      <c r="F762" s="52"/>
    </row>
    <row r="763" spans="1:6">
      <c r="A763" s="49">
        <v>44598</v>
      </c>
      <c r="B763" s="52">
        <v>5</v>
      </c>
      <c r="C763" s="52">
        <f>2</f>
        <v>2</v>
      </c>
      <c r="D763" s="52">
        <f>1</f>
        <v>1</v>
      </c>
      <c r="E763" s="52"/>
      <c r="F763" s="52"/>
    </row>
    <row r="764" spans="1:6">
      <c r="A764" s="49">
        <v>44599</v>
      </c>
      <c r="B764" s="52">
        <v>6</v>
      </c>
      <c r="C764" s="52">
        <f>1+2+1+2</f>
        <v>6</v>
      </c>
      <c r="D764" s="52">
        <f>1</f>
        <v>1</v>
      </c>
      <c r="E764" s="52"/>
      <c r="F764" s="52"/>
    </row>
    <row r="765" spans="1:6">
      <c r="A765" s="49">
        <v>44600</v>
      </c>
      <c r="B765" s="52">
        <v>6</v>
      </c>
      <c r="C765" s="52">
        <f>4+1</f>
        <v>5</v>
      </c>
      <c r="D765" s="52">
        <f>1</f>
        <v>1</v>
      </c>
      <c r="E765" s="52"/>
      <c r="F765" s="52"/>
    </row>
    <row r="766" spans="1:6">
      <c r="A766" s="49">
        <v>44601</v>
      </c>
      <c r="B766" s="52">
        <v>6</v>
      </c>
      <c r="C766" s="52">
        <f>1+1</f>
        <v>2</v>
      </c>
      <c r="D766" s="52"/>
      <c r="E766" s="52"/>
      <c r="F766" s="52"/>
    </row>
    <row r="767" spans="1:6">
      <c r="A767" s="49">
        <v>44602</v>
      </c>
      <c r="B767" s="52">
        <v>6</v>
      </c>
      <c r="C767" s="52"/>
      <c r="D767" s="52">
        <f>1</f>
        <v>1</v>
      </c>
      <c r="E767" s="52"/>
      <c r="F767" s="52"/>
    </row>
    <row r="768" spans="1:6">
      <c r="A768" s="49">
        <v>44603</v>
      </c>
      <c r="B768" s="52">
        <v>6</v>
      </c>
      <c r="C768" s="52">
        <f>1</f>
        <v>1</v>
      </c>
      <c r="D768" s="52"/>
      <c r="E768" s="52"/>
      <c r="F768" s="52"/>
    </row>
    <row r="769" spans="1:6">
      <c r="A769" s="49">
        <v>44604</v>
      </c>
      <c r="B769" s="52">
        <v>6</v>
      </c>
      <c r="C769" s="52">
        <f>3+1</f>
        <v>4</v>
      </c>
      <c r="D769" s="52"/>
      <c r="E769" s="52"/>
      <c r="F769" s="52"/>
    </row>
    <row r="770" spans="1:6">
      <c r="A770" s="49">
        <v>44605</v>
      </c>
      <c r="B770" s="52">
        <v>6</v>
      </c>
      <c r="C770" s="52">
        <f>3</f>
        <v>3</v>
      </c>
      <c r="D770" s="52"/>
      <c r="E770" s="52"/>
      <c r="F770" s="52"/>
    </row>
    <row r="771" spans="1:6">
      <c r="A771" s="49">
        <v>44606</v>
      </c>
      <c r="B771" s="52">
        <v>7</v>
      </c>
      <c r="C771" s="52">
        <f>1</f>
        <v>1</v>
      </c>
      <c r="D771" s="52"/>
      <c r="E771" s="52"/>
      <c r="F771" s="52"/>
    </row>
    <row r="772" spans="1:6">
      <c r="A772" s="49">
        <v>44607</v>
      </c>
      <c r="B772" s="52">
        <v>7</v>
      </c>
      <c r="C772" s="52">
        <f>3</f>
        <v>3</v>
      </c>
      <c r="D772" s="52">
        <f>1+1</f>
        <v>2</v>
      </c>
      <c r="E772" s="52"/>
      <c r="F772" s="52"/>
    </row>
    <row r="773" spans="1:6">
      <c r="A773" s="49">
        <v>44608</v>
      </c>
      <c r="B773" s="52">
        <v>7</v>
      </c>
      <c r="C773" s="52">
        <f>1+2</f>
        <v>3</v>
      </c>
      <c r="D773" s="52">
        <f>1+1</f>
        <v>2</v>
      </c>
      <c r="E773" s="52"/>
      <c r="F773" s="52"/>
    </row>
    <row r="774" spans="1:6">
      <c r="A774" s="49">
        <v>44609</v>
      </c>
      <c r="B774" s="52">
        <v>7</v>
      </c>
      <c r="C774" s="52">
        <f>2+1</f>
        <v>3</v>
      </c>
      <c r="D774" s="52"/>
      <c r="E774" s="52"/>
      <c r="F774" s="52"/>
    </row>
    <row r="775" spans="1:6">
      <c r="A775" s="49">
        <v>44610</v>
      </c>
      <c r="B775" s="52">
        <v>7</v>
      </c>
      <c r="C775" s="52">
        <f>2</f>
        <v>2</v>
      </c>
      <c r="D775" s="52"/>
      <c r="E775" s="52"/>
      <c r="F775" s="52"/>
    </row>
    <row r="776" spans="1:6">
      <c r="A776" s="49">
        <v>44611</v>
      </c>
      <c r="B776" s="52">
        <v>7</v>
      </c>
      <c r="C776" s="52">
        <f>2</f>
        <v>2</v>
      </c>
      <c r="D776" s="52"/>
      <c r="E776" s="52"/>
      <c r="F776" s="52"/>
    </row>
    <row r="777" spans="1:6">
      <c r="A777" s="49">
        <v>44612</v>
      </c>
      <c r="B777" s="52">
        <v>7</v>
      </c>
      <c r="C777" s="52">
        <f>1</f>
        <v>1</v>
      </c>
      <c r="D777" s="52">
        <f>1</f>
        <v>1</v>
      </c>
      <c r="E777" s="52"/>
      <c r="F777" s="52"/>
    </row>
    <row r="778" spans="1:6">
      <c r="A778" s="49">
        <v>44613</v>
      </c>
      <c r="B778" s="52">
        <v>8</v>
      </c>
      <c r="C778" s="52">
        <f>1</f>
        <v>1</v>
      </c>
      <c r="D778" s="52"/>
      <c r="E778" s="52"/>
      <c r="F778" s="52"/>
    </row>
    <row r="779" spans="1:6">
      <c r="A779" s="49">
        <v>44614</v>
      </c>
      <c r="B779" s="52">
        <v>8</v>
      </c>
      <c r="C779" s="52"/>
      <c r="D779" s="52"/>
      <c r="E779" s="52"/>
      <c r="F779" s="52"/>
    </row>
    <row r="780" spans="1:6">
      <c r="A780" s="49">
        <v>44615</v>
      </c>
      <c r="B780" s="52">
        <v>8</v>
      </c>
      <c r="C780" s="52"/>
      <c r="D780" s="52"/>
      <c r="E780" s="52"/>
      <c r="F780" s="52"/>
    </row>
    <row r="781" spans="1:6">
      <c r="A781" s="49">
        <v>44616</v>
      </c>
      <c r="B781" s="52">
        <v>8</v>
      </c>
      <c r="C781" s="52">
        <f>1</f>
        <v>1</v>
      </c>
      <c r="D781" s="52"/>
      <c r="E781" s="52"/>
      <c r="F781" s="52"/>
    </row>
    <row r="782" spans="1:6">
      <c r="A782" s="49">
        <v>44617</v>
      </c>
      <c r="B782" s="52">
        <v>8</v>
      </c>
      <c r="C782" s="52">
        <f>1+3+1+1</f>
        <v>6</v>
      </c>
      <c r="D782" s="52">
        <f>1</f>
        <v>1</v>
      </c>
      <c r="E782" s="52"/>
      <c r="F782" s="52"/>
    </row>
    <row r="783" spans="1:6">
      <c r="A783" s="49">
        <v>44618</v>
      </c>
      <c r="B783" s="52">
        <v>8</v>
      </c>
      <c r="C783" s="52">
        <f>1+1</f>
        <v>2</v>
      </c>
      <c r="D783" s="52">
        <f>1</f>
        <v>1</v>
      </c>
      <c r="E783" s="52"/>
      <c r="F783" s="52"/>
    </row>
    <row r="784" spans="1:6">
      <c r="A784" s="49">
        <v>44619</v>
      </c>
      <c r="B784" s="52">
        <v>8</v>
      </c>
      <c r="C784" s="52">
        <f>1</f>
        <v>1</v>
      </c>
      <c r="D784" s="52">
        <f>1</f>
        <v>1</v>
      </c>
      <c r="E784" s="52"/>
      <c r="F784" s="52"/>
    </row>
    <row r="785" spans="1:6">
      <c r="A785" s="50">
        <v>44620</v>
      </c>
      <c r="B785" s="52">
        <v>9</v>
      </c>
      <c r="C785" s="52">
        <f>1+1</f>
        <v>2</v>
      </c>
      <c r="D785" s="52"/>
      <c r="E785" s="52"/>
      <c r="F785" s="52"/>
    </row>
    <row r="786" spans="1:6">
      <c r="A786" s="64">
        <v>44621</v>
      </c>
      <c r="B786" s="52">
        <v>9</v>
      </c>
      <c r="C786" s="52">
        <f>1+1</f>
        <v>2</v>
      </c>
      <c r="D786" s="52"/>
      <c r="E786" s="52"/>
      <c r="F786" s="52"/>
    </row>
    <row r="787" spans="1:6">
      <c r="A787" s="64">
        <v>44622</v>
      </c>
      <c r="B787" s="52">
        <v>9</v>
      </c>
      <c r="C787" s="52">
        <f>1</f>
        <v>1</v>
      </c>
      <c r="D787" s="52"/>
      <c r="E787" s="52"/>
      <c r="F787" s="52"/>
    </row>
    <row r="788" spans="1:6">
      <c r="A788" s="64">
        <v>44623</v>
      </c>
      <c r="B788" s="52">
        <v>9</v>
      </c>
      <c r="C788" s="52"/>
      <c r="D788" s="52"/>
      <c r="E788" s="52"/>
      <c r="F788" s="52"/>
    </row>
    <row r="789" spans="1:6">
      <c r="A789" s="64">
        <v>44624</v>
      </c>
      <c r="B789" s="52">
        <v>9</v>
      </c>
      <c r="C789" s="52">
        <f>2</f>
        <v>2</v>
      </c>
      <c r="D789" s="52"/>
      <c r="E789" s="52"/>
      <c r="F789" s="52"/>
    </row>
    <row r="790" spans="1:6">
      <c r="C790" s="45"/>
      <c r="D790" s="45"/>
      <c r="E790" s="45"/>
      <c r="F790" s="45"/>
    </row>
    <row r="791" spans="1:6">
      <c r="C791" s="45"/>
      <c r="D791" s="45"/>
      <c r="E791" s="45"/>
      <c r="F791" s="45"/>
    </row>
    <row r="792" spans="1:6">
      <c r="C792" s="45"/>
      <c r="D792" s="45"/>
      <c r="E792" s="45"/>
      <c r="F792" s="45"/>
    </row>
    <row r="793" spans="1:6">
      <c r="C793" s="45"/>
      <c r="D793" s="45"/>
      <c r="E793" s="45"/>
      <c r="F793" s="45"/>
    </row>
    <row r="794" spans="1:6">
      <c r="C794" s="45"/>
      <c r="D794" s="45"/>
      <c r="E794" s="45"/>
      <c r="F794" s="45"/>
    </row>
    <row r="795" spans="1:6">
      <c r="C795" s="45"/>
      <c r="D795" s="45"/>
      <c r="E795" s="45"/>
      <c r="F795" s="45"/>
    </row>
    <row r="796" spans="1:6">
      <c r="C796" s="45"/>
      <c r="D796" s="45"/>
      <c r="E796" s="45"/>
      <c r="F796" s="45"/>
    </row>
    <row r="797" spans="1:6">
      <c r="C797" s="45"/>
      <c r="D797" s="45"/>
      <c r="E797" s="45"/>
      <c r="F797" s="45"/>
    </row>
    <row r="798" spans="1:6">
      <c r="C798" s="45"/>
      <c r="D798" s="45"/>
      <c r="E798" s="45"/>
      <c r="F798" s="45"/>
    </row>
    <row r="799" spans="1:6">
      <c r="C799" s="45"/>
      <c r="D799" s="45"/>
      <c r="E799" s="45"/>
      <c r="F799" s="45"/>
    </row>
    <row r="800" spans="1:6">
      <c r="C800" s="45"/>
      <c r="D800" s="45"/>
      <c r="E800" s="45"/>
      <c r="F800" s="45"/>
    </row>
    <row r="801" spans="3:6">
      <c r="C801" s="45"/>
      <c r="D801" s="45"/>
      <c r="E801" s="45"/>
      <c r="F801" s="45"/>
    </row>
    <row r="802" spans="3:6">
      <c r="C802" s="45"/>
      <c r="D802" s="45"/>
      <c r="E802" s="45"/>
      <c r="F802" s="45"/>
    </row>
    <row r="803" spans="3:6">
      <c r="C803" s="45"/>
      <c r="D803" s="45"/>
      <c r="E803" s="45"/>
      <c r="F803" s="45"/>
    </row>
    <row r="804" spans="3:6">
      <c r="C804" s="45"/>
      <c r="D804" s="45"/>
      <c r="E804" s="45"/>
      <c r="F804" s="45"/>
    </row>
    <row r="805" spans="3:6">
      <c r="C805" s="45"/>
      <c r="D805" s="45"/>
      <c r="E805" s="45"/>
      <c r="F805" s="45"/>
    </row>
    <row r="806" spans="3:6">
      <c r="C806" s="45"/>
      <c r="D806" s="45"/>
      <c r="E806" s="45"/>
      <c r="F806" s="45"/>
    </row>
    <row r="807" spans="3:6">
      <c r="C807" s="45"/>
      <c r="D807" s="45"/>
      <c r="E807" s="45"/>
      <c r="F807" s="45"/>
    </row>
    <row r="808" spans="3:6">
      <c r="C808" s="45"/>
      <c r="D808" s="45"/>
      <c r="E808" s="45"/>
      <c r="F808" s="45"/>
    </row>
    <row r="809" spans="3:6">
      <c r="C809" s="45"/>
      <c r="D809" s="45"/>
      <c r="E809" s="45"/>
      <c r="F809" s="45"/>
    </row>
    <row r="810" spans="3:6">
      <c r="C810" s="45"/>
      <c r="D810" s="45"/>
      <c r="E810" s="45"/>
      <c r="F810" s="45"/>
    </row>
    <row r="811" spans="3:6">
      <c r="C811" s="45"/>
      <c r="D811" s="45"/>
      <c r="E811" s="45"/>
      <c r="F811" s="45"/>
    </row>
    <row r="812" spans="3:6">
      <c r="C812" s="45"/>
      <c r="D812" s="45"/>
      <c r="E812" s="45"/>
      <c r="F812" s="45"/>
    </row>
    <row r="813" spans="3:6">
      <c r="C813" s="45"/>
      <c r="D813" s="45"/>
      <c r="E813" s="45"/>
      <c r="F813" s="45"/>
    </row>
    <row r="814" spans="3:6">
      <c r="C814" s="45"/>
      <c r="D814" s="45"/>
      <c r="E814" s="45"/>
      <c r="F814" s="45"/>
    </row>
    <row r="815" spans="3:6">
      <c r="C815" s="45"/>
      <c r="D815" s="45"/>
      <c r="E815" s="45"/>
      <c r="F815" s="45"/>
    </row>
    <row r="816" spans="3:6">
      <c r="C816" s="45"/>
      <c r="D816" s="45"/>
      <c r="E816" s="45"/>
      <c r="F816" s="45"/>
    </row>
    <row r="817" spans="3:6">
      <c r="C817" s="45"/>
      <c r="D817" s="45"/>
      <c r="E817" s="45"/>
      <c r="F817" s="45"/>
    </row>
    <row r="818" spans="3:6">
      <c r="C818" s="45"/>
      <c r="D818" s="45"/>
      <c r="E818" s="45"/>
      <c r="F818" s="45"/>
    </row>
    <row r="819" spans="3:6">
      <c r="C819" s="45"/>
      <c r="D819" s="45"/>
      <c r="E819" s="45"/>
      <c r="F819" s="45"/>
    </row>
    <row r="820" spans="3:6">
      <c r="C820" s="45"/>
      <c r="D820" s="45"/>
      <c r="E820" s="45"/>
      <c r="F820" s="45"/>
    </row>
    <row r="821" spans="3:6">
      <c r="C821" s="45"/>
      <c r="D821" s="45"/>
      <c r="E821" s="45"/>
      <c r="F821" s="45"/>
    </row>
    <row r="822" spans="3:6">
      <c r="C822" s="45"/>
      <c r="D822" s="45"/>
      <c r="E822" s="45"/>
      <c r="F822" s="45"/>
    </row>
    <row r="823" spans="3:6">
      <c r="C823" s="45"/>
      <c r="D823" s="45"/>
      <c r="E823" s="45"/>
      <c r="F823" s="45"/>
    </row>
    <row r="824" spans="3:6">
      <c r="C824" s="45"/>
      <c r="D824" s="45"/>
      <c r="E824" s="45"/>
      <c r="F824" s="45"/>
    </row>
    <row r="825" spans="3:6">
      <c r="C825" s="45"/>
      <c r="D825" s="45"/>
      <c r="E825" s="45"/>
      <c r="F825" s="45"/>
    </row>
    <row r="826" spans="3:6">
      <c r="C826" s="45"/>
      <c r="D826" s="45"/>
      <c r="E826" s="45"/>
      <c r="F826" s="45"/>
    </row>
    <row r="827" spans="3:6">
      <c r="C827" s="45"/>
      <c r="D827" s="45"/>
      <c r="E827" s="45"/>
      <c r="F827" s="45"/>
    </row>
    <row r="828" spans="3:6">
      <c r="C828" s="45"/>
      <c r="D828" s="45"/>
      <c r="E828" s="45"/>
      <c r="F828" s="45"/>
    </row>
    <row r="829" spans="3:6">
      <c r="C829" s="45"/>
      <c r="D829" s="45"/>
      <c r="E829" s="45"/>
      <c r="F829" s="45"/>
    </row>
    <row r="830" spans="3:6">
      <c r="C830" s="45"/>
      <c r="D830" s="45"/>
      <c r="E830" s="45"/>
      <c r="F830" s="45"/>
    </row>
    <row r="831" spans="3:6">
      <c r="C831" s="45"/>
      <c r="D831" s="45"/>
      <c r="E831" s="45"/>
      <c r="F831" s="45"/>
    </row>
    <row r="832" spans="3:6">
      <c r="C832" s="45"/>
      <c r="D832" s="45"/>
      <c r="E832" s="45"/>
      <c r="F832" s="45"/>
    </row>
    <row r="833" spans="3:6">
      <c r="C833" s="45"/>
      <c r="D833" s="45"/>
      <c r="E833" s="45"/>
      <c r="F833" s="45"/>
    </row>
    <row r="834" spans="3:6">
      <c r="C834" s="45"/>
      <c r="D834" s="45"/>
      <c r="E834" s="45"/>
      <c r="F834" s="45"/>
    </row>
    <row r="835" spans="3:6">
      <c r="C835" s="45"/>
      <c r="D835" s="45"/>
      <c r="E835" s="45"/>
      <c r="F835" s="45"/>
    </row>
    <row r="836" spans="3:6">
      <c r="C836" s="45"/>
      <c r="D836" s="45"/>
      <c r="E836" s="45"/>
      <c r="F836" s="45"/>
    </row>
    <row r="837" spans="3:6">
      <c r="C837" s="45"/>
      <c r="D837" s="45"/>
      <c r="E837" s="45"/>
      <c r="F837" s="45"/>
    </row>
    <row r="838" spans="3:6">
      <c r="C838" s="45"/>
      <c r="D838" s="45"/>
      <c r="E838" s="45"/>
      <c r="F838" s="45"/>
    </row>
    <row r="839" spans="3:6">
      <c r="C839" s="45"/>
      <c r="D839" s="45"/>
      <c r="E839" s="45"/>
      <c r="F839" s="45"/>
    </row>
    <row r="840" spans="3:6">
      <c r="C840" s="45"/>
      <c r="D840" s="45"/>
      <c r="E840" s="45"/>
      <c r="F840" s="45"/>
    </row>
    <row r="841" spans="3:6">
      <c r="C841" s="45"/>
      <c r="D841" s="45"/>
      <c r="E841" s="45"/>
      <c r="F841" s="45"/>
    </row>
    <row r="842" spans="3:6">
      <c r="C842" s="45"/>
      <c r="D842" s="45"/>
      <c r="E842" s="45"/>
      <c r="F842" s="45"/>
    </row>
    <row r="843" spans="3:6">
      <c r="C843" s="45"/>
      <c r="D843" s="45"/>
      <c r="E843" s="45"/>
      <c r="F843" s="45"/>
    </row>
    <row r="844" spans="3:6">
      <c r="C844" s="45"/>
      <c r="D844" s="45"/>
      <c r="E844" s="45"/>
      <c r="F844" s="45"/>
    </row>
    <row r="845" spans="3:6">
      <c r="C845" s="45"/>
      <c r="D845" s="45"/>
      <c r="E845" s="45"/>
      <c r="F845" s="45"/>
    </row>
    <row r="846" spans="3:6">
      <c r="C846" s="45"/>
      <c r="D846" s="45"/>
      <c r="E846" s="45"/>
      <c r="F846" s="45"/>
    </row>
    <row r="847" spans="3:6">
      <c r="C847" s="45"/>
      <c r="D847" s="45"/>
      <c r="E847" s="45"/>
      <c r="F847" s="45"/>
    </row>
    <row r="848" spans="3:6">
      <c r="C848" s="45"/>
      <c r="D848" s="45"/>
      <c r="E848" s="45"/>
      <c r="F848" s="45"/>
    </row>
    <row r="849" spans="3:6">
      <c r="C849" s="45"/>
      <c r="D849" s="45"/>
      <c r="E849" s="45"/>
      <c r="F849" s="45"/>
    </row>
    <row r="850" spans="3:6">
      <c r="C850" s="45"/>
      <c r="D850" s="45"/>
      <c r="E850" s="45"/>
      <c r="F850" s="45"/>
    </row>
    <row r="851" spans="3:6">
      <c r="C851" s="45"/>
      <c r="D851" s="45"/>
      <c r="E851" s="45"/>
      <c r="F851" s="45"/>
    </row>
    <row r="852" spans="3:6">
      <c r="C852" s="45"/>
      <c r="D852" s="45"/>
      <c r="E852" s="45"/>
      <c r="F852" s="45"/>
    </row>
    <row r="853" spans="3:6">
      <c r="C853" s="45"/>
      <c r="D853" s="45"/>
      <c r="E853" s="45"/>
      <c r="F853" s="45"/>
    </row>
    <row r="854" spans="3:6">
      <c r="C854" s="45"/>
      <c r="D854" s="45"/>
      <c r="E854" s="45"/>
      <c r="F854" s="45"/>
    </row>
    <row r="855" spans="3:6">
      <c r="C855" s="45"/>
      <c r="D855" s="45"/>
      <c r="E855" s="45"/>
      <c r="F855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2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855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4.5"/>
  <cols>
    <col min="1" max="1" width="12.58203125" style="55"/>
    <col min="2" max="2" width="5.6640625" style="55" bestFit="1" customWidth="1"/>
    <col min="3" max="5" width="12.58203125" style="55"/>
    <col min="6" max="6" width="14.6640625" style="55" bestFit="1" customWidth="1"/>
    <col min="7" max="7" width="66.33203125" style="55" customWidth="1"/>
    <col min="8" max="16384" width="12.58203125" style="55"/>
  </cols>
  <sheetData>
    <row r="1" spans="1:7">
      <c r="A1" s="120" t="s">
        <v>73</v>
      </c>
      <c r="B1" s="112"/>
      <c r="C1" s="112"/>
      <c r="D1" s="112"/>
      <c r="E1" s="112"/>
      <c r="F1" s="113"/>
      <c r="G1" s="69" t="s">
        <v>86</v>
      </c>
    </row>
    <row r="2" spans="1:7">
      <c r="A2" s="141" t="s">
        <v>23</v>
      </c>
      <c r="B2" s="115"/>
      <c r="C2" s="115"/>
      <c r="D2" s="115"/>
      <c r="E2" s="115"/>
      <c r="F2" s="116"/>
      <c r="G2" s="68"/>
    </row>
    <row r="3" spans="1:7">
      <c r="A3" s="118" t="s">
        <v>422</v>
      </c>
      <c r="B3" s="115"/>
      <c r="C3" s="115"/>
      <c r="D3" s="115"/>
      <c r="E3" s="115"/>
      <c r="F3" s="116"/>
      <c r="G3" s="4"/>
    </row>
    <row r="4" spans="1:7">
      <c r="A4" s="118"/>
      <c r="B4" s="115"/>
      <c r="C4" s="115"/>
      <c r="D4" s="115"/>
      <c r="E4" s="115"/>
      <c r="F4" s="116"/>
    </row>
    <row r="5" spans="1:7">
      <c r="A5" s="118"/>
      <c r="B5" s="115"/>
      <c r="C5" s="115"/>
      <c r="D5" s="115"/>
      <c r="E5" s="115"/>
      <c r="F5" s="116"/>
    </row>
    <row r="6" spans="1:7">
      <c r="A6" s="118"/>
      <c r="B6" s="115"/>
      <c r="C6" s="115"/>
      <c r="D6" s="115"/>
      <c r="E6" s="115"/>
      <c r="F6" s="116"/>
    </row>
    <row r="7" spans="1:7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>
      <c r="A8" s="25">
        <v>43843</v>
      </c>
      <c r="B8" s="26">
        <v>1</v>
      </c>
      <c r="C8" s="21"/>
      <c r="D8" s="21"/>
      <c r="E8" s="7"/>
      <c r="F8" s="7"/>
      <c r="G8" s="54"/>
    </row>
    <row r="9" spans="1:7">
      <c r="A9" s="25">
        <v>43844</v>
      </c>
      <c r="B9" s="26">
        <v>1</v>
      </c>
      <c r="C9" s="22"/>
      <c r="D9" s="22"/>
      <c r="E9" s="14"/>
      <c r="F9" s="14"/>
      <c r="G9" s="54"/>
    </row>
    <row r="10" spans="1:7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.5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.5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.5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.5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.5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.5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.5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.5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>
      <c r="A187" s="25">
        <v>44022</v>
      </c>
      <c r="B187" s="26">
        <v>26</v>
      </c>
      <c r="C187" s="22">
        <v>1</v>
      </c>
      <c r="D187" s="22"/>
      <c r="E187" s="11"/>
      <c r="F187" s="14"/>
      <c r="G187" s="54"/>
    </row>
    <row r="188" spans="1:7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>
      <c r="A192" s="25">
        <v>44027</v>
      </c>
      <c r="B192" s="26">
        <v>27</v>
      </c>
      <c r="C192" s="22">
        <v>2</v>
      </c>
      <c r="D192" s="22"/>
      <c r="E192" s="14"/>
      <c r="F192" s="14"/>
      <c r="G192" s="54"/>
    </row>
    <row r="193" spans="1:7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>
      <c r="A195" s="25">
        <v>44030</v>
      </c>
      <c r="B195" s="26">
        <v>27</v>
      </c>
      <c r="C195" s="22">
        <v>1</v>
      </c>
      <c r="D195" s="22"/>
      <c r="E195" s="14"/>
      <c r="F195" s="14"/>
      <c r="G195" s="54"/>
    </row>
    <row r="196" spans="1:7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>
      <c r="A228" s="25">
        <v>44063</v>
      </c>
      <c r="B228" s="26">
        <v>32</v>
      </c>
      <c r="C228" s="22"/>
      <c r="D228" s="22">
        <v>1</v>
      </c>
      <c r="E228" s="14"/>
      <c r="F228" s="14"/>
      <c r="G228" s="54"/>
    </row>
    <row r="229" spans="1:7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>
      <c r="A369" s="25">
        <v>44204</v>
      </c>
      <c r="B369" s="26">
        <v>1</v>
      </c>
      <c r="C369" s="22"/>
      <c r="D369" s="22"/>
      <c r="E369" s="14"/>
      <c r="F369" s="14"/>
      <c r="G369" s="54"/>
    </row>
    <row r="370" spans="1:7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>
      <c r="A374" s="25">
        <v>44209</v>
      </c>
      <c r="B374" s="26">
        <v>2</v>
      </c>
      <c r="C374" s="22"/>
      <c r="D374" s="22"/>
      <c r="E374" s="14"/>
      <c r="F374" s="12"/>
      <c r="G374" s="54"/>
    </row>
    <row r="375" spans="1:7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>
      <c r="A377" s="25">
        <v>44212</v>
      </c>
      <c r="B377" s="26">
        <v>2</v>
      </c>
      <c r="C377" s="22"/>
      <c r="D377" s="22"/>
      <c r="E377" s="14"/>
      <c r="F377" s="14"/>
      <c r="G377" s="126"/>
    </row>
    <row r="378" spans="1:7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>
      <c r="A442" s="25">
        <v>44277</v>
      </c>
      <c r="B442" s="26">
        <v>12</v>
      </c>
      <c r="C442" s="22">
        <v>1</v>
      </c>
      <c r="D442" s="22"/>
      <c r="E442" s="14"/>
      <c r="F442" s="14"/>
      <c r="G442" s="54"/>
    </row>
    <row r="443" spans="1:7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>
        <v>4</v>
      </c>
      <c r="D444" s="22"/>
      <c r="E444" s="14"/>
      <c r="F444" s="14"/>
      <c r="G444" s="47"/>
    </row>
    <row r="445" spans="1:7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>
      <c r="A446" s="25">
        <v>44281</v>
      </c>
      <c r="B446" s="26">
        <v>12</v>
      </c>
      <c r="C446" s="22">
        <v>15</v>
      </c>
      <c r="D446" s="22"/>
      <c r="E446" s="14"/>
      <c r="F446" s="14"/>
      <c r="G446" s="54"/>
    </row>
    <row r="447" spans="1:7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>
      <c r="A449" s="25">
        <v>44284</v>
      </c>
      <c r="B449" s="26">
        <v>13</v>
      </c>
      <c r="C449" s="22">
        <v>5</v>
      </c>
      <c r="D449" s="22"/>
      <c r="E449" s="14"/>
      <c r="F449" s="14"/>
      <c r="G449" s="54"/>
    </row>
    <row r="450" spans="1:7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>
      <c r="A456" s="25">
        <v>44291</v>
      </c>
      <c r="B456" s="26">
        <v>14</v>
      </c>
      <c r="C456" s="22">
        <v>1</v>
      </c>
      <c r="D456" s="22"/>
      <c r="E456" s="14"/>
      <c r="F456" s="14"/>
      <c r="G456" s="54"/>
    </row>
    <row r="457" spans="1:7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>
      <c r="A461" s="25">
        <v>44296</v>
      </c>
      <c r="B461" s="26">
        <v>14</v>
      </c>
      <c r="C461" s="22"/>
      <c r="D461" s="22"/>
      <c r="E461" s="14"/>
      <c r="F461" s="14"/>
      <c r="G461" s="54"/>
    </row>
    <row r="462" spans="1:7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>
      <c r="A464" s="25">
        <v>44299</v>
      </c>
      <c r="B464" s="26">
        <v>15</v>
      </c>
      <c r="C464" s="22"/>
      <c r="D464" s="22"/>
      <c r="E464" s="14"/>
      <c r="F464" s="14"/>
      <c r="G464" s="54"/>
    </row>
    <row r="465" spans="1:7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>
      <c r="A467" s="25">
        <v>44302</v>
      </c>
      <c r="B467" s="26">
        <v>15</v>
      </c>
      <c r="C467" s="22"/>
      <c r="D467" s="22"/>
      <c r="E467" s="14"/>
      <c r="F467" s="14"/>
      <c r="G467" s="54"/>
    </row>
    <row r="468" spans="1:7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>
      <c r="A473" s="25">
        <v>44308</v>
      </c>
      <c r="B473" s="26">
        <v>16</v>
      </c>
      <c r="C473" s="22"/>
      <c r="D473" s="22"/>
      <c r="E473" s="14"/>
      <c r="F473" s="14"/>
      <c r="G473" s="54"/>
    </row>
    <row r="474" spans="1:7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>
      <c r="A475" s="25">
        <v>44310</v>
      </c>
      <c r="B475" s="26">
        <v>16</v>
      </c>
      <c r="C475" s="22"/>
      <c r="D475" s="22"/>
      <c r="E475" s="14"/>
      <c r="F475" s="14"/>
      <c r="G475" s="54"/>
    </row>
    <row r="476" spans="1:7">
      <c r="A476" s="25">
        <v>44311</v>
      </c>
      <c r="B476" s="26">
        <v>16</v>
      </c>
      <c r="C476" s="22"/>
      <c r="D476" s="22"/>
      <c r="E476" s="14"/>
      <c r="F476" s="14"/>
      <c r="G476" s="54"/>
    </row>
    <row r="477" spans="1:7">
      <c r="A477" s="25">
        <v>44312</v>
      </c>
      <c r="B477" s="26">
        <v>17</v>
      </c>
      <c r="C477" s="22"/>
      <c r="D477" s="22"/>
      <c r="E477" s="14"/>
      <c r="F477" s="14"/>
      <c r="G477" s="54"/>
    </row>
    <row r="478" spans="1:7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>
      <c r="A479" s="25">
        <v>44314</v>
      </c>
      <c r="B479" s="26">
        <v>17</v>
      </c>
      <c r="C479" s="22"/>
      <c r="D479" s="22"/>
      <c r="E479" s="14"/>
      <c r="F479" s="14"/>
      <c r="G479" s="54"/>
    </row>
    <row r="480" spans="1:7">
      <c r="A480" s="25">
        <v>44315</v>
      </c>
      <c r="B480" s="26">
        <v>17</v>
      </c>
      <c r="C480" s="22"/>
      <c r="D480" s="22"/>
      <c r="E480" s="14"/>
      <c r="F480" s="14"/>
      <c r="G480" s="54"/>
    </row>
    <row r="481" spans="1:7">
      <c r="A481" s="25">
        <v>44316</v>
      </c>
      <c r="B481" s="26">
        <v>17</v>
      </c>
      <c r="C481" s="22"/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>
      <c r="A484" s="25">
        <v>44319</v>
      </c>
      <c r="B484" s="26">
        <v>18</v>
      </c>
      <c r="C484" s="22"/>
      <c r="D484" s="22"/>
      <c r="E484" s="14"/>
      <c r="F484" s="14"/>
      <c r="G484" s="54"/>
    </row>
    <row r="485" spans="1:7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>
      <c r="A490" s="25">
        <v>44325</v>
      </c>
      <c r="B490" s="26">
        <v>18</v>
      </c>
      <c r="C490" s="22"/>
      <c r="D490" s="22"/>
      <c r="E490" s="14"/>
      <c r="F490" s="14"/>
      <c r="G490" s="54"/>
    </row>
    <row r="491" spans="1:7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>
      <c r="A506" s="25">
        <v>44341</v>
      </c>
      <c r="B506" s="26">
        <v>21</v>
      </c>
      <c r="D506" s="22"/>
      <c r="E506" s="14"/>
      <c r="F506" s="14"/>
      <c r="G506" s="54"/>
    </row>
    <row r="507" spans="1:7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>
      <c r="A554" s="25">
        <v>44389</v>
      </c>
      <c r="B554" s="22">
        <v>28</v>
      </c>
      <c r="C554" s="22">
        <v>1</v>
      </c>
      <c r="D554" s="22"/>
      <c r="E554" s="14"/>
      <c r="F554" s="14"/>
      <c r="G554" s="54"/>
    </row>
    <row r="555" spans="1:7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>
      <c r="A557" s="25">
        <v>44392</v>
      </c>
      <c r="B557" s="22">
        <v>28</v>
      </c>
      <c r="C557" s="22"/>
      <c r="D557" s="22"/>
      <c r="E557" s="14"/>
      <c r="F557" s="14"/>
      <c r="G557" s="54"/>
    </row>
    <row r="558" spans="1:7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>
      <c r="A565" s="28">
        <v>44400</v>
      </c>
      <c r="B565" s="22">
        <v>29</v>
      </c>
      <c r="C565" s="22"/>
      <c r="D565" s="22"/>
      <c r="E565" s="22"/>
      <c r="F565" s="22"/>
    </row>
    <row r="566" spans="1:7">
      <c r="A566" s="28">
        <v>44401</v>
      </c>
      <c r="B566" s="22">
        <v>29</v>
      </c>
      <c r="C566" s="22"/>
      <c r="D566" s="22"/>
      <c r="E566" s="22"/>
      <c r="F566" s="22"/>
    </row>
    <row r="567" spans="1:7">
      <c r="A567" s="28">
        <v>44402</v>
      </c>
      <c r="B567" s="22">
        <v>29</v>
      </c>
      <c r="C567" s="22"/>
      <c r="D567" s="22"/>
      <c r="E567" s="22"/>
      <c r="F567" s="22"/>
    </row>
    <row r="568" spans="1:7">
      <c r="A568" s="28">
        <v>44403</v>
      </c>
      <c r="B568" s="22">
        <v>30</v>
      </c>
      <c r="C568" s="22"/>
      <c r="D568" s="22"/>
      <c r="E568" s="22"/>
      <c r="F568" s="22"/>
    </row>
    <row r="569" spans="1:7">
      <c r="A569" s="28">
        <v>44404</v>
      </c>
      <c r="B569" s="22">
        <v>30</v>
      </c>
      <c r="C569" s="32"/>
      <c r="D569" s="32"/>
      <c r="E569" s="32"/>
      <c r="F569" s="32"/>
    </row>
    <row r="570" spans="1:7">
      <c r="A570" s="28">
        <v>44405</v>
      </c>
      <c r="B570" s="22">
        <v>30</v>
      </c>
      <c r="C570" s="32"/>
      <c r="D570" s="32"/>
      <c r="E570" s="32"/>
      <c r="F570" s="32"/>
    </row>
    <row r="571" spans="1:7">
      <c r="A571" s="28">
        <v>44406</v>
      </c>
      <c r="B571" s="22">
        <v>30</v>
      </c>
      <c r="C571" s="32"/>
      <c r="D571" s="32"/>
      <c r="E571" s="32"/>
      <c r="F571" s="32"/>
    </row>
    <row r="572" spans="1:7">
      <c r="A572" s="28">
        <v>44407</v>
      </c>
      <c r="B572" s="22">
        <v>30</v>
      </c>
      <c r="C572" s="32"/>
      <c r="D572" s="32"/>
      <c r="E572" s="32"/>
      <c r="F572" s="32"/>
    </row>
    <row r="573" spans="1:7">
      <c r="A573" s="28">
        <v>44408</v>
      </c>
      <c r="B573" s="22">
        <v>30</v>
      </c>
      <c r="C573" s="32"/>
      <c r="D573" s="32"/>
      <c r="E573" s="32"/>
      <c r="F573" s="32"/>
    </row>
    <row r="574" spans="1:7">
      <c r="A574" s="28">
        <v>44409</v>
      </c>
      <c r="B574" s="22">
        <v>30</v>
      </c>
      <c r="C574" s="22"/>
      <c r="D574" s="22"/>
      <c r="E574" s="22"/>
      <c r="F574" s="22"/>
    </row>
    <row r="575" spans="1:7">
      <c r="A575" s="28">
        <v>44410</v>
      </c>
      <c r="B575" s="22">
        <v>31</v>
      </c>
      <c r="C575" s="22"/>
      <c r="D575" s="22"/>
      <c r="E575" s="22"/>
      <c r="F575" s="22"/>
    </row>
    <row r="576" spans="1:7">
      <c r="A576" s="28">
        <v>44411</v>
      </c>
      <c r="B576" s="22">
        <v>31</v>
      </c>
      <c r="C576" s="22"/>
      <c r="D576" s="22"/>
      <c r="E576" s="22"/>
      <c r="F576" s="22"/>
    </row>
    <row r="577" spans="1:6">
      <c r="A577" s="28">
        <v>44412</v>
      </c>
      <c r="B577" s="22">
        <v>31</v>
      </c>
      <c r="C577" s="22"/>
      <c r="D577" s="22"/>
      <c r="E577" s="22"/>
      <c r="F577" s="22"/>
    </row>
    <row r="578" spans="1:6">
      <c r="A578" s="28">
        <v>44413</v>
      </c>
      <c r="B578" s="22">
        <v>31</v>
      </c>
      <c r="C578" s="22"/>
      <c r="D578" s="22"/>
      <c r="E578" s="22"/>
      <c r="F578" s="22"/>
    </row>
    <row r="579" spans="1:6">
      <c r="A579" s="28">
        <v>44414</v>
      </c>
      <c r="B579" s="22">
        <v>31</v>
      </c>
      <c r="C579" s="22"/>
      <c r="D579" s="22"/>
      <c r="E579" s="22"/>
      <c r="F579" s="22"/>
    </row>
    <row r="580" spans="1:6">
      <c r="A580" s="28">
        <v>44415</v>
      </c>
      <c r="B580" s="22">
        <v>31</v>
      </c>
      <c r="C580" s="22"/>
      <c r="D580" s="22"/>
      <c r="E580" s="22"/>
      <c r="F580" s="22"/>
    </row>
    <row r="581" spans="1:6">
      <c r="A581" s="28">
        <v>44416</v>
      </c>
      <c r="B581" s="22">
        <v>31</v>
      </c>
      <c r="C581" s="22"/>
      <c r="D581" s="22"/>
      <c r="E581" s="22"/>
      <c r="F581" s="22"/>
    </row>
    <row r="582" spans="1:6">
      <c r="A582" s="28">
        <v>44417</v>
      </c>
      <c r="B582" s="22">
        <v>32</v>
      </c>
      <c r="C582" s="22"/>
      <c r="D582" s="22"/>
      <c r="E582" s="22"/>
      <c r="F582" s="22"/>
    </row>
    <row r="583" spans="1:6">
      <c r="A583" s="28">
        <v>44418</v>
      </c>
      <c r="B583" s="22">
        <v>32</v>
      </c>
      <c r="C583" s="22"/>
      <c r="D583" s="22"/>
      <c r="E583" s="22"/>
      <c r="F583" s="22"/>
    </row>
    <row r="584" spans="1:6">
      <c r="A584" s="28">
        <v>44419</v>
      </c>
      <c r="B584" s="22">
        <v>32</v>
      </c>
      <c r="C584" s="22"/>
      <c r="D584" s="22"/>
      <c r="E584" s="22"/>
      <c r="F584" s="22"/>
    </row>
    <row r="585" spans="1:6">
      <c r="A585" s="28">
        <v>44420</v>
      </c>
      <c r="B585" s="22">
        <v>32</v>
      </c>
      <c r="C585" s="22"/>
      <c r="D585" s="22"/>
      <c r="E585" s="22"/>
      <c r="F585" s="22"/>
    </row>
    <row r="586" spans="1:6">
      <c r="A586" s="28">
        <v>44421</v>
      </c>
      <c r="B586" s="22">
        <v>32</v>
      </c>
      <c r="C586" s="22"/>
      <c r="D586" s="22"/>
      <c r="E586" s="22"/>
      <c r="F586" s="22"/>
    </row>
    <row r="587" spans="1:6">
      <c r="A587" s="28">
        <v>44422</v>
      </c>
      <c r="B587" s="22">
        <v>32</v>
      </c>
      <c r="C587" s="22"/>
      <c r="D587" s="22"/>
      <c r="E587" s="22"/>
      <c r="F587" s="22"/>
    </row>
    <row r="588" spans="1:6">
      <c r="A588" s="28">
        <v>44423</v>
      </c>
      <c r="B588" s="22">
        <v>32</v>
      </c>
      <c r="C588" s="22"/>
      <c r="D588" s="22"/>
      <c r="E588" s="22"/>
      <c r="F588" s="22"/>
    </row>
    <row r="589" spans="1:6">
      <c r="A589" s="28">
        <v>44424</v>
      </c>
      <c r="B589" s="22">
        <v>33</v>
      </c>
      <c r="C589" s="22"/>
      <c r="D589" s="22"/>
      <c r="E589" s="22"/>
      <c r="F589" s="22"/>
    </row>
    <row r="590" spans="1:6">
      <c r="A590" s="28">
        <v>44425</v>
      </c>
      <c r="B590" s="22">
        <v>33</v>
      </c>
      <c r="C590" s="22"/>
      <c r="D590" s="22"/>
      <c r="E590" s="22"/>
      <c r="F590" s="22"/>
    </row>
    <row r="591" spans="1:6">
      <c r="A591" s="28">
        <v>44426</v>
      </c>
      <c r="B591" s="22">
        <v>33</v>
      </c>
      <c r="C591" s="22"/>
      <c r="D591" s="22"/>
      <c r="E591" s="22"/>
      <c r="F591" s="22"/>
    </row>
    <row r="592" spans="1:6">
      <c r="A592" s="28">
        <v>44427</v>
      </c>
      <c r="B592" s="22">
        <v>33</v>
      </c>
      <c r="C592" s="22"/>
      <c r="D592" s="22"/>
      <c r="E592" s="22"/>
      <c r="F592" s="22"/>
    </row>
    <row r="593" spans="1:6">
      <c r="A593" s="28">
        <v>44428</v>
      </c>
      <c r="B593" s="22">
        <v>33</v>
      </c>
      <c r="C593" s="22"/>
      <c r="D593" s="22"/>
      <c r="E593" s="22"/>
      <c r="F593" s="22"/>
    </row>
    <row r="594" spans="1:6">
      <c r="A594" s="28">
        <v>44429</v>
      </c>
      <c r="B594" s="22">
        <v>33</v>
      </c>
      <c r="C594" s="22"/>
      <c r="D594" s="22"/>
      <c r="E594" s="22"/>
      <c r="F594" s="22"/>
    </row>
    <row r="595" spans="1:6">
      <c r="A595" s="28">
        <v>44430</v>
      </c>
      <c r="B595" s="22">
        <v>33</v>
      </c>
      <c r="C595" s="22"/>
      <c r="D595" s="22"/>
      <c r="E595" s="22"/>
      <c r="F595" s="22"/>
    </row>
    <row r="596" spans="1:6">
      <c r="A596" s="28">
        <v>44431</v>
      </c>
      <c r="B596" s="22">
        <v>34</v>
      </c>
      <c r="C596" s="22"/>
      <c r="D596" s="22"/>
      <c r="E596" s="22"/>
      <c r="F596" s="22"/>
    </row>
    <row r="597" spans="1:6">
      <c r="A597" s="28">
        <v>44432</v>
      </c>
      <c r="B597" s="22">
        <v>34</v>
      </c>
      <c r="C597" s="22"/>
      <c r="D597" s="22"/>
      <c r="E597" s="22"/>
      <c r="F597" s="22"/>
    </row>
    <row r="598" spans="1:6">
      <c r="A598" s="28">
        <v>44433</v>
      </c>
      <c r="B598" s="22">
        <v>34</v>
      </c>
      <c r="C598" s="22"/>
      <c r="D598" s="22"/>
      <c r="E598" s="22"/>
      <c r="F598" s="22"/>
    </row>
    <row r="599" spans="1:6">
      <c r="A599" s="28">
        <v>44434</v>
      </c>
      <c r="B599" s="22">
        <v>34</v>
      </c>
      <c r="C599" s="22"/>
      <c r="D599" s="22"/>
      <c r="E599" s="22"/>
      <c r="F599" s="22"/>
    </row>
    <row r="600" spans="1:6">
      <c r="A600" s="28">
        <v>44435</v>
      </c>
      <c r="B600" s="22">
        <v>34</v>
      </c>
      <c r="C600" s="22"/>
      <c r="D600" s="22"/>
      <c r="E600" s="22"/>
      <c r="F600" s="22"/>
    </row>
    <row r="601" spans="1:6">
      <c r="A601" s="28">
        <v>44436</v>
      </c>
      <c r="B601" s="22">
        <v>34</v>
      </c>
      <c r="C601" s="22"/>
      <c r="D601" s="22"/>
      <c r="E601" s="22"/>
      <c r="F601" s="22"/>
    </row>
    <row r="602" spans="1:6">
      <c r="A602" s="28">
        <v>44437</v>
      </c>
      <c r="B602" s="22">
        <v>34</v>
      </c>
      <c r="C602" s="22"/>
      <c r="D602" s="22"/>
      <c r="E602" s="22"/>
      <c r="F602" s="22"/>
    </row>
    <row r="603" spans="1:6">
      <c r="A603" s="28">
        <v>44438</v>
      </c>
      <c r="B603" s="22">
        <v>35</v>
      </c>
      <c r="C603" s="22"/>
      <c r="D603" s="22"/>
      <c r="E603" s="22"/>
      <c r="F603" s="22"/>
    </row>
    <row r="604" spans="1:6">
      <c r="A604" s="28">
        <v>44439</v>
      </c>
      <c r="B604" s="22">
        <v>35</v>
      </c>
      <c r="C604" s="22"/>
      <c r="D604" s="22"/>
      <c r="E604" s="22"/>
      <c r="F604" s="22"/>
    </row>
    <row r="605" spans="1:6">
      <c r="A605" s="28">
        <v>44440</v>
      </c>
      <c r="B605" s="22">
        <v>35</v>
      </c>
      <c r="C605" s="22"/>
      <c r="D605" s="22"/>
      <c r="E605" s="22"/>
      <c r="F605" s="22"/>
    </row>
    <row r="606" spans="1:6">
      <c r="A606" s="28">
        <v>44441</v>
      </c>
      <c r="B606" s="22">
        <v>35</v>
      </c>
      <c r="C606" s="22"/>
      <c r="D606" s="22"/>
      <c r="E606" s="22"/>
      <c r="F606" s="22"/>
    </row>
    <row r="607" spans="1:6">
      <c r="A607" s="28">
        <v>44442</v>
      </c>
      <c r="B607" s="22">
        <v>35</v>
      </c>
      <c r="C607" s="22"/>
      <c r="D607" s="22"/>
      <c r="E607" s="22"/>
      <c r="F607" s="22"/>
    </row>
    <row r="608" spans="1:6">
      <c r="A608" s="28">
        <v>44443</v>
      </c>
      <c r="B608" s="22">
        <v>35</v>
      </c>
      <c r="C608" s="22"/>
      <c r="D608" s="22"/>
      <c r="E608" s="22"/>
      <c r="F608" s="22"/>
    </row>
    <row r="609" spans="1:6">
      <c r="A609" s="28">
        <v>44444</v>
      </c>
      <c r="B609" s="22">
        <v>35</v>
      </c>
      <c r="C609" s="22"/>
      <c r="D609" s="22"/>
      <c r="E609" s="22"/>
      <c r="F609" s="22"/>
    </row>
    <row r="610" spans="1:6">
      <c r="A610" s="28">
        <v>44445</v>
      </c>
      <c r="B610" s="22">
        <v>36</v>
      </c>
      <c r="C610" s="22"/>
      <c r="D610" s="22"/>
      <c r="E610" s="22"/>
      <c r="F610" s="22"/>
    </row>
    <row r="611" spans="1:6">
      <c r="A611" s="28">
        <v>44446</v>
      </c>
      <c r="B611" s="22">
        <v>36</v>
      </c>
      <c r="C611" s="22"/>
      <c r="D611" s="22"/>
      <c r="E611" s="22"/>
      <c r="F611" s="22"/>
    </row>
    <row r="612" spans="1:6">
      <c r="A612" s="28">
        <v>44447</v>
      </c>
      <c r="B612" s="22">
        <v>36</v>
      </c>
      <c r="C612" s="22"/>
      <c r="D612" s="22"/>
      <c r="E612" s="22"/>
      <c r="F612" s="22"/>
    </row>
    <row r="613" spans="1:6">
      <c r="A613" s="28">
        <v>44448</v>
      </c>
      <c r="B613" s="22">
        <v>36</v>
      </c>
      <c r="C613" s="22"/>
      <c r="D613" s="22"/>
      <c r="E613" s="22"/>
      <c r="F613" s="22"/>
    </row>
    <row r="614" spans="1:6">
      <c r="A614" s="28">
        <v>44449</v>
      </c>
      <c r="B614" s="22">
        <v>36</v>
      </c>
      <c r="C614" s="22"/>
      <c r="D614" s="22"/>
      <c r="E614" s="22"/>
      <c r="F614" s="22"/>
    </row>
    <row r="615" spans="1:6">
      <c r="A615" s="28">
        <v>44450</v>
      </c>
      <c r="B615" s="22">
        <v>36</v>
      </c>
      <c r="C615" s="22"/>
      <c r="D615" s="22"/>
      <c r="E615" s="22"/>
      <c r="F615" s="22"/>
    </row>
    <row r="616" spans="1:6">
      <c r="A616" s="28">
        <v>44451</v>
      </c>
      <c r="B616" s="22">
        <v>36</v>
      </c>
      <c r="C616" s="22"/>
      <c r="D616" s="22"/>
      <c r="E616" s="22"/>
      <c r="F616" s="22"/>
    </row>
    <row r="617" spans="1:6">
      <c r="A617" s="28">
        <v>44452</v>
      </c>
      <c r="B617" s="22">
        <v>37</v>
      </c>
      <c r="C617" s="22"/>
      <c r="D617" s="22"/>
      <c r="E617" s="22"/>
      <c r="F617" s="22"/>
    </row>
    <row r="618" spans="1:6">
      <c r="A618" s="28">
        <v>44453</v>
      </c>
      <c r="B618" s="22">
        <v>37</v>
      </c>
      <c r="C618" s="22"/>
      <c r="D618" s="22"/>
      <c r="E618" s="22"/>
      <c r="F618" s="22"/>
    </row>
    <row r="619" spans="1:6">
      <c r="A619" s="28">
        <v>44454</v>
      </c>
      <c r="B619" s="22">
        <v>37</v>
      </c>
      <c r="C619" s="22"/>
      <c r="D619" s="22"/>
      <c r="E619" s="22"/>
      <c r="F619" s="22"/>
    </row>
    <row r="620" spans="1:6">
      <c r="A620" s="28">
        <v>44455</v>
      </c>
      <c r="B620" s="22">
        <v>37</v>
      </c>
      <c r="C620" s="22"/>
      <c r="D620" s="22"/>
      <c r="E620" s="22"/>
      <c r="F620" s="22"/>
    </row>
    <row r="621" spans="1:6">
      <c r="A621" s="28">
        <v>44456</v>
      </c>
      <c r="B621" s="22">
        <v>37</v>
      </c>
      <c r="C621" s="22"/>
      <c r="D621" s="22"/>
      <c r="E621" s="22"/>
      <c r="F621" s="22"/>
    </row>
    <row r="622" spans="1:6">
      <c r="A622" s="28">
        <v>44457</v>
      </c>
      <c r="B622" s="22">
        <v>37</v>
      </c>
      <c r="C622" s="22"/>
      <c r="D622" s="22"/>
      <c r="E622" s="22"/>
      <c r="F622" s="22"/>
    </row>
    <row r="623" spans="1:6">
      <c r="A623" s="28">
        <v>44458</v>
      </c>
      <c r="B623" s="22">
        <v>37</v>
      </c>
      <c r="C623" s="22"/>
      <c r="D623" s="22"/>
      <c r="E623" s="22"/>
      <c r="F623" s="22"/>
    </row>
    <row r="624" spans="1:6">
      <c r="A624" s="28">
        <v>44459</v>
      </c>
      <c r="B624" s="22">
        <v>38</v>
      </c>
      <c r="C624" s="22"/>
      <c r="D624" s="22"/>
      <c r="E624" s="22"/>
      <c r="F624" s="22"/>
    </row>
    <row r="625" spans="1:6">
      <c r="A625" s="28">
        <v>44460</v>
      </c>
      <c r="B625" s="22">
        <v>38</v>
      </c>
      <c r="C625" s="22"/>
      <c r="D625" s="22"/>
      <c r="E625" s="22"/>
      <c r="F625" s="22"/>
    </row>
    <row r="626" spans="1:6">
      <c r="A626" s="28">
        <v>44461</v>
      </c>
      <c r="B626" s="22">
        <v>38</v>
      </c>
      <c r="C626" s="22"/>
      <c r="D626" s="22"/>
      <c r="E626" s="22"/>
      <c r="F626" s="22"/>
    </row>
    <row r="627" spans="1:6">
      <c r="A627" s="28">
        <v>44462</v>
      </c>
      <c r="B627" s="22">
        <v>38</v>
      </c>
      <c r="C627" s="22"/>
      <c r="D627" s="22"/>
      <c r="E627" s="22"/>
      <c r="F627" s="22"/>
    </row>
    <row r="628" spans="1:6">
      <c r="A628" s="28">
        <v>44463</v>
      </c>
      <c r="B628" s="22">
        <v>38</v>
      </c>
      <c r="C628" s="22"/>
      <c r="D628" s="22"/>
      <c r="E628" s="22"/>
      <c r="F628" s="22"/>
    </row>
    <row r="629" spans="1:6">
      <c r="A629" s="28">
        <v>44464</v>
      </c>
      <c r="B629" s="22">
        <v>38</v>
      </c>
      <c r="C629" s="22"/>
      <c r="D629" s="22"/>
      <c r="E629" s="22"/>
      <c r="F629" s="22"/>
    </row>
    <row r="630" spans="1:6">
      <c r="A630" s="28">
        <v>44465</v>
      </c>
      <c r="B630" s="22">
        <v>38</v>
      </c>
      <c r="C630" s="22"/>
      <c r="D630" s="22"/>
      <c r="E630" s="22"/>
      <c r="F630" s="22"/>
    </row>
    <row r="631" spans="1:6">
      <c r="A631" s="28">
        <v>44466</v>
      </c>
      <c r="B631" s="22">
        <v>39</v>
      </c>
      <c r="C631" s="22"/>
      <c r="D631" s="22"/>
      <c r="E631" s="22"/>
      <c r="F631" s="22"/>
    </row>
    <row r="632" spans="1:6">
      <c r="A632" s="28">
        <v>44467</v>
      </c>
      <c r="B632" s="22">
        <v>39</v>
      </c>
      <c r="C632" s="22"/>
      <c r="D632" s="22"/>
      <c r="E632" s="22"/>
      <c r="F632" s="22"/>
    </row>
    <row r="633" spans="1:6">
      <c r="A633" s="28">
        <v>44468</v>
      </c>
      <c r="B633" s="22">
        <v>39</v>
      </c>
      <c r="C633" s="22"/>
      <c r="D633" s="22"/>
      <c r="E633" s="22"/>
      <c r="F633" s="22"/>
    </row>
    <row r="634" spans="1:6">
      <c r="A634" s="28">
        <v>44469</v>
      </c>
      <c r="B634" s="22">
        <v>39</v>
      </c>
      <c r="C634" s="22"/>
      <c r="D634" s="22"/>
      <c r="E634" s="22"/>
      <c r="F634" s="22"/>
    </row>
    <row r="635" spans="1:6">
      <c r="A635" s="28">
        <v>44470</v>
      </c>
      <c r="B635" s="22">
        <v>39</v>
      </c>
      <c r="C635" s="22"/>
      <c r="D635" s="22"/>
      <c r="E635" s="22"/>
      <c r="F635" s="22"/>
    </row>
    <row r="636" spans="1:6">
      <c r="A636" s="28">
        <v>44471</v>
      </c>
      <c r="B636" s="22">
        <v>39</v>
      </c>
      <c r="C636" s="22"/>
      <c r="D636" s="22"/>
      <c r="E636" s="22"/>
      <c r="F636" s="22"/>
    </row>
    <row r="637" spans="1:6">
      <c r="A637" s="28">
        <v>44472</v>
      </c>
      <c r="B637" s="22">
        <v>39</v>
      </c>
      <c r="C637" s="22"/>
      <c r="D637" s="22"/>
      <c r="E637" s="22"/>
      <c r="F637" s="22"/>
    </row>
    <row r="638" spans="1:6">
      <c r="A638" s="28">
        <v>44473</v>
      </c>
      <c r="B638" s="22">
        <v>40</v>
      </c>
      <c r="C638" s="22"/>
      <c r="D638" s="22"/>
      <c r="E638" s="22"/>
      <c r="F638" s="22"/>
    </row>
    <row r="639" spans="1:6">
      <c r="A639" s="28">
        <v>44474</v>
      </c>
      <c r="B639" s="22">
        <v>40</v>
      </c>
      <c r="C639" s="22"/>
      <c r="D639" s="22"/>
      <c r="E639" s="22"/>
      <c r="F639" s="22"/>
    </row>
    <row r="640" spans="1:6">
      <c r="A640" s="28">
        <v>44475</v>
      </c>
      <c r="B640" s="22">
        <v>40</v>
      </c>
      <c r="C640" s="22"/>
      <c r="D640" s="22"/>
      <c r="E640" s="22"/>
      <c r="F640" s="22"/>
    </row>
    <row r="641" spans="1:6">
      <c r="A641" s="28">
        <v>44476</v>
      </c>
      <c r="B641" s="22">
        <v>40</v>
      </c>
      <c r="C641" s="22"/>
      <c r="D641" s="22"/>
      <c r="E641" s="22"/>
      <c r="F641" s="22"/>
    </row>
    <row r="642" spans="1:6">
      <c r="A642" s="28">
        <v>44477</v>
      </c>
      <c r="B642" s="22">
        <v>40</v>
      </c>
      <c r="C642" s="22"/>
      <c r="D642" s="22"/>
      <c r="E642" s="22"/>
      <c r="F642" s="22"/>
    </row>
    <row r="643" spans="1:6">
      <c r="A643" s="28">
        <v>44478</v>
      </c>
      <c r="B643" s="22">
        <v>40</v>
      </c>
      <c r="C643" s="22"/>
      <c r="D643" s="22"/>
      <c r="E643" s="22"/>
      <c r="F643" s="22"/>
    </row>
    <row r="644" spans="1:6">
      <c r="A644" s="28">
        <v>44479</v>
      </c>
      <c r="B644" s="22">
        <v>40</v>
      </c>
      <c r="C644" s="22"/>
      <c r="D644" s="22"/>
      <c r="E644" s="22"/>
      <c r="F644" s="22"/>
    </row>
    <row r="645" spans="1:6">
      <c r="A645" s="28">
        <v>44480</v>
      </c>
      <c r="B645" s="22">
        <v>41</v>
      </c>
      <c r="C645" s="22"/>
      <c r="D645" s="22"/>
      <c r="E645" s="22"/>
      <c r="F645" s="22"/>
    </row>
    <row r="646" spans="1:6">
      <c r="A646" s="28">
        <v>44481</v>
      </c>
      <c r="B646" s="22">
        <v>41</v>
      </c>
      <c r="C646" s="22"/>
      <c r="D646" s="22"/>
      <c r="E646" s="22"/>
      <c r="F646" s="22"/>
    </row>
    <row r="647" spans="1:6">
      <c r="A647" s="28">
        <v>44482</v>
      </c>
      <c r="B647" s="22">
        <v>41</v>
      </c>
      <c r="C647" s="22"/>
      <c r="D647" s="22"/>
      <c r="E647" s="22"/>
      <c r="F647" s="22"/>
    </row>
    <row r="648" spans="1:6">
      <c r="A648" s="28">
        <v>44483</v>
      </c>
      <c r="B648" s="22">
        <v>41</v>
      </c>
      <c r="C648" s="22"/>
      <c r="D648" s="22"/>
      <c r="E648" s="22"/>
      <c r="F648" s="22"/>
    </row>
    <row r="649" spans="1:6">
      <c r="A649" s="28">
        <v>44484</v>
      </c>
      <c r="B649" s="22">
        <v>41</v>
      </c>
      <c r="C649" s="22"/>
      <c r="D649" s="22"/>
      <c r="E649" s="22"/>
      <c r="F649" s="22"/>
    </row>
    <row r="650" spans="1:6">
      <c r="A650" s="28">
        <v>44485</v>
      </c>
      <c r="B650" s="22">
        <v>41</v>
      </c>
      <c r="C650" s="22"/>
      <c r="D650" s="22"/>
      <c r="E650" s="22"/>
      <c r="F650" s="22"/>
    </row>
    <row r="651" spans="1:6">
      <c r="A651" s="28">
        <v>44486</v>
      </c>
      <c r="B651" s="22">
        <v>41</v>
      </c>
      <c r="C651" s="22"/>
      <c r="D651" s="22"/>
      <c r="E651" s="22"/>
      <c r="F651" s="22"/>
    </row>
    <row r="652" spans="1:6">
      <c r="A652" s="28">
        <v>44487</v>
      </c>
      <c r="B652" s="22">
        <v>42</v>
      </c>
      <c r="C652" s="22"/>
      <c r="D652" s="22"/>
      <c r="E652" s="22"/>
      <c r="F652" s="22"/>
    </row>
    <row r="653" spans="1:6">
      <c r="A653" s="28">
        <v>44488</v>
      </c>
      <c r="B653" s="22">
        <v>42</v>
      </c>
      <c r="C653" s="22"/>
      <c r="D653" s="22"/>
      <c r="E653" s="22"/>
      <c r="F653" s="22"/>
    </row>
    <row r="654" spans="1:6">
      <c r="A654" s="28">
        <v>44489</v>
      </c>
      <c r="B654" s="22">
        <v>42</v>
      </c>
      <c r="C654" s="22"/>
      <c r="D654" s="22"/>
      <c r="E654" s="22"/>
      <c r="F654" s="22"/>
    </row>
    <row r="655" spans="1:6">
      <c r="A655" s="28">
        <v>44490</v>
      </c>
      <c r="B655" s="22">
        <v>42</v>
      </c>
      <c r="C655" s="22"/>
      <c r="D655" s="22"/>
      <c r="E655" s="22"/>
      <c r="F655" s="22"/>
    </row>
    <row r="656" spans="1:6">
      <c r="A656" s="28">
        <v>44491</v>
      </c>
      <c r="B656" s="22">
        <v>42</v>
      </c>
      <c r="C656" s="22"/>
      <c r="D656" s="22"/>
      <c r="E656" s="22"/>
      <c r="F656" s="22"/>
    </row>
    <row r="657" spans="1:6">
      <c r="A657" s="28">
        <v>44492</v>
      </c>
      <c r="B657" s="22">
        <v>42</v>
      </c>
      <c r="C657" s="22"/>
      <c r="D657" s="22"/>
      <c r="E657" s="22"/>
      <c r="F657" s="22"/>
    </row>
    <row r="658" spans="1:6">
      <c r="A658" s="28">
        <v>44493</v>
      </c>
      <c r="B658" s="22">
        <v>42</v>
      </c>
      <c r="C658" s="22"/>
      <c r="D658" s="22"/>
      <c r="E658" s="22"/>
      <c r="F658" s="22"/>
    </row>
    <row r="659" spans="1:6">
      <c r="A659" s="28">
        <v>44494</v>
      </c>
      <c r="B659" s="22">
        <v>43</v>
      </c>
      <c r="C659" s="22"/>
      <c r="D659" s="22"/>
      <c r="E659" s="22"/>
      <c r="F659" s="22"/>
    </row>
    <row r="660" spans="1:6">
      <c r="A660" s="28">
        <v>44495</v>
      </c>
      <c r="B660" s="22">
        <v>43</v>
      </c>
      <c r="C660" s="22"/>
      <c r="D660" s="22"/>
      <c r="E660" s="22"/>
      <c r="F660" s="22"/>
    </row>
    <row r="661" spans="1:6">
      <c r="A661" s="28">
        <v>44496</v>
      </c>
      <c r="B661" s="22">
        <v>43</v>
      </c>
      <c r="C661" s="22"/>
      <c r="D661" s="22"/>
      <c r="E661" s="22"/>
      <c r="F661" s="22"/>
    </row>
    <row r="662" spans="1:6">
      <c r="A662" s="28">
        <v>44497</v>
      </c>
      <c r="B662" s="22">
        <v>43</v>
      </c>
      <c r="C662" s="22"/>
      <c r="D662" s="22"/>
      <c r="E662" s="22"/>
      <c r="F662" s="22"/>
    </row>
    <row r="663" spans="1:6">
      <c r="A663" s="28">
        <v>44498</v>
      </c>
      <c r="B663" s="22">
        <v>43</v>
      </c>
      <c r="C663" s="22"/>
      <c r="D663" s="22"/>
      <c r="E663" s="22"/>
      <c r="F663" s="22"/>
    </row>
    <row r="664" spans="1:6">
      <c r="A664" s="28">
        <v>44499</v>
      </c>
      <c r="B664" s="22">
        <v>43</v>
      </c>
      <c r="C664" s="22"/>
      <c r="D664" s="22"/>
      <c r="E664" s="22"/>
      <c r="F664" s="22"/>
    </row>
    <row r="665" spans="1:6">
      <c r="A665" s="28">
        <v>44500</v>
      </c>
      <c r="B665" s="22">
        <v>43</v>
      </c>
      <c r="C665" s="22"/>
      <c r="D665" s="22"/>
      <c r="E665" s="22"/>
      <c r="F665" s="22"/>
    </row>
    <row r="666" spans="1:6">
      <c r="A666" s="28">
        <v>44501</v>
      </c>
      <c r="B666" s="22">
        <v>44</v>
      </c>
      <c r="C666" s="22"/>
      <c r="D666" s="22"/>
      <c r="E666" s="22"/>
      <c r="F666" s="22"/>
    </row>
    <row r="667" spans="1:6">
      <c r="A667" s="28">
        <v>44502</v>
      </c>
      <c r="B667" s="22">
        <v>44</v>
      </c>
      <c r="C667" s="22"/>
      <c r="D667" s="22"/>
      <c r="E667" s="22"/>
      <c r="F667" s="22"/>
    </row>
    <row r="668" spans="1:6">
      <c r="A668" s="28">
        <v>44503</v>
      </c>
      <c r="B668" s="22">
        <v>44</v>
      </c>
      <c r="C668" s="22"/>
      <c r="D668" s="22"/>
      <c r="E668" s="22"/>
      <c r="F668" s="22"/>
    </row>
    <row r="669" spans="1:6">
      <c r="A669" s="28">
        <v>44504</v>
      </c>
      <c r="B669" s="22">
        <v>44</v>
      </c>
      <c r="C669" s="22"/>
      <c r="D669" s="22"/>
      <c r="E669" s="22"/>
      <c r="F669" s="22"/>
    </row>
    <row r="670" spans="1:6">
      <c r="A670" s="28">
        <v>44505</v>
      </c>
      <c r="B670" s="22">
        <v>44</v>
      </c>
      <c r="C670" s="22"/>
      <c r="D670" s="22"/>
      <c r="E670" s="22"/>
      <c r="F670" s="22"/>
    </row>
    <row r="671" spans="1:6">
      <c r="A671" s="28">
        <v>44506</v>
      </c>
      <c r="B671" s="22">
        <v>44</v>
      </c>
      <c r="C671" s="22"/>
      <c r="D671" s="22"/>
      <c r="E671" s="22"/>
      <c r="F671" s="22"/>
    </row>
    <row r="672" spans="1:6">
      <c r="A672" s="28">
        <v>44507</v>
      </c>
      <c r="B672" s="22">
        <v>44</v>
      </c>
      <c r="C672" s="22"/>
      <c r="D672" s="22"/>
      <c r="E672" s="22"/>
      <c r="F672" s="22"/>
    </row>
    <row r="673" spans="1:6">
      <c r="A673" s="28">
        <v>44508</v>
      </c>
      <c r="B673" s="22">
        <v>45</v>
      </c>
      <c r="C673" s="22"/>
      <c r="D673" s="22"/>
      <c r="E673" s="22"/>
      <c r="F673" s="22"/>
    </row>
    <row r="674" spans="1:6">
      <c r="A674" s="28">
        <v>44509</v>
      </c>
      <c r="B674" s="22">
        <v>45</v>
      </c>
      <c r="C674" s="22"/>
      <c r="D674" s="22"/>
      <c r="E674" s="22"/>
      <c r="F674" s="22"/>
    </row>
    <row r="675" spans="1:6">
      <c r="A675" s="28">
        <v>44510</v>
      </c>
      <c r="B675" s="22">
        <v>45</v>
      </c>
      <c r="C675" s="22"/>
      <c r="D675" s="22"/>
      <c r="E675" s="22"/>
      <c r="F675" s="22"/>
    </row>
    <row r="676" spans="1:6">
      <c r="A676" s="28">
        <v>44511</v>
      </c>
      <c r="B676" s="22">
        <v>45</v>
      </c>
      <c r="C676" s="22"/>
      <c r="D676" s="22"/>
      <c r="E676" s="22"/>
      <c r="F676" s="22"/>
    </row>
    <row r="677" spans="1:6">
      <c r="A677" s="28">
        <v>44512</v>
      </c>
      <c r="B677" s="22">
        <v>45</v>
      </c>
      <c r="C677" s="22"/>
      <c r="D677" s="22"/>
      <c r="E677" s="22"/>
      <c r="F677" s="22"/>
    </row>
    <row r="678" spans="1:6">
      <c r="A678" s="28">
        <v>44513</v>
      </c>
      <c r="B678" s="22">
        <v>45</v>
      </c>
      <c r="C678" s="22"/>
      <c r="D678" s="22"/>
      <c r="E678" s="22"/>
      <c r="F678" s="22"/>
    </row>
    <row r="679" spans="1:6">
      <c r="A679" s="28">
        <v>44514</v>
      </c>
      <c r="B679" s="22">
        <v>45</v>
      </c>
      <c r="C679" s="22"/>
      <c r="D679" s="22"/>
      <c r="E679" s="22"/>
      <c r="F679" s="22"/>
    </row>
    <row r="680" spans="1:6">
      <c r="A680" s="28">
        <v>44515</v>
      </c>
      <c r="B680" s="22">
        <v>46</v>
      </c>
      <c r="C680" s="22"/>
      <c r="D680" s="22"/>
      <c r="E680" s="22"/>
      <c r="F680" s="22"/>
    </row>
    <row r="681" spans="1:6">
      <c r="A681" s="28">
        <v>44516</v>
      </c>
      <c r="B681" s="22">
        <v>46</v>
      </c>
      <c r="C681" s="22"/>
      <c r="D681" s="22"/>
      <c r="E681" s="22"/>
      <c r="F681" s="22"/>
    </row>
    <row r="682" spans="1:6">
      <c r="A682" s="28">
        <v>44517</v>
      </c>
      <c r="B682" s="22">
        <v>46</v>
      </c>
      <c r="C682" s="22"/>
      <c r="D682" s="22"/>
      <c r="E682" s="22"/>
      <c r="F682" s="22"/>
    </row>
    <row r="683" spans="1:6">
      <c r="A683" s="28">
        <v>44518</v>
      </c>
      <c r="B683" s="22">
        <v>46</v>
      </c>
      <c r="C683" s="22"/>
      <c r="D683" s="22"/>
      <c r="E683" s="22"/>
      <c r="F683" s="22"/>
    </row>
    <row r="684" spans="1:6">
      <c r="A684" s="28">
        <v>44519</v>
      </c>
      <c r="B684" s="22">
        <v>46</v>
      </c>
      <c r="C684" s="22"/>
      <c r="D684" s="22"/>
      <c r="E684" s="22"/>
      <c r="F684" s="22"/>
    </row>
    <row r="685" spans="1:6">
      <c r="A685" s="28">
        <v>44520</v>
      </c>
      <c r="B685" s="22">
        <v>46</v>
      </c>
      <c r="C685" s="22"/>
      <c r="D685" s="22"/>
      <c r="E685" s="22"/>
      <c r="F685" s="22"/>
    </row>
    <row r="686" spans="1:6">
      <c r="A686" s="28">
        <v>44521</v>
      </c>
      <c r="B686" s="22">
        <v>46</v>
      </c>
      <c r="C686" s="22"/>
      <c r="D686" s="22"/>
      <c r="E686" s="22"/>
      <c r="F686" s="22"/>
    </row>
    <row r="687" spans="1:6">
      <c r="A687" s="28">
        <v>44522</v>
      </c>
      <c r="B687" s="22">
        <v>47</v>
      </c>
      <c r="C687" s="22"/>
      <c r="D687" s="22"/>
      <c r="E687" s="22"/>
      <c r="F687" s="22"/>
    </row>
    <row r="688" spans="1:6">
      <c r="A688" s="28">
        <v>44523</v>
      </c>
      <c r="B688" s="22">
        <v>47</v>
      </c>
      <c r="C688" s="22"/>
      <c r="D688" s="22"/>
      <c r="E688" s="22"/>
      <c r="F688" s="22"/>
    </row>
    <row r="689" spans="1:6">
      <c r="A689" s="28">
        <v>44524</v>
      </c>
      <c r="B689" s="22">
        <v>47</v>
      </c>
      <c r="C689" s="22"/>
      <c r="D689" s="22"/>
      <c r="E689" s="22"/>
      <c r="F689" s="22"/>
    </row>
    <row r="690" spans="1:6">
      <c r="A690" s="28">
        <v>44525</v>
      </c>
      <c r="B690" s="22">
        <v>47</v>
      </c>
      <c r="C690" s="22"/>
      <c r="D690" s="22"/>
      <c r="E690" s="22"/>
      <c r="F690" s="22"/>
    </row>
    <row r="691" spans="1:6">
      <c r="A691" s="28">
        <v>44526</v>
      </c>
      <c r="B691" s="22">
        <v>47</v>
      </c>
      <c r="C691" s="22"/>
      <c r="D691" s="22"/>
      <c r="E691" s="22"/>
      <c r="F691" s="22"/>
    </row>
    <row r="692" spans="1:6">
      <c r="A692" s="28">
        <v>44527</v>
      </c>
      <c r="B692" s="22">
        <v>47</v>
      </c>
      <c r="C692" s="22"/>
      <c r="D692" s="22"/>
      <c r="E692" s="22"/>
      <c r="F692" s="22"/>
    </row>
    <row r="693" spans="1:6">
      <c r="A693" s="28">
        <v>44528</v>
      </c>
      <c r="B693" s="22">
        <v>47</v>
      </c>
      <c r="C693" s="22"/>
      <c r="D693" s="22"/>
      <c r="E693" s="22"/>
      <c r="F693" s="22"/>
    </row>
    <row r="694" spans="1:6">
      <c r="A694" s="28">
        <v>44529</v>
      </c>
      <c r="B694" s="22">
        <v>48</v>
      </c>
      <c r="C694" s="22"/>
      <c r="D694" s="22"/>
      <c r="E694" s="22"/>
      <c r="F694" s="22"/>
    </row>
    <row r="695" spans="1:6">
      <c r="A695" s="28">
        <v>44530</v>
      </c>
      <c r="B695" s="22">
        <v>48</v>
      </c>
      <c r="C695" s="22"/>
      <c r="D695" s="22"/>
      <c r="E695" s="22"/>
      <c r="F695" s="22"/>
    </row>
    <row r="696" spans="1:6">
      <c r="A696" s="28">
        <v>44531</v>
      </c>
      <c r="B696" s="22">
        <v>48</v>
      </c>
      <c r="C696" s="22"/>
      <c r="D696" s="22"/>
      <c r="E696" s="22"/>
      <c r="F696" s="22"/>
    </row>
    <row r="697" spans="1:6">
      <c r="A697" s="28">
        <v>44532</v>
      </c>
      <c r="B697" s="22">
        <v>48</v>
      </c>
      <c r="C697" s="22"/>
      <c r="D697" s="22"/>
      <c r="E697" s="22"/>
      <c r="F697" s="22"/>
    </row>
    <row r="698" spans="1:6">
      <c r="A698" s="28">
        <v>44533</v>
      </c>
      <c r="B698" s="22">
        <v>48</v>
      </c>
      <c r="C698" s="22"/>
      <c r="D698" s="22"/>
      <c r="E698" s="22"/>
      <c r="F698" s="22"/>
    </row>
    <row r="699" spans="1:6">
      <c r="A699" s="28">
        <v>44534</v>
      </c>
      <c r="B699" s="22">
        <v>48</v>
      </c>
      <c r="C699" s="22"/>
      <c r="D699" s="22"/>
      <c r="E699" s="22"/>
      <c r="F699" s="22"/>
    </row>
    <row r="700" spans="1:6">
      <c r="A700" s="28">
        <v>44535</v>
      </c>
      <c r="B700" s="22">
        <v>48</v>
      </c>
      <c r="C700" s="22"/>
      <c r="D700" s="22"/>
      <c r="E700" s="22"/>
      <c r="F700" s="22"/>
    </row>
    <row r="701" spans="1:6">
      <c r="A701" s="28">
        <v>44536</v>
      </c>
      <c r="B701" s="22">
        <v>49</v>
      </c>
      <c r="C701" s="22"/>
      <c r="D701" s="22"/>
      <c r="E701" s="22"/>
      <c r="F701" s="22"/>
    </row>
    <row r="702" spans="1:6">
      <c r="A702" s="28">
        <v>44537</v>
      </c>
      <c r="B702" s="22">
        <v>49</v>
      </c>
      <c r="C702" s="22"/>
      <c r="D702" s="22"/>
      <c r="E702" s="22"/>
      <c r="F702" s="22"/>
    </row>
    <row r="703" spans="1:6">
      <c r="A703" s="28">
        <v>44538</v>
      </c>
      <c r="B703" s="22">
        <v>49</v>
      </c>
      <c r="C703" s="22"/>
      <c r="D703" s="22"/>
      <c r="E703" s="22"/>
      <c r="F703" s="22"/>
    </row>
    <row r="704" spans="1:6">
      <c r="A704" s="28">
        <v>44539</v>
      </c>
      <c r="B704" s="22">
        <v>49</v>
      </c>
      <c r="C704" s="22"/>
      <c r="D704" s="22"/>
      <c r="E704" s="22"/>
      <c r="F704" s="22"/>
    </row>
    <row r="705" spans="1:6">
      <c r="A705" s="28">
        <v>44540</v>
      </c>
      <c r="B705" s="22">
        <v>49</v>
      </c>
      <c r="C705" s="22"/>
      <c r="D705" s="22"/>
      <c r="E705" s="22"/>
      <c r="F705" s="22"/>
    </row>
    <row r="706" spans="1:6">
      <c r="A706" s="28">
        <v>44541</v>
      </c>
      <c r="B706" s="22">
        <v>49</v>
      </c>
      <c r="C706" s="22"/>
      <c r="D706" s="22"/>
      <c r="E706" s="22"/>
      <c r="F706" s="22"/>
    </row>
    <row r="707" spans="1:6">
      <c r="A707" s="28">
        <v>44542</v>
      </c>
      <c r="B707" s="22">
        <v>49</v>
      </c>
      <c r="C707" s="22"/>
      <c r="D707" s="22"/>
      <c r="E707" s="22"/>
      <c r="F707" s="22"/>
    </row>
    <row r="708" spans="1:6">
      <c r="A708" s="28">
        <v>44543</v>
      </c>
      <c r="B708" s="22">
        <v>50</v>
      </c>
      <c r="C708" s="22"/>
      <c r="D708" s="22"/>
      <c r="E708" s="22"/>
      <c r="F708" s="22"/>
    </row>
    <row r="709" spans="1:6">
      <c r="A709" s="28">
        <v>44544</v>
      </c>
      <c r="B709" s="22">
        <v>50</v>
      </c>
      <c r="C709" s="22"/>
      <c r="D709" s="22"/>
      <c r="E709" s="22"/>
      <c r="F709" s="22"/>
    </row>
    <row r="710" spans="1:6">
      <c r="A710" s="28">
        <v>44545</v>
      </c>
      <c r="B710" s="22">
        <v>50</v>
      </c>
      <c r="C710" s="22"/>
      <c r="D710" s="22"/>
      <c r="E710" s="22"/>
      <c r="F710" s="22"/>
    </row>
    <row r="711" spans="1:6">
      <c r="A711" s="28">
        <v>44546</v>
      </c>
      <c r="B711" s="22">
        <v>50</v>
      </c>
      <c r="C711" s="22"/>
      <c r="D711" s="22"/>
      <c r="E711" s="22"/>
      <c r="F711" s="22"/>
    </row>
    <row r="712" spans="1:6">
      <c r="A712" s="28">
        <v>44547</v>
      </c>
      <c r="B712" s="22">
        <v>50</v>
      </c>
      <c r="C712" s="22"/>
      <c r="D712" s="22"/>
      <c r="E712" s="22"/>
      <c r="F712" s="22"/>
    </row>
    <row r="713" spans="1:6">
      <c r="A713" s="28">
        <v>44548</v>
      </c>
      <c r="B713" s="22">
        <v>50</v>
      </c>
      <c r="C713" s="22"/>
      <c r="D713" s="22"/>
      <c r="E713" s="22"/>
      <c r="F713" s="22"/>
    </row>
    <row r="714" spans="1:6">
      <c r="A714" s="28">
        <v>44549</v>
      </c>
      <c r="B714" s="22">
        <v>50</v>
      </c>
      <c r="C714" s="22"/>
      <c r="D714" s="22"/>
      <c r="E714" s="22"/>
      <c r="F714" s="22"/>
    </row>
    <row r="715" spans="1:6">
      <c r="A715" s="28">
        <v>44550</v>
      </c>
      <c r="B715" s="22">
        <v>51</v>
      </c>
      <c r="C715" s="22"/>
      <c r="D715" s="22"/>
      <c r="E715" s="22"/>
      <c r="F715" s="22"/>
    </row>
    <row r="716" spans="1:6">
      <c r="A716" s="28">
        <v>44551</v>
      </c>
      <c r="B716" s="22">
        <v>51</v>
      </c>
      <c r="C716" s="22"/>
      <c r="D716" s="22"/>
      <c r="E716" s="22"/>
      <c r="F716" s="22"/>
    </row>
    <row r="717" spans="1:6">
      <c r="A717" s="28">
        <v>44552</v>
      </c>
      <c r="B717" s="22">
        <v>51</v>
      </c>
      <c r="C717" s="22"/>
      <c r="D717" s="22"/>
      <c r="E717" s="22"/>
      <c r="F717" s="22"/>
    </row>
    <row r="718" spans="1:6">
      <c r="A718" s="28">
        <v>44553</v>
      </c>
      <c r="B718" s="22">
        <v>51</v>
      </c>
      <c r="C718" s="22"/>
      <c r="D718" s="22"/>
      <c r="E718" s="22"/>
      <c r="F718" s="22"/>
    </row>
    <row r="719" spans="1:6">
      <c r="A719" s="28">
        <v>44554</v>
      </c>
      <c r="B719" s="22">
        <v>51</v>
      </c>
      <c r="C719" s="22"/>
      <c r="D719" s="22"/>
      <c r="E719" s="22"/>
      <c r="F719" s="22"/>
    </row>
    <row r="720" spans="1:6">
      <c r="A720" s="28">
        <v>44555</v>
      </c>
      <c r="B720" s="22">
        <v>51</v>
      </c>
      <c r="C720" s="22"/>
      <c r="D720" s="22"/>
      <c r="E720" s="22"/>
      <c r="F720" s="22"/>
    </row>
    <row r="721" spans="1:6">
      <c r="A721" s="28">
        <v>44556</v>
      </c>
      <c r="B721" s="22">
        <v>51</v>
      </c>
      <c r="C721" s="22"/>
      <c r="D721" s="22"/>
      <c r="E721" s="22"/>
      <c r="F721" s="22"/>
    </row>
    <row r="722" spans="1:6">
      <c r="A722" s="28">
        <v>44557</v>
      </c>
      <c r="B722" s="22">
        <v>52</v>
      </c>
      <c r="C722" s="22"/>
      <c r="D722" s="22"/>
      <c r="E722" s="22"/>
      <c r="F722" s="22"/>
    </row>
    <row r="723" spans="1:6">
      <c r="A723" s="28">
        <v>44558</v>
      </c>
      <c r="B723" s="22">
        <v>52</v>
      </c>
      <c r="C723" s="22"/>
      <c r="D723" s="22"/>
      <c r="E723" s="22"/>
      <c r="F723" s="22"/>
    </row>
    <row r="724" spans="1:6">
      <c r="A724" s="28">
        <v>44559</v>
      </c>
      <c r="B724" s="22">
        <v>52</v>
      </c>
      <c r="C724" s="22"/>
      <c r="D724" s="22"/>
      <c r="E724" s="22"/>
      <c r="F724" s="22"/>
    </row>
    <row r="725" spans="1:6">
      <c r="A725" s="28">
        <v>44560</v>
      </c>
      <c r="B725" s="22">
        <v>52</v>
      </c>
      <c r="C725" s="22"/>
      <c r="D725" s="22"/>
      <c r="E725" s="22"/>
      <c r="F725" s="22"/>
    </row>
    <row r="726" spans="1:6">
      <c r="A726" s="28">
        <v>44561</v>
      </c>
      <c r="B726" s="22">
        <v>52</v>
      </c>
      <c r="C726" s="22"/>
      <c r="D726" s="22"/>
      <c r="E726" s="22"/>
      <c r="F726" s="22"/>
    </row>
    <row r="727" spans="1:6">
      <c r="A727" s="28">
        <v>44562</v>
      </c>
      <c r="B727" s="22">
        <v>52</v>
      </c>
      <c r="C727" s="22"/>
      <c r="D727" s="22"/>
      <c r="E727" s="22"/>
      <c r="F727" s="22"/>
    </row>
    <row r="728" spans="1:6">
      <c r="A728" s="28">
        <v>44563</v>
      </c>
      <c r="B728" s="22">
        <v>52</v>
      </c>
      <c r="C728" s="22"/>
      <c r="D728" s="22"/>
      <c r="E728" s="22"/>
      <c r="F728" s="22"/>
    </row>
    <row r="729" spans="1:6">
      <c r="A729" s="28">
        <v>44564</v>
      </c>
      <c r="B729" s="22">
        <v>1</v>
      </c>
      <c r="C729" s="22"/>
      <c r="D729" s="22"/>
      <c r="E729" s="22"/>
      <c r="F729" s="22"/>
    </row>
    <row r="730" spans="1:6">
      <c r="A730" s="28">
        <v>44565</v>
      </c>
      <c r="B730" s="22">
        <v>1</v>
      </c>
      <c r="C730" s="22"/>
      <c r="D730" s="22"/>
      <c r="E730" s="22"/>
      <c r="F730" s="22"/>
    </row>
    <row r="731" spans="1:6">
      <c r="A731" s="28">
        <v>44566</v>
      </c>
      <c r="B731" s="22">
        <v>1</v>
      </c>
      <c r="C731" s="22"/>
      <c r="D731" s="22"/>
      <c r="E731" s="22"/>
      <c r="F731" s="22"/>
    </row>
    <row r="732" spans="1:6">
      <c r="A732" s="28">
        <v>44567</v>
      </c>
      <c r="B732" s="22">
        <v>1</v>
      </c>
      <c r="C732" s="22"/>
      <c r="D732" s="22"/>
      <c r="E732" s="22"/>
      <c r="F732" s="22"/>
    </row>
    <row r="733" spans="1:6">
      <c r="A733" s="28">
        <v>44568</v>
      </c>
      <c r="B733" s="22">
        <v>1</v>
      </c>
      <c r="C733" s="22">
        <f>(79/20)</f>
        <v>3.95</v>
      </c>
      <c r="D733" s="22">
        <f>(5/20)</f>
        <v>0.25</v>
      </c>
      <c r="E733" s="22"/>
      <c r="F733" s="22"/>
    </row>
    <row r="734" spans="1:6">
      <c r="A734" s="28">
        <v>44569</v>
      </c>
      <c r="B734" s="22">
        <v>1</v>
      </c>
      <c r="C734" s="22">
        <f t="shared" ref="C734:C751" si="0">(79/20)</f>
        <v>3.95</v>
      </c>
      <c r="D734" s="22">
        <f t="shared" ref="D734:D752" si="1">(5/20)</f>
        <v>0.25</v>
      </c>
      <c r="E734" s="22"/>
      <c r="F734" s="22"/>
    </row>
    <row r="735" spans="1:6">
      <c r="A735" s="28">
        <v>44570</v>
      </c>
      <c r="B735" s="22">
        <v>1</v>
      </c>
      <c r="C735" s="22">
        <f t="shared" si="0"/>
        <v>3.95</v>
      </c>
      <c r="D735" s="22">
        <f t="shared" si="1"/>
        <v>0.25</v>
      </c>
      <c r="E735" s="22"/>
      <c r="F735" s="22"/>
    </row>
    <row r="736" spans="1:6">
      <c r="A736" s="28">
        <v>44571</v>
      </c>
      <c r="B736" s="22">
        <v>2</v>
      </c>
      <c r="C736" s="22">
        <f t="shared" si="0"/>
        <v>3.95</v>
      </c>
      <c r="D736" s="22">
        <f t="shared" si="1"/>
        <v>0.25</v>
      </c>
      <c r="E736" s="22"/>
      <c r="F736" s="22"/>
    </row>
    <row r="737" spans="1:6">
      <c r="A737" s="28">
        <v>44572</v>
      </c>
      <c r="B737" s="22">
        <v>2</v>
      </c>
      <c r="C737" s="22">
        <f t="shared" si="0"/>
        <v>3.95</v>
      </c>
      <c r="D737" s="22">
        <f t="shared" si="1"/>
        <v>0.25</v>
      </c>
      <c r="E737" s="22"/>
      <c r="F737" s="22"/>
    </row>
    <row r="738" spans="1:6">
      <c r="A738" s="28">
        <v>44573</v>
      </c>
      <c r="B738" s="22">
        <v>2</v>
      </c>
      <c r="C738" s="22">
        <f t="shared" si="0"/>
        <v>3.95</v>
      </c>
      <c r="D738" s="22">
        <f t="shared" si="1"/>
        <v>0.25</v>
      </c>
      <c r="E738" s="22"/>
      <c r="F738" s="22"/>
    </row>
    <row r="739" spans="1:6">
      <c r="A739" s="28">
        <v>44574</v>
      </c>
      <c r="B739" s="22">
        <v>2</v>
      </c>
      <c r="C739" s="22">
        <f t="shared" si="0"/>
        <v>3.95</v>
      </c>
      <c r="D739" s="22">
        <f t="shared" si="1"/>
        <v>0.25</v>
      </c>
      <c r="E739" s="22"/>
      <c r="F739" s="22"/>
    </row>
    <row r="740" spans="1:6">
      <c r="A740" s="28">
        <v>44575</v>
      </c>
      <c r="B740" s="22">
        <v>2</v>
      </c>
      <c r="C740" s="22">
        <f t="shared" si="0"/>
        <v>3.95</v>
      </c>
      <c r="D740" s="22">
        <f t="shared" si="1"/>
        <v>0.25</v>
      </c>
      <c r="E740" s="22"/>
      <c r="F740" s="22"/>
    </row>
    <row r="741" spans="1:6">
      <c r="A741" s="28">
        <v>44576</v>
      </c>
      <c r="B741" s="22">
        <v>2</v>
      </c>
      <c r="C741" s="22">
        <f t="shared" si="0"/>
        <v>3.95</v>
      </c>
      <c r="D741" s="22">
        <f t="shared" si="1"/>
        <v>0.25</v>
      </c>
      <c r="E741" s="22"/>
      <c r="F741" s="22"/>
    </row>
    <row r="742" spans="1:6">
      <c r="A742" s="28">
        <v>44577</v>
      </c>
      <c r="B742" s="22">
        <v>2</v>
      </c>
      <c r="C742" s="22">
        <f t="shared" si="0"/>
        <v>3.95</v>
      </c>
      <c r="D742" s="22">
        <f t="shared" si="1"/>
        <v>0.25</v>
      </c>
      <c r="E742" s="22"/>
      <c r="F742" s="22"/>
    </row>
    <row r="743" spans="1:6">
      <c r="A743" s="28">
        <v>44578</v>
      </c>
      <c r="B743" s="22">
        <v>3</v>
      </c>
      <c r="C743" s="22">
        <f t="shared" si="0"/>
        <v>3.95</v>
      </c>
      <c r="D743" s="22">
        <f t="shared" si="1"/>
        <v>0.25</v>
      </c>
      <c r="E743" s="22"/>
      <c r="F743" s="22"/>
    </row>
    <row r="744" spans="1:6">
      <c r="A744" s="28">
        <v>44579</v>
      </c>
      <c r="B744" s="22">
        <v>3</v>
      </c>
      <c r="C744" s="22">
        <f t="shared" si="0"/>
        <v>3.95</v>
      </c>
      <c r="D744" s="22">
        <f t="shared" si="1"/>
        <v>0.25</v>
      </c>
      <c r="E744" s="22"/>
      <c r="F744" s="22"/>
    </row>
    <row r="745" spans="1:6">
      <c r="A745" s="28">
        <v>44580</v>
      </c>
      <c r="B745" s="22">
        <v>3</v>
      </c>
      <c r="C745" s="22">
        <f t="shared" si="0"/>
        <v>3.95</v>
      </c>
      <c r="D745" s="22">
        <f t="shared" si="1"/>
        <v>0.25</v>
      </c>
      <c r="E745" s="22"/>
      <c r="F745" s="22"/>
    </row>
    <row r="746" spans="1:6">
      <c r="A746" s="28">
        <v>44581</v>
      </c>
      <c r="B746" s="22">
        <v>3</v>
      </c>
      <c r="C746" s="22">
        <f t="shared" si="0"/>
        <v>3.95</v>
      </c>
      <c r="D746" s="22">
        <f t="shared" si="1"/>
        <v>0.25</v>
      </c>
      <c r="E746" s="22"/>
      <c r="F746" s="22"/>
    </row>
    <row r="747" spans="1:6">
      <c r="A747" s="28">
        <v>44582</v>
      </c>
      <c r="B747" s="22">
        <v>3</v>
      </c>
      <c r="C747" s="22">
        <f t="shared" si="0"/>
        <v>3.95</v>
      </c>
      <c r="D747" s="22">
        <f t="shared" si="1"/>
        <v>0.25</v>
      </c>
      <c r="E747" s="22"/>
      <c r="F747" s="22"/>
    </row>
    <row r="748" spans="1:6">
      <c r="A748" s="28">
        <v>44583</v>
      </c>
      <c r="B748" s="22">
        <v>3</v>
      </c>
      <c r="C748" s="22">
        <f t="shared" si="0"/>
        <v>3.95</v>
      </c>
      <c r="D748" s="22">
        <f t="shared" si="1"/>
        <v>0.25</v>
      </c>
      <c r="E748" s="22"/>
      <c r="F748" s="22"/>
    </row>
    <row r="749" spans="1:6">
      <c r="A749" s="28">
        <v>44584</v>
      </c>
      <c r="B749" s="22">
        <v>3</v>
      </c>
      <c r="C749" s="22">
        <f t="shared" si="0"/>
        <v>3.95</v>
      </c>
      <c r="D749" s="22">
        <f t="shared" si="1"/>
        <v>0.25</v>
      </c>
      <c r="E749" s="22"/>
      <c r="F749" s="22"/>
    </row>
    <row r="750" spans="1:6">
      <c r="A750" s="28">
        <v>44585</v>
      </c>
      <c r="B750" s="22">
        <v>4</v>
      </c>
      <c r="C750" s="22">
        <f t="shared" si="0"/>
        <v>3.95</v>
      </c>
      <c r="D750" s="22">
        <f t="shared" si="1"/>
        <v>0.25</v>
      </c>
      <c r="E750" s="22"/>
      <c r="F750" s="22"/>
    </row>
    <row r="751" spans="1:6">
      <c r="A751" s="28">
        <v>44586</v>
      </c>
      <c r="B751" s="22">
        <v>4</v>
      </c>
      <c r="C751" s="22">
        <f t="shared" si="0"/>
        <v>3.95</v>
      </c>
      <c r="D751" s="22">
        <f t="shared" si="1"/>
        <v>0.25</v>
      </c>
      <c r="E751" s="22"/>
      <c r="F751" s="22"/>
    </row>
    <row r="752" spans="1:6">
      <c r="A752" s="28">
        <v>44587</v>
      </c>
      <c r="B752" s="22">
        <v>4</v>
      </c>
      <c r="C752" s="22">
        <f>3+(79/20)</f>
        <v>6.95</v>
      </c>
      <c r="D752" s="22">
        <f t="shared" si="1"/>
        <v>0.25</v>
      </c>
      <c r="E752" s="22"/>
      <c r="F752" s="22"/>
    </row>
    <row r="753" spans="1:6">
      <c r="A753" s="28">
        <v>44588</v>
      </c>
      <c r="B753" s="22">
        <v>4</v>
      </c>
      <c r="C753" s="22"/>
      <c r="D753" s="22"/>
      <c r="E753" s="22"/>
      <c r="F753" s="22"/>
    </row>
    <row r="754" spans="1:6">
      <c r="A754" s="28">
        <v>44589</v>
      </c>
      <c r="B754" s="22">
        <v>4</v>
      </c>
      <c r="C754" s="22"/>
      <c r="D754" s="22"/>
      <c r="E754" s="22"/>
      <c r="F754" s="22"/>
    </row>
    <row r="755" spans="1:6">
      <c r="A755" s="28">
        <v>44590</v>
      </c>
      <c r="B755" s="22">
        <v>4</v>
      </c>
      <c r="C755" s="22"/>
      <c r="D755" s="22"/>
      <c r="E755" s="22"/>
      <c r="F755" s="22"/>
    </row>
    <row r="756" spans="1:6">
      <c r="A756" s="28">
        <v>44591</v>
      </c>
      <c r="B756" s="22">
        <v>4</v>
      </c>
      <c r="C756" s="22"/>
      <c r="D756" s="22"/>
      <c r="E756" s="22"/>
      <c r="F756" s="22"/>
    </row>
    <row r="757" spans="1:6">
      <c r="A757" s="28">
        <v>44592</v>
      </c>
      <c r="B757" s="22">
        <v>5</v>
      </c>
      <c r="C757" s="22"/>
      <c r="D757" s="22"/>
      <c r="E757" s="22"/>
      <c r="F757" s="22"/>
    </row>
    <row r="758" spans="1:6">
      <c r="A758" s="49">
        <v>44593</v>
      </c>
      <c r="B758" s="52">
        <v>5</v>
      </c>
      <c r="C758" s="52"/>
      <c r="D758" s="52"/>
      <c r="E758" s="52"/>
      <c r="F758" s="52"/>
    </row>
    <row r="759" spans="1:6">
      <c r="A759" s="49">
        <v>44594</v>
      </c>
      <c r="B759" s="52">
        <v>5</v>
      </c>
      <c r="C759" s="52"/>
      <c r="D759" s="52"/>
      <c r="E759" s="52"/>
      <c r="F759" s="52"/>
    </row>
    <row r="760" spans="1:6">
      <c r="A760" s="49">
        <v>44595</v>
      </c>
      <c r="B760" s="52">
        <v>5</v>
      </c>
      <c r="C760" s="52"/>
      <c r="D760" s="52"/>
      <c r="E760" s="52"/>
      <c r="F760" s="52"/>
    </row>
    <row r="761" spans="1:6">
      <c r="A761" s="49">
        <v>44596</v>
      </c>
      <c r="B761" s="52">
        <v>5</v>
      </c>
      <c r="C761" s="52"/>
      <c r="D761" s="52"/>
      <c r="E761" s="52"/>
      <c r="F761" s="52"/>
    </row>
    <row r="762" spans="1:6">
      <c r="A762" s="49">
        <v>44597</v>
      </c>
      <c r="B762" s="52">
        <v>5</v>
      </c>
      <c r="C762" s="52"/>
      <c r="D762" s="52"/>
      <c r="E762" s="52"/>
      <c r="F762" s="52"/>
    </row>
    <row r="763" spans="1:6">
      <c r="A763" s="49">
        <v>44598</v>
      </c>
      <c r="B763" s="52">
        <v>5</v>
      </c>
      <c r="C763" s="52"/>
      <c r="D763" s="52"/>
      <c r="E763" s="52"/>
      <c r="F763" s="52"/>
    </row>
    <row r="764" spans="1:6">
      <c r="A764" s="49">
        <v>44599</v>
      </c>
      <c r="B764" s="52">
        <v>6</v>
      </c>
      <c r="C764" s="52"/>
      <c r="D764" s="52"/>
      <c r="E764" s="52"/>
      <c r="F764" s="52"/>
    </row>
    <row r="765" spans="1:6">
      <c r="A765" s="49">
        <v>44600</v>
      </c>
      <c r="B765" s="52">
        <v>6</v>
      </c>
      <c r="C765" s="52"/>
      <c r="D765" s="52"/>
      <c r="E765" s="52"/>
      <c r="F765" s="52"/>
    </row>
    <row r="766" spans="1:6">
      <c r="A766" s="49">
        <v>44601</v>
      </c>
      <c r="B766" s="52">
        <v>6</v>
      </c>
      <c r="C766" s="52"/>
      <c r="D766" s="52"/>
      <c r="E766" s="52"/>
      <c r="F766" s="52"/>
    </row>
    <row r="767" spans="1:6">
      <c r="A767" s="49">
        <v>44602</v>
      </c>
      <c r="B767" s="52">
        <v>6</v>
      </c>
      <c r="C767" s="52"/>
      <c r="D767" s="52"/>
      <c r="E767" s="52"/>
      <c r="F767" s="52"/>
    </row>
    <row r="768" spans="1:6">
      <c r="A768" s="49">
        <v>44603</v>
      </c>
      <c r="B768" s="52">
        <v>6</v>
      </c>
      <c r="C768" s="52"/>
      <c r="D768" s="52"/>
      <c r="E768" s="52"/>
      <c r="F768" s="52"/>
    </row>
    <row r="769" spans="1:6">
      <c r="A769" s="49">
        <v>44604</v>
      </c>
      <c r="B769" s="52">
        <v>6</v>
      </c>
      <c r="C769" s="52"/>
      <c r="D769" s="52"/>
      <c r="E769" s="52"/>
      <c r="F769" s="52"/>
    </row>
    <row r="770" spans="1:6">
      <c r="A770" s="49">
        <v>44605</v>
      </c>
      <c r="B770" s="52">
        <v>6</v>
      </c>
      <c r="C770" s="52"/>
      <c r="D770" s="52"/>
      <c r="E770" s="52"/>
      <c r="F770" s="52"/>
    </row>
    <row r="771" spans="1:6">
      <c r="A771" s="49">
        <v>44606</v>
      </c>
      <c r="B771" s="52">
        <v>7</v>
      </c>
      <c r="C771" s="52"/>
      <c r="D771" s="52"/>
      <c r="E771" s="52"/>
      <c r="F771" s="52"/>
    </row>
    <row r="772" spans="1:6">
      <c r="A772" s="49">
        <v>44607</v>
      </c>
      <c r="B772" s="52">
        <v>7</v>
      </c>
      <c r="C772" s="52"/>
      <c r="D772" s="52"/>
      <c r="E772" s="52"/>
      <c r="F772" s="52"/>
    </row>
    <row r="773" spans="1:6">
      <c r="A773" s="49">
        <v>44608</v>
      </c>
      <c r="B773" s="52">
        <v>7</v>
      </c>
      <c r="C773" s="52">
        <f>2</f>
        <v>2</v>
      </c>
      <c r="D773" s="52"/>
      <c r="E773" s="52"/>
      <c r="F773" s="52"/>
    </row>
    <row r="774" spans="1:6">
      <c r="A774" s="49">
        <v>44609</v>
      </c>
      <c r="B774" s="52">
        <v>7</v>
      </c>
      <c r="C774" s="52"/>
      <c r="D774" s="52"/>
      <c r="E774" s="52"/>
      <c r="F774" s="52"/>
    </row>
    <row r="775" spans="1:6">
      <c r="A775" s="49">
        <v>44610</v>
      </c>
      <c r="B775" s="52">
        <v>7</v>
      </c>
      <c r="C775" s="52"/>
      <c r="D775" s="52"/>
      <c r="E775" s="52"/>
      <c r="F775" s="52"/>
    </row>
    <row r="776" spans="1:6">
      <c r="A776" s="49">
        <v>44611</v>
      </c>
      <c r="B776" s="52">
        <v>7</v>
      </c>
      <c r="C776" s="52"/>
      <c r="D776" s="52"/>
      <c r="E776" s="52"/>
      <c r="F776" s="52"/>
    </row>
    <row r="777" spans="1:6">
      <c r="A777" s="49">
        <v>44612</v>
      </c>
      <c r="B777" s="52">
        <v>7</v>
      </c>
      <c r="C777" s="52"/>
      <c r="D777" s="52"/>
      <c r="E777" s="52"/>
      <c r="F777" s="52"/>
    </row>
    <row r="778" spans="1:6">
      <c r="A778" s="49">
        <v>44613</v>
      </c>
      <c r="B778" s="52">
        <v>8</v>
      </c>
      <c r="C778" s="52"/>
      <c r="D778" s="52"/>
      <c r="E778" s="52"/>
      <c r="F778" s="52"/>
    </row>
    <row r="779" spans="1:6">
      <c r="A779" s="49">
        <v>44614</v>
      </c>
      <c r="B779" s="52">
        <v>8</v>
      </c>
      <c r="C779" s="52"/>
      <c r="D779" s="52"/>
      <c r="E779" s="52"/>
      <c r="F779" s="52"/>
    </row>
    <row r="780" spans="1:6">
      <c r="A780" s="49">
        <v>44615</v>
      </c>
      <c r="B780" s="52">
        <v>8</v>
      </c>
      <c r="C780" s="52"/>
      <c r="D780" s="52"/>
      <c r="E780" s="52"/>
      <c r="F780" s="52"/>
    </row>
    <row r="781" spans="1:6">
      <c r="A781" s="49">
        <v>44616</v>
      </c>
      <c r="B781" s="52">
        <v>8</v>
      </c>
      <c r="C781" s="52"/>
      <c r="D781" s="52"/>
      <c r="E781" s="52"/>
      <c r="F781" s="52"/>
    </row>
    <row r="782" spans="1:6">
      <c r="A782" s="49">
        <v>44617</v>
      </c>
      <c r="B782" s="52">
        <v>8</v>
      </c>
      <c r="C782" s="52"/>
      <c r="D782" s="52"/>
      <c r="E782" s="52"/>
      <c r="F782" s="52"/>
    </row>
    <row r="783" spans="1:6">
      <c r="A783" s="49">
        <v>44618</v>
      </c>
      <c r="B783" s="52">
        <v>8</v>
      </c>
      <c r="C783" s="52"/>
      <c r="D783" s="52"/>
      <c r="E783" s="52"/>
      <c r="F783" s="52"/>
    </row>
    <row r="784" spans="1:6">
      <c r="A784" s="49">
        <v>44619</v>
      </c>
      <c r="B784" s="52">
        <v>8</v>
      </c>
      <c r="C784" s="52"/>
      <c r="D784" s="52"/>
      <c r="E784" s="52"/>
      <c r="F784" s="52"/>
    </row>
    <row r="785" spans="1:6">
      <c r="A785" s="50">
        <v>44620</v>
      </c>
      <c r="B785" s="52">
        <v>9</v>
      </c>
      <c r="C785" s="52"/>
      <c r="D785" s="52"/>
      <c r="E785" s="52"/>
      <c r="F785" s="52"/>
    </row>
    <row r="786" spans="1:6">
      <c r="C786" s="45"/>
      <c r="D786" s="45"/>
      <c r="E786" s="45"/>
      <c r="F786" s="45"/>
    </row>
    <row r="787" spans="1:6">
      <c r="C787" s="45"/>
      <c r="D787" s="45"/>
      <c r="E787" s="45"/>
      <c r="F787" s="45"/>
    </row>
    <row r="788" spans="1:6">
      <c r="C788" s="45"/>
      <c r="D788" s="45"/>
      <c r="E788" s="45"/>
      <c r="F788" s="45"/>
    </row>
    <row r="789" spans="1:6">
      <c r="C789" s="45"/>
      <c r="D789" s="45"/>
      <c r="E789" s="45"/>
      <c r="F789" s="45"/>
    </row>
    <row r="790" spans="1:6">
      <c r="C790" s="45"/>
      <c r="D790" s="45"/>
      <c r="E790" s="45"/>
      <c r="F790" s="45"/>
    </row>
    <row r="791" spans="1:6">
      <c r="C791" s="45"/>
      <c r="D791" s="45"/>
      <c r="E791" s="45"/>
      <c r="F791" s="45"/>
    </row>
    <row r="792" spans="1:6">
      <c r="C792" s="45"/>
      <c r="D792" s="45"/>
      <c r="E792" s="45"/>
      <c r="F792" s="45"/>
    </row>
    <row r="793" spans="1:6">
      <c r="C793" s="45"/>
      <c r="D793" s="45"/>
      <c r="E793" s="45"/>
      <c r="F793" s="45"/>
    </row>
    <row r="794" spans="1:6">
      <c r="C794" s="45"/>
      <c r="D794" s="45"/>
      <c r="E794" s="45"/>
      <c r="F794" s="45"/>
    </row>
    <row r="795" spans="1:6">
      <c r="C795" s="45"/>
      <c r="D795" s="45"/>
      <c r="E795" s="45"/>
      <c r="F795" s="45"/>
    </row>
    <row r="796" spans="1:6">
      <c r="C796" s="45"/>
      <c r="D796" s="45"/>
      <c r="E796" s="45"/>
      <c r="F796" s="45"/>
    </row>
    <row r="797" spans="1:6">
      <c r="C797" s="45"/>
      <c r="D797" s="45"/>
      <c r="E797" s="45"/>
      <c r="F797" s="45"/>
    </row>
    <row r="798" spans="1:6">
      <c r="C798" s="45"/>
      <c r="D798" s="45"/>
      <c r="E798" s="45"/>
      <c r="F798" s="45"/>
    </row>
    <row r="799" spans="1:6">
      <c r="C799" s="45"/>
      <c r="D799" s="45"/>
      <c r="E799" s="45"/>
      <c r="F799" s="45"/>
    </row>
    <row r="800" spans="1:6">
      <c r="C800" s="45"/>
      <c r="D800" s="45"/>
      <c r="E800" s="45"/>
      <c r="F800" s="45"/>
    </row>
    <row r="801" spans="3:6">
      <c r="C801" s="45"/>
      <c r="D801" s="45"/>
      <c r="E801" s="45"/>
      <c r="F801" s="45"/>
    </row>
    <row r="802" spans="3:6">
      <c r="C802" s="45"/>
      <c r="D802" s="45"/>
      <c r="E802" s="45"/>
      <c r="F802" s="45"/>
    </row>
    <row r="803" spans="3:6">
      <c r="C803" s="45"/>
      <c r="D803" s="45"/>
      <c r="E803" s="45"/>
      <c r="F803" s="45"/>
    </row>
    <row r="804" spans="3:6">
      <c r="C804" s="45"/>
      <c r="D804" s="45"/>
      <c r="E804" s="45"/>
      <c r="F804" s="45"/>
    </row>
    <row r="805" spans="3:6">
      <c r="C805" s="45"/>
      <c r="D805" s="45"/>
      <c r="E805" s="45"/>
      <c r="F805" s="45"/>
    </row>
    <row r="806" spans="3:6">
      <c r="C806" s="45"/>
      <c r="D806" s="45"/>
      <c r="E806" s="45"/>
      <c r="F806" s="45"/>
    </row>
    <row r="807" spans="3:6">
      <c r="C807" s="45"/>
      <c r="D807" s="45"/>
      <c r="E807" s="45"/>
      <c r="F807" s="45"/>
    </row>
    <row r="808" spans="3:6">
      <c r="C808" s="45"/>
      <c r="D808" s="45"/>
      <c r="E808" s="45"/>
      <c r="F808" s="45"/>
    </row>
    <row r="809" spans="3:6">
      <c r="C809" s="45"/>
      <c r="D809" s="45"/>
      <c r="E809" s="45"/>
      <c r="F809" s="45"/>
    </row>
    <row r="810" spans="3:6">
      <c r="C810" s="45"/>
      <c r="D810" s="45"/>
      <c r="E810" s="45"/>
      <c r="F810" s="45"/>
    </row>
    <row r="811" spans="3:6">
      <c r="C811" s="45"/>
      <c r="D811" s="45"/>
      <c r="E811" s="45"/>
      <c r="F811" s="45"/>
    </row>
    <row r="812" spans="3:6">
      <c r="C812" s="45"/>
      <c r="D812" s="45"/>
      <c r="E812" s="45"/>
      <c r="F812" s="45"/>
    </row>
    <row r="813" spans="3:6">
      <c r="C813" s="45"/>
      <c r="D813" s="45"/>
      <c r="E813" s="45"/>
      <c r="F813" s="45"/>
    </row>
    <row r="814" spans="3:6">
      <c r="C814" s="45"/>
      <c r="D814" s="45"/>
      <c r="E814" s="45"/>
      <c r="F814" s="45"/>
    </row>
    <row r="815" spans="3:6">
      <c r="C815" s="45"/>
      <c r="D815" s="45"/>
      <c r="E815" s="45"/>
      <c r="F815" s="45"/>
    </row>
    <row r="816" spans="3:6">
      <c r="C816" s="45"/>
      <c r="D816" s="45"/>
      <c r="E816" s="45"/>
      <c r="F816" s="45"/>
    </row>
    <row r="817" spans="3:6">
      <c r="C817" s="45"/>
      <c r="D817" s="45"/>
      <c r="E817" s="45"/>
      <c r="F817" s="45"/>
    </row>
    <row r="818" spans="3:6">
      <c r="C818" s="45"/>
      <c r="D818" s="45"/>
      <c r="E818" s="45"/>
      <c r="F818" s="45"/>
    </row>
    <row r="819" spans="3:6">
      <c r="C819" s="45"/>
      <c r="D819" s="45"/>
      <c r="E819" s="45"/>
      <c r="F819" s="45"/>
    </row>
    <row r="820" spans="3:6">
      <c r="C820" s="45"/>
      <c r="D820" s="45"/>
      <c r="E820" s="45"/>
      <c r="F820" s="45"/>
    </row>
    <row r="821" spans="3:6">
      <c r="C821" s="45"/>
      <c r="D821" s="45"/>
      <c r="E821" s="45"/>
      <c r="F821" s="45"/>
    </row>
    <row r="822" spans="3:6">
      <c r="C822" s="45"/>
      <c r="D822" s="45"/>
      <c r="E822" s="45"/>
      <c r="F822" s="45"/>
    </row>
    <row r="823" spans="3:6">
      <c r="C823" s="45"/>
      <c r="D823" s="45"/>
      <c r="E823" s="45"/>
      <c r="F823" s="45"/>
    </row>
    <row r="824" spans="3:6">
      <c r="C824" s="45"/>
      <c r="D824" s="45"/>
      <c r="E824" s="45"/>
      <c r="F824" s="45"/>
    </row>
    <row r="825" spans="3:6">
      <c r="C825" s="45"/>
      <c r="D825" s="45"/>
      <c r="E825" s="45"/>
      <c r="F825" s="45"/>
    </row>
    <row r="826" spans="3:6">
      <c r="C826" s="45"/>
      <c r="D826" s="45"/>
      <c r="E826" s="45"/>
      <c r="F826" s="45"/>
    </row>
    <row r="827" spans="3:6">
      <c r="C827" s="45"/>
      <c r="D827" s="45"/>
      <c r="E827" s="45"/>
      <c r="F827" s="45"/>
    </row>
    <row r="828" spans="3:6">
      <c r="C828" s="45"/>
      <c r="D828" s="45"/>
      <c r="E828" s="45"/>
      <c r="F828" s="45"/>
    </row>
    <row r="829" spans="3:6">
      <c r="C829" s="45"/>
      <c r="D829" s="45"/>
      <c r="E829" s="45"/>
      <c r="F829" s="45"/>
    </row>
    <row r="830" spans="3:6">
      <c r="C830" s="45"/>
      <c r="D830" s="45"/>
      <c r="E830" s="45"/>
      <c r="F830" s="45"/>
    </row>
    <row r="831" spans="3:6">
      <c r="C831" s="45"/>
      <c r="D831" s="45"/>
      <c r="E831" s="45"/>
      <c r="F831" s="45"/>
    </row>
    <row r="832" spans="3:6">
      <c r="C832" s="45"/>
      <c r="D832" s="45"/>
      <c r="E832" s="45"/>
      <c r="F832" s="45"/>
    </row>
    <row r="833" spans="3:6">
      <c r="C833" s="45"/>
      <c r="D833" s="45"/>
      <c r="E833" s="45"/>
      <c r="F833" s="45"/>
    </row>
    <row r="834" spans="3:6">
      <c r="C834" s="45"/>
      <c r="D834" s="45"/>
      <c r="E834" s="45"/>
      <c r="F834" s="45"/>
    </row>
    <row r="835" spans="3:6">
      <c r="C835" s="45"/>
      <c r="D835" s="45"/>
      <c r="E835" s="45"/>
      <c r="F835" s="45"/>
    </row>
    <row r="836" spans="3:6">
      <c r="C836" s="45"/>
      <c r="D836" s="45"/>
      <c r="E836" s="45"/>
      <c r="F836" s="45"/>
    </row>
    <row r="837" spans="3:6">
      <c r="C837" s="45"/>
      <c r="D837" s="45"/>
      <c r="E837" s="45"/>
      <c r="F837" s="45"/>
    </row>
    <row r="838" spans="3:6">
      <c r="C838" s="45"/>
      <c r="D838" s="45"/>
      <c r="E838" s="45"/>
      <c r="F838" s="45"/>
    </row>
    <row r="839" spans="3:6">
      <c r="C839" s="45"/>
      <c r="D839" s="45"/>
      <c r="E839" s="45"/>
      <c r="F839" s="45"/>
    </row>
    <row r="840" spans="3:6">
      <c r="C840" s="45"/>
      <c r="D840" s="45"/>
      <c r="E840" s="45"/>
      <c r="F840" s="45"/>
    </row>
    <row r="841" spans="3:6">
      <c r="C841" s="45"/>
      <c r="D841" s="45"/>
      <c r="E841" s="45"/>
      <c r="F841" s="45"/>
    </row>
    <row r="842" spans="3:6">
      <c r="C842" s="45"/>
      <c r="D842" s="45"/>
      <c r="E842" s="45"/>
      <c r="F842" s="45"/>
    </row>
    <row r="843" spans="3:6">
      <c r="C843" s="45"/>
      <c r="D843" s="45"/>
      <c r="E843" s="45"/>
      <c r="F843" s="45"/>
    </row>
    <row r="844" spans="3:6">
      <c r="C844" s="45"/>
      <c r="D844" s="45"/>
      <c r="E844" s="45"/>
      <c r="F844" s="45"/>
    </row>
    <row r="845" spans="3:6">
      <c r="C845" s="45"/>
      <c r="D845" s="45"/>
      <c r="E845" s="45"/>
      <c r="F845" s="45"/>
    </row>
    <row r="846" spans="3:6">
      <c r="C846" s="45"/>
      <c r="D846" s="45"/>
      <c r="E846" s="45"/>
      <c r="F846" s="45"/>
    </row>
    <row r="847" spans="3:6">
      <c r="C847" s="45"/>
      <c r="D847" s="45"/>
      <c r="E847" s="45"/>
      <c r="F847" s="45"/>
    </row>
    <row r="848" spans="3:6">
      <c r="C848" s="45"/>
      <c r="D848" s="45"/>
      <c r="E848" s="45"/>
      <c r="F848" s="45"/>
    </row>
    <row r="849" spans="3:6">
      <c r="C849" s="45"/>
      <c r="D849" s="45"/>
      <c r="E849" s="45"/>
      <c r="F849" s="45"/>
    </row>
    <row r="850" spans="3:6">
      <c r="C850" s="45"/>
      <c r="D850" s="45"/>
      <c r="E850" s="45"/>
      <c r="F850" s="45"/>
    </row>
    <row r="851" spans="3:6">
      <c r="C851" s="45"/>
      <c r="D851" s="45"/>
      <c r="E851" s="45"/>
      <c r="F851" s="45"/>
    </row>
    <row r="852" spans="3:6">
      <c r="C852" s="45"/>
      <c r="D852" s="45"/>
      <c r="E852" s="45"/>
      <c r="F852" s="45"/>
    </row>
    <row r="853" spans="3:6">
      <c r="C853" s="45"/>
      <c r="D853" s="45"/>
      <c r="E853" s="45"/>
      <c r="F853" s="45"/>
    </row>
    <row r="854" spans="3:6">
      <c r="C854" s="45"/>
      <c r="D854" s="45"/>
      <c r="E854" s="45"/>
      <c r="F854" s="45"/>
    </row>
    <row r="855" spans="3:6">
      <c r="C855" s="45"/>
      <c r="D855" s="45"/>
      <c r="E855" s="45"/>
      <c r="F855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3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G855"/>
  <sheetViews>
    <sheetView workbookViewId="0">
      <pane ySplit="7" topLeftCell="A8" activePane="bottomLeft" state="frozen"/>
      <selection pane="bottomLeft" sqref="A1:F1"/>
    </sheetView>
  </sheetViews>
  <sheetFormatPr defaultColWidth="12.58203125" defaultRowHeight="15" customHeight="1"/>
  <cols>
    <col min="1" max="1" width="12.58203125" style="55"/>
    <col min="2" max="2" width="5.6640625" style="55" bestFit="1" customWidth="1"/>
    <col min="3" max="3" width="7.4140625" style="55" bestFit="1" customWidth="1"/>
    <col min="4" max="4" width="12.6640625" style="55" bestFit="1" customWidth="1"/>
    <col min="5" max="5" width="11.33203125" style="55" bestFit="1" customWidth="1"/>
    <col min="6" max="6" width="14.4140625" style="55" customWidth="1"/>
    <col min="7" max="7" width="66.33203125" style="55" customWidth="1"/>
    <col min="8" max="16384" width="12.58203125" style="55"/>
  </cols>
  <sheetData>
    <row r="1" spans="1:7" ht="15" customHeight="1">
      <c r="A1" s="120" t="s">
        <v>74</v>
      </c>
      <c r="B1" s="112"/>
      <c r="C1" s="112"/>
      <c r="D1" s="112"/>
      <c r="E1" s="112"/>
      <c r="F1" s="113"/>
      <c r="G1" s="66" t="s">
        <v>86</v>
      </c>
    </row>
    <row r="2" spans="1:7" ht="45.75" customHeight="1">
      <c r="A2" s="121" t="s">
        <v>24</v>
      </c>
      <c r="B2" s="145"/>
      <c r="C2" s="145"/>
      <c r="D2" s="145"/>
      <c r="E2" s="145"/>
      <c r="F2" s="146"/>
      <c r="G2" s="68" t="s">
        <v>229</v>
      </c>
    </row>
    <row r="3" spans="1:7" ht="15" customHeight="1">
      <c r="A3" s="118" t="s">
        <v>423</v>
      </c>
      <c r="B3" s="115"/>
      <c r="C3" s="115"/>
      <c r="D3" s="115"/>
      <c r="E3" s="115"/>
      <c r="F3" s="116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18"/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/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/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/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/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/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/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/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/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/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/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/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/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/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/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/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/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/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/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/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/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2</v>
      </c>
      <c r="D369" s="22"/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/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>
        <v>2</v>
      </c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/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>
        <v>1</v>
      </c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>
        <v>1</v>
      </c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>
        <v>1</v>
      </c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>
        <v>1</v>
      </c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/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/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/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>
        <v>1</v>
      </c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/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1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/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/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2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/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>
        <v>1</v>
      </c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/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>
        <v>2</v>
      </c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1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/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>
        <v>5</v>
      </c>
      <c r="D475" s="22"/>
      <c r="E475" s="14"/>
      <c r="F475" s="14"/>
      <c r="G475" s="54"/>
    </row>
    <row r="476" spans="1:7" ht="14.5">
      <c r="A476" s="25">
        <v>44311</v>
      </c>
      <c r="B476" s="26">
        <v>16</v>
      </c>
      <c r="C476" s="22">
        <v>1</v>
      </c>
      <c r="D476" s="22"/>
      <c r="E476" s="14"/>
      <c r="F476" s="14"/>
      <c r="G476" s="54"/>
    </row>
    <row r="477" spans="1:7" ht="14.5">
      <c r="A477" s="25">
        <v>44312</v>
      </c>
      <c r="B477" s="26">
        <v>17</v>
      </c>
      <c r="C477" s="22">
        <v>1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>
        <v>3</v>
      </c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>
        <v>2</v>
      </c>
      <c r="D480" s="22"/>
      <c r="E480" s="14"/>
      <c r="F480" s="14"/>
      <c r="G480" s="54"/>
    </row>
    <row r="481" spans="1:7" ht="14.5">
      <c r="A481" s="25">
        <v>44316</v>
      </c>
      <c r="B481" s="26">
        <v>17</v>
      </c>
      <c r="C481" s="22">
        <v>2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>
        <v>4</v>
      </c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>
        <v>4</v>
      </c>
      <c r="D484" s="22"/>
      <c r="E484" s="14"/>
      <c r="F484" s="14"/>
      <c r="G484" s="54"/>
    </row>
    <row r="485" spans="1:7" ht="14.5">
      <c r="A485" s="25">
        <v>44320</v>
      </c>
      <c r="B485" s="26">
        <v>18</v>
      </c>
      <c r="C485" s="22">
        <v>2</v>
      </c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>
        <v>1</v>
      </c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/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>
        <v>4</v>
      </c>
      <c r="D489" s="22">
        <v>1</v>
      </c>
      <c r="E489" s="14"/>
      <c r="F489" s="14"/>
      <c r="G489" s="54"/>
    </row>
    <row r="490" spans="1:7" ht="14.5">
      <c r="A490" s="25">
        <v>44325</v>
      </c>
      <c r="B490" s="26">
        <v>18</v>
      </c>
      <c r="C490" s="22">
        <v>1</v>
      </c>
      <c r="D490" s="22"/>
      <c r="E490" s="14"/>
      <c r="F490" s="14"/>
      <c r="G490" s="54"/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>
        <v>2</v>
      </c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>
        <v>1</v>
      </c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>
        <v>1</v>
      </c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>
        <v>3</v>
      </c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>
        <v>3</v>
      </c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>
        <v>1</v>
      </c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>
        <v>2</v>
      </c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>
        <v>1</v>
      </c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>
        <v>1</v>
      </c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/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>
        <v>1</v>
      </c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>
        <v>1</v>
      </c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>
        <v>3</v>
      </c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>
        <v>1</v>
      </c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>
        <v>1</v>
      </c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>
        <v>1</v>
      </c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/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/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>
        <v>2</v>
      </c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>
        <v>1</v>
      </c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>
        <v>3</v>
      </c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>
        <v>3</v>
      </c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>
        <v>2</v>
      </c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>
        <v>1</v>
      </c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>
        <v>1</v>
      </c>
      <c r="D565" s="22"/>
      <c r="E565" s="22"/>
      <c r="F565" s="22"/>
    </row>
    <row r="566" spans="1:7" ht="14.5">
      <c r="A566" s="28">
        <v>44401</v>
      </c>
      <c r="B566" s="22">
        <v>29</v>
      </c>
      <c r="C566" s="22">
        <v>1</v>
      </c>
      <c r="D566" s="22"/>
      <c r="E566" s="22"/>
      <c r="F566" s="22"/>
    </row>
    <row r="567" spans="1:7" ht="14.5">
      <c r="A567" s="28">
        <v>44402</v>
      </c>
      <c r="B567" s="22">
        <v>29</v>
      </c>
      <c r="C567" s="22">
        <v>2</v>
      </c>
      <c r="D567" s="22"/>
      <c r="E567" s="22"/>
      <c r="F567" s="22"/>
    </row>
    <row r="568" spans="1:7" ht="14.5">
      <c r="A568" s="28">
        <v>44403</v>
      </c>
      <c r="B568" s="22">
        <v>30</v>
      </c>
      <c r="C568" s="22">
        <v>1</v>
      </c>
      <c r="D568" s="22"/>
      <c r="E568" s="22"/>
      <c r="F568" s="22"/>
    </row>
    <row r="569" spans="1:7" ht="14.5">
      <c r="A569" s="28">
        <v>44404</v>
      </c>
      <c r="B569" s="22">
        <v>30</v>
      </c>
      <c r="C569" s="22">
        <v>7</v>
      </c>
      <c r="D569" s="32"/>
      <c r="E569" s="32"/>
      <c r="F569" s="32"/>
    </row>
    <row r="570" spans="1:7" ht="14.5">
      <c r="A570" s="28">
        <v>44405</v>
      </c>
      <c r="B570" s="22">
        <v>30</v>
      </c>
      <c r="C570" s="32">
        <v>1</v>
      </c>
      <c r="D570" s="32"/>
      <c r="E570" s="32"/>
      <c r="F570" s="32"/>
    </row>
    <row r="571" spans="1:7" ht="14.5">
      <c r="A571" s="28">
        <v>44406</v>
      </c>
      <c r="B571" s="22">
        <v>30</v>
      </c>
      <c r="C571" s="32">
        <v>1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32"/>
      <c r="D572" s="32"/>
      <c r="E572" s="32"/>
      <c r="F572" s="32"/>
    </row>
    <row r="573" spans="1:7" ht="14.5">
      <c r="A573" s="28">
        <v>44408</v>
      </c>
      <c r="B573" s="22">
        <v>30</v>
      </c>
      <c r="C573" s="32"/>
      <c r="D573" s="32"/>
      <c r="E573" s="32"/>
      <c r="F573" s="3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/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/>
      <c r="D577" s="22"/>
      <c r="E577" s="22"/>
      <c r="F577" s="22"/>
    </row>
    <row r="578" spans="1:6" ht="14.5">
      <c r="A578" s="28">
        <v>44413</v>
      </c>
      <c r="B578" s="22">
        <v>31</v>
      </c>
      <c r="C578" s="22"/>
      <c r="D578" s="22"/>
      <c r="E578" s="22"/>
      <c r="F578" s="22"/>
    </row>
    <row r="579" spans="1:6" ht="14.5">
      <c r="A579" s="28">
        <v>44414</v>
      </c>
      <c r="B579" s="22">
        <v>31</v>
      </c>
      <c r="C579" s="22"/>
      <c r="D579" s="22"/>
      <c r="E579" s="22"/>
      <c r="F579" s="22"/>
    </row>
    <row r="580" spans="1:6" ht="14.5">
      <c r="A580" s="28">
        <v>44415</v>
      </c>
      <c r="B580" s="22">
        <v>31</v>
      </c>
      <c r="C580" s="22"/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f>1</f>
        <v>1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>
        <f>1</f>
        <v>1</v>
      </c>
      <c r="D582" s="22"/>
      <c r="E582" s="22"/>
      <c r="F582" s="22"/>
    </row>
    <row r="583" spans="1:6" ht="14.5">
      <c r="A583" s="28">
        <v>44418</v>
      </c>
      <c r="B583" s="22">
        <v>32</v>
      </c>
      <c r="C583" s="22"/>
      <c r="D583" s="22"/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/>
      <c r="D585" s="22"/>
      <c r="E585" s="22"/>
      <c r="F585" s="22"/>
    </row>
    <row r="586" spans="1:6" ht="14.5">
      <c r="A586" s="28">
        <v>44421</v>
      </c>
      <c r="B586" s="22">
        <v>32</v>
      </c>
      <c r="C586" s="22"/>
      <c r="D586" s="22"/>
      <c r="E586" s="22"/>
      <c r="F586" s="22"/>
    </row>
    <row r="587" spans="1:6" ht="14.5">
      <c r="A587" s="28">
        <v>44422</v>
      </c>
      <c r="B587" s="22">
        <v>32</v>
      </c>
      <c r="C587" s="22">
        <f>1</f>
        <v>1</v>
      </c>
      <c r="D587" s="22"/>
      <c r="E587" s="22"/>
      <c r="F587" s="22"/>
    </row>
    <row r="588" spans="1:6" ht="14.5">
      <c r="A588" s="28">
        <v>44423</v>
      </c>
      <c r="B588" s="22">
        <v>32</v>
      </c>
      <c r="C588" s="22"/>
      <c r="D588" s="22"/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1</f>
        <v>1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1</f>
        <v>1</v>
      </c>
      <c r="D592" s="22"/>
      <c r="E592" s="22"/>
      <c r="F592" s="22"/>
    </row>
    <row r="593" spans="1:6" ht="14.5">
      <c r="A593" s="28">
        <v>44428</v>
      </c>
      <c r="B593" s="22">
        <v>33</v>
      </c>
      <c r="C593" s="22">
        <f>1</f>
        <v>1</v>
      </c>
      <c r="D593" s="22"/>
      <c r="E593" s="22"/>
      <c r="F593" s="22"/>
    </row>
    <row r="594" spans="1:6" ht="14.5">
      <c r="A594" s="28">
        <v>44429</v>
      </c>
      <c r="B594" s="22">
        <v>33</v>
      </c>
      <c r="C594" s="22">
        <f>1</f>
        <v>1</v>
      </c>
      <c r="D594" s="22"/>
      <c r="E594" s="22"/>
      <c r="F594" s="22"/>
    </row>
    <row r="595" spans="1:6" ht="14.5">
      <c r="A595" s="28">
        <v>44430</v>
      </c>
      <c r="B595" s="22">
        <v>33</v>
      </c>
      <c r="C595" s="22">
        <f>1</f>
        <v>1</v>
      </c>
      <c r="D595" s="22"/>
      <c r="E595" s="22"/>
      <c r="F595" s="22"/>
    </row>
    <row r="596" spans="1:6" ht="14.5">
      <c r="A596" s="28">
        <v>44431</v>
      </c>
      <c r="B596" s="22">
        <v>34</v>
      </c>
      <c r="C596" s="22">
        <f>1</f>
        <v>1</v>
      </c>
      <c r="D596" s="22"/>
      <c r="E596" s="22"/>
      <c r="F596" s="22"/>
    </row>
    <row r="597" spans="1:6" ht="14.5">
      <c r="A597" s="28">
        <v>44432</v>
      </c>
      <c r="B597" s="22">
        <v>34</v>
      </c>
      <c r="C597" s="22">
        <f>1+1</f>
        <v>2</v>
      </c>
      <c r="D597" s="22"/>
      <c r="E597" s="22"/>
      <c r="F597" s="22"/>
    </row>
    <row r="598" spans="1:6" ht="14.5">
      <c r="A598" s="28">
        <v>44433</v>
      </c>
      <c r="B598" s="22">
        <v>34</v>
      </c>
      <c r="C598" s="22">
        <f>1</f>
        <v>1</v>
      </c>
      <c r="D598" s="22"/>
      <c r="E598" s="22"/>
      <c r="F598" s="22"/>
    </row>
    <row r="599" spans="1:6" ht="14.5">
      <c r="A599" s="28">
        <v>44434</v>
      </c>
      <c r="B599" s="22">
        <v>34</v>
      </c>
      <c r="C599" s="22">
        <f>1</f>
        <v>1</v>
      </c>
      <c r="D599" s="22"/>
      <c r="E599" s="22"/>
      <c r="F599" s="22"/>
    </row>
    <row r="600" spans="1:6" ht="14.5">
      <c r="A600" s="28">
        <v>44435</v>
      </c>
      <c r="B600" s="22">
        <v>34</v>
      </c>
      <c r="C600" s="22"/>
      <c r="D600" s="22"/>
      <c r="E600" s="22"/>
      <c r="F600" s="22"/>
    </row>
    <row r="601" spans="1:6" ht="14.5">
      <c r="A601" s="28">
        <v>44436</v>
      </c>
      <c r="B601" s="22">
        <v>34</v>
      </c>
      <c r="C601" s="22">
        <f>2</f>
        <v>2</v>
      </c>
      <c r="D601" s="22"/>
      <c r="E601" s="22"/>
      <c r="F601" s="22"/>
    </row>
    <row r="602" spans="1:6" ht="14.5">
      <c r="A602" s="28">
        <v>44437</v>
      </c>
      <c r="B602" s="22">
        <v>34</v>
      </c>
      <c r="C602" s="22"/>
      <c r="D602" s="22"/>
      <c r="E602" s="22"/>
      <c r="F602" s="22"/>
    </row>
    <row r="603" spans="1:6" ht="14.5">
      <c r="A603" s="28">
        <v>44438</v>
      </c>
      <c r="B603" s="22">
        <v>35</v>
      </c>
      <c r="C603" s="22"/>
      <c r="D603" s="22"/>
      <c r="E603" s="22"/>
      <c r="F603" s="22"/>
    </row>
    <row r="604" spans="1:6" ht="14.5">
      <c r="A604" s="28">
        <v>44439</v>
      </c>
      <c r="B604" s="22">
        <v>35</v>
      </c>
      <c r="C604" s="22"/>
      <c r="D604" s="22"/>
      <c r="E604" s="22"/>
      <c r="F604" s="22"/>
    </row>
    <row r="605" spans="1:6" ht="14.5">
      <c r="A605" s="28">
        <v>44440</v>
      </c>
      <c r="B605" s="22">
        <v>35</v>
      </c>
      <c r="C605" s="22">
        <f>1</f>
        <v>1</v>
      </c>
      <c r="D605" s="22"/>
      <c r="E605" s="22"/>
      <c r="F605" s="22"/>
    </row>
    <row r="606" spans="1:6" ht="14.5">
      <c r="A606" s="28">
        <v>44441</v>
      </c>
      <c r="B606" s="22">
        <v>35</v>
      </c>
      <c r="C606" s="22"/>
      <c r="D606" s="22"/>
      <c r="E606" s="22"/>
      <c r="F606" s="22"/>
    </row>
    <row r="607" spans="1:6" ht="14.5">
      <c r="A607" s="28">
        <v>44442</v>
      </c>
      <c r="B607" s="22">
        <v>35</v>
      </c>
      <c r="C607" s="22"/>
      <c r="D607" s="22"/>
      <c r="E607" s="22"/>
      <c r="F607" s="22"/>
    </row>
    <row r="608" spans="1:6" ht="14.5">
      <c r="A608" s="28">
        <v>44443</v>
      </c>
      <c r="B608" s="22">
        <v>35</v>
      </c>
      <c r="C608" s="22">
        <f>1</f>
        <v>1</v>
      </c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>
        <f>1</f>
        <v>1</v>
      </c>
      <c r="D610" s="22"/>
      <c r="E610" s="22"/>
      <c r="F610" s="22"/>
    </row>
    <row r="611" spans="1:6" ht="14.5">
      <c r="A611" s="28">
        <v>44446</v>
      </c>
      <c r="B611" s="22">
        <v>36</v>
      </c>
      <c r="C611" s="22"/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>
        <f>1</f>
        <v>1</v>
      </c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>
        <f>1</f>
        <v>1</v>
      </c>
      <c r="D615" s="22"/>
      <c r="E615" s="22"/>
      <c r="F615" s="22"/>
    </row>
    <row r="616" spans="1:6" ht="14.5">
      <c r="A616" s="28">
        <v>44451</v>
      </c>
      <c r="B616" s="22">
        <v>36</v>
      </c>
      <c r="C616" s="22"/>
      <c r="D616" s="22"/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/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/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>
        <f>1</f>
        <v>1</v>
      </c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>
        <f>1</f>
        <v>1</v>
      </c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/>
      <c r="D670" s="22"/>
      <c r="E670" s="22"/>
      <c r="F670" s="22"/>
    </row>
    <row r="671" spans="1:6" ht="14.5">
      <c r="A671" s="28">
        <v>44506</v>
      </c>
      <c r="B671" s="22">
        <v>44</v>
      </c>
      <c r="C671" s="22"/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/>
      <c r="D732" s="22"/>
      <c r="E732" s="22"/>
      <c r="F732" s="22"/>
    </row>
    <row r="733" spans="1:6" ht="14.5">
      <c r="A733" s="28">
        <v>44568</v>
      </c>
      <c r="B733" s="22">
        <v>1</v>
      </c>
      <c r="C733" s="22"/>
      <c r="D733" s="22"/>
      <c r="E733" s="22"/>
      <c r="F733" s="22"/>
    </row>
    <row r="734" spans="1:6" ht="14.5">
      <c r="A734" s="28">
        <v>44569</v>
      </c>
      <c r="B734" s="22">
        <v>1</v>
      </c>
      <c r="C734" s="22"/>
      <c r="D734" s="22"/>
      <c r="E734" s="22"/>
      <c r="F734" s="22"/>
    </row>
    <row r="735" spans="1:6" ht="14.5">
      <c r="A735" s="28">
        <v>44570</v>
      </c>
      <c r="B735" s="22">
        <v>1</v>
      </c>
      <c r="C735" s="22"/>
      <c r="D735" s="22"/>
      <c r="E735" s="22"/>
      <c r="F735" s="22"/>
    </row>
    <row r="736" spans="1:6" ht="14.5">
      <c r="A736" s="28">
        <v>44571</v>
      </c>
      <c r="B736" s="22">
        <v>2</v>
      </c>
      <c r="C736" s="22"/>
      <c r="D736" s="22"/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/>
      <c r="D738" s="22"/>
      <c r="E738" s="22"/>
      <c r="F738" s="22"/>
    </row>
    <row r="739" spans="1:6" ht="14.5">
      <c r="A739" s="28">
        <v>44574</v>
      </c>
      <c r="B739" s="22">
        <v>2</v>
      </c>
      <c r="C739" s="22">
        <f>1</f>
        <v>1</v>
      </c>
      <c r="D739" s="22"/>
      <c r="E739" s="22"/>
      <c r="F739" s="22"/>
    </row>
    <row r="740" spans="1:6" ht="14.5">
      <c r="A740" s="28">
        <v>44575</v>
      </c>
      <c r="B740" s="22">
        <v>2</v>
      </c>
      <c r="C740" s="22">
        <f>2</f>
        <v>2</v>
      </c>
      <c r="D740" s="22"/>
      <c r="E740" s="22"/>
      <c r="F740" s="22"/>
    </row>
    <row r="741" spans="1:6" ht="14.5">
      <c r="A741" s="28">
        <v>44576</v>
      </c>
      <c r="B741" s="22">
        <v>2</v>
      </c>
      <c r="C741" s="22">
        <f>3+1+1</f>
        <v>5</v>
      </c>
      <c r="D741" s="22"/>
      <c r="E741" s="22"/>
      <c r="F741" s="22"/>
    </row>
    <row r="742" spans="1:6" ht="14.5">
      <c r="A742" s="28">
        <v>44577</v>
      </c>
      <c r="B742" s="22">
        <v>2</v>
      </c>
      <c r="C742" s="22">
        <f>1+3+1</f>
        <v>5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3+1</f>
        <v>4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1+1+2</f>
        <v>4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1+2</f>
        <v>3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1</f>
        <v>1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/>
      <c r="D747" s="22"/>
      <c r="E747" s="22"/>
      <c r="F747" s="22"/>
    </row>
    <row r="748" spans="1:6" ht="14.5">
      <c r="A748" s="28">
        <v>44583</v>
      </c>
      <c r="B748" s="22">
        <v>3</v>
      </c>
      <c r="C748" s="22"/>
      <c r="D748" s="22"/>
      <c r="E748" s="22"/>
      <c r="F748" s="22"/>
    </row>
    <row r="749" spans="1:6" ht="14.5">
      <c r="A749" s="28">
        <v>44584</v>
      </c>
      <c r="B749" s="22">
        <v>3</v>
      </c>
      <c r="C749" s="22"/>
      <c r="D749" s="22"/>
      <c r="E749" s="22"/>
      <c r="F749" s="22"/>
    </row>
    <row r="750" spans="1:6" ht="14.5">
      <c r="A750" s="28">
        <v>44585</v>
      </c>
      <c r="B750" s="22">
        <v>4</v>
      </c>
      <c r="C750" s="22"/>
      <c r="D750" s="22"/>
      <c r="E750" s="22"/>
      <c r="F750" s="22"/>
    </row>
    <row r="751" spans="1:6" ht="14.5">
      <c r="A751" s="28">
        <v>44586</v>
      </c>
      <c r="B751" s="22">
        <v>4</v>
      </c>
      <c r="C751" s="22"/>
      <c r="D751" s="22"/>
      <c r="E751" s="22"/>
      <c r="F751" s="22"/>
    </row>
    <row r="752" spans="1:6" ht="14.5">
      <c r="A752" s="28">
        <v>44587</v>
      </c>
      <c r="B752" s="22">
        <v>4</v>
      </c>
      <c r="C752" s="22"/>
      <c r="D752" s="22"/>
      <c r="E752" s="22"/>
      <c r="F752" s="22"/>
    </row>
    <row r="753" spans="1:6" ht="14.5">
      <c r="A753" s="28">
        <v>44588</v>
      </c>
      <c r="B753" s="22">
        <v>4</v>
      </c>
      <c r="C753" s="22"/>
      <c r="D753" s="22"/>
      <c r="E753" s="22"/>
      <c r="F753" s="22"/>
    </row>
    <row r="754" spans="1:6" ht="14.5">
      <c r="A754" s="28">
        <v>44589</v>
      </c>
      <c r="B754" s="22">
        <v>4</v>
      </c>
      <c r="C754" s="22"/>
      <c r="D754" s="22"/>
      <c r="E754" s="22"/>
      <c r="F754" s="22"/>
    </row>
    <row r="755" spans="1:6" ht="14.5">
      <c r="A755" s="28">
        <v>44590</v>
      </c>
      <c r="B755" s="22">
        <v>4</v>
      </c>
      <c r="C755" s="22"/>
      <c r="D755" s="22"/>
      <c r="E755" s="22"/>
      <c r="F755" s="22"/>
    </row>
    <row r="756" spans="1:6" ht="14.5">
      <c r="A756" s="28">
        <v>44591</v>
      </c>
      <c r="B756" s="22">
        <v>4</v>
      </c>
      <c r="C756" s="22"/>
      <c r="D756" s="22"/>
      <c r="E756" s="22"/>
      <c r="F756" s="22"/>
    </row>
    <row r="757" spans="1:6" ht="14.5">
      <c r="A757" s="28">
        <v>44592</v>
      </c>
      <c r="B757" s="22">
        <v>5</v>
      </c>
      <c r="C757" s="22"/>
      <c r="D757" s="22"/>
      <c r="E757" s="22"/>
      <c r="F757" s="22"/>
    </row>
    <row r="758" spans="1:6" ht="14.5">
      <c r="A758" s="49">
        <v>44593</v>
      </c>
      <c r="B758" s="52">
        <v>5</v>
      </c>
      <c r="C758" s="52"/>
      <c r="D758" s="52"/>
      <c r="E758" s="52"/>
      <c r="F758" s="52"/>
    </row>
    <row r="759" spans="1:6" ht="14.5">
      <c r="A759" s="49">
        <v>44594</v>
      </c>
      <c r="B759" s="52">
        <v>5</v>
      </c>
      <c r="C759" s="52"/>
      <c r="D759" s="52"/>
      <c r="E759" s="52"/>
      <c r="F759" s="52"/>
    </row>
    <row r="760" spans="1:6" ht="14.5">
      <c r="A760" s="49">
        <v>44595</v>
      </c>
      <c r="B760" s="52">
        <v>5</v>
      </c>
      <c r="C760" s="52"/>
      <c r="D760" s="52"/>
      <c r="E760" s="52"/>
      <c r="F760" s="52"/>
    </row>
    <row r="761" spans="1:6" ht="14.5">
      <c r="A761" s="49">
        <v>44596</v>
      </c>
      <c r="B761" s="52">
        <v>5</v>
      </c>
      <c r="C761" s="52"/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/>
      <c r="D763" s="52"/>
      <c r="E763" s="52"/>
      <c r="F763" s="52"/>
    </row>
    <row r="764" spans="1:6" ht="14.5">
      <c r="A764" s="49">
        <v>44599</v>
      </c>
      <c r="B764" s="52">
        <v>6</v>
      </c>
      <c r="C764" s="52"/>
      <c r="D764" s="52"/>
      <c r="E764" s="52"/>
      <c r="F764" s="52"/>
    </row>
    <row r="765" spans="1:6" ht="14.5">
      <c r="A765" s="49">
        <v>44600</v>
      </c>
      <c r="B765" s="52">
        <v>6</v>
      </c>
      <c r="C765" s="52"/>
      <c r="D765" s="52"/>
      <c r="E765" s="52"/>
      <c r="F765" s="52"/>
    </row>
    <row r="766" spans="1:6" ht="14.5">
      <c r="A766" s="49">
        <v>44601</v>
      </c>
      <c r="B766" s="52">
        <v>6</v>
      </c>
      <c r="C766" s="52"/>
      <c r="D766" s="52"/>
      <c r="E766" s="52"/>
      <c r="F766" s="52"/>
    </row>
    <row r="767" spans="1:6" ht="14.5">
      <c r="A767" s="49">
        <v>44602</v>
      </c>
      <c r="B767" s="52">
        <v>6</v>
      </c>
      <c r="C767" s="52"/>
      <c r="D767" s="52"/>
      <c r="E767" s="52"/>
      <c r="F767" s="52"/>
    </row>
    <row r="768" spans="1:6" ht="14.5">
      <c r="A768" s="49">
        <v>44603</v>
      </c>
      <c r="B768" s="52">
        <v>6</v>
      </c>
      <c r="C768" s="52"/>
      <c r="D768" s="52"/>
      <c r="E768" s="52"/>
      <c r="F768" s="52"/>
    </row>
    <row r="769" spans="1:6" ht="14.5">
      <c r="A769" s="49">
        <v>44604</v>
      </c>
      <c r="B769" s="52">
        <v>6</v>
      </c>
      <c r="C769" s="52"/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/>
      <c r="D771" s="52"/>
      <c r="E771" s="52"/>
      <c r="F771" s="52"/>
    </row>
    <row r="772" spans="1:6" ht="14.5">
      <c r="A772" s="49">
        <v>44607</v>
      </c>
      <c r="B772" s="52">
        <v>7</v>
      </c>
      <c r="C772" s="52"/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/>
      <c r="D774" s="52"/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/>
      <c r="D776" s="52"/>
      <c r="E776" s="52"/>
      <c r="F776" s="52"/>
    </row>
    <row r="777" spans="1:6" ht="14.5">
      <c r="A777" s="49">
        <v>44612</v>
      </c>
      <c r="B777" s="52">
        <v>7</v>
      </c>
      <c r="C777" s="52"/>
      <c r="D777" s="52">
        <v>1</v>
      </c>
      <c r="E777" s="52"/>
      <c r="F777" s="52"/>
    </row>
    <row r="778" spans="1:6" ht="14.5">
      <c r="A778" s="49">
        <v>44613</v>
      </c>
      <c r="B778" s="52">
        <v>8</v>
      </c>
      <c r="C778" s="52"/>
      <c r="D778" s="52"/>
      <c r="E778" s="52"/>
      <c r="F778" s="52"/>
    </row>
    <row r="779" spans="1:6" ht="14.5">
      <c r="A779" s="49">
        <v>44614</v>
      </c>
      <c r="B779" s="52">
        <v>8</v>
      </c>
      <c r="C779" s="52">
        <v>1</v>
      </c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/>
      <c r="D781" s="52">
        <v>1</v>
      </c>
      <c r="E781" s="52"/>
      <c r="F781" s="52"/>
    </row>
    <row r="782" spans="1:6" ht="14.5">
      <c r="A782" s="49">
        <v>44617</v>
      </c>
      <c r="B782" s="52">
        <v>8</v>
      </c>
      <c r="C782" s="52">
        <f>2</f>
        <v>2</v>
      </c>
      <c r="D782" s="52"/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1</f>
        <v>1</v>
      </c>
      <c r="D785" s="52"/>
      <c r="E785" s="52"/>
      <c r="F785" s="52"/>
    </row>
    <row r="786" spans="1:6" ht="14.5">
      <c r="C786" s="45"/>
      <c r="D786" s="45"/>
      <c r="E786" s="45"/>
      <c r="F786" s="45"/>
    </row>
    <row r="787" spans="1:6" ht="14.5">
      <c r="C787" s="45"/>
      <c r="D787" s="45"/>
      <c r="E787" s="45"/>
      <c r="F787" s="45"/>
    </row>
    <row r="788" spans="1:6" ht="14.5">
      <c r="C788" s="45"/>
      <c r="D788" s="45"/>
      <c r="E788" s="45"/>
      <c r="F788" s="45"/>
    </row>
    <row r="789" spans="1:6" ht="14.5">
      <c r="C789" s="45"/>
      <c r="D789" s="45"/>
      <c r="E789" s="45"/>
      <c r="F789" s="45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00000000-0004-0000-34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G855"/>
  <sheetViews>
    <sheetView zoomScaleNormal="100" workbookViewId="0">
      <pane ySplit="7" topLeftCell="A8" activePane="bottomLeft" state="frozen"/>
      <selection pane="bottomLeft" activeCell="G7" sqref="G7"/>
    </sheetView>
  </sheetViews>
  <sheetFormatPr defaultColWidth="12.58203125" defaultRowHeight="15" customHeight="1"/>
  <cols>
    <col min="1" max="1" width="12.58203125" style="55"/>
    <col min="2" max="2" width="5.6640625" style="55" bestFit="1" customWidth="1"/>
    <col min="3" max="3" width="11.83203125" style="55" bestFit="1" customWidth="1"/>
    <col min="4" max="4" width="12.6640625" style="55" bestFit="1" customWidth="1"/>
    <col min="5" max="5" width="11.33203125" style="55" bestFit="1" customWidth="1"/>
    <col min="6" max="6" width="14.9140625" style="55" bestFit="1" customWidth="1"/>
    <col min="7" max="7" width="66.33203125" style="55" customWidth="1"/>
    <col min="8" max="16384" width="12.58203125" style="55"/>
  </cols>
  <sheetData>
    <row r="1" spans="1:7" ht="15" customHeight="1">
      <c r="A1" s="147" t="s">
        <v>75</v>
      </c>
      <c r="B1" s="115"/>
      <c r="C1" s="115"/>
      <c r="D1" s="115"/>
      <c r="E1" s="115"/>
      <c r="F1" s="116"/>
      <c r="G1" s="69" t="s">
        <v>86</v>
      </c>
    </row>
    <row r="2" spans="1:7" ht="15" customHeight="1">
      <c r="A2" s="141" t="s">
        <v>25</v>
      </c>
      <c r="B2" s="115"/>
      <c r="C2" s="115"/>
      <c r="D2" s="115"/>
      <c r="E2" s="115"/>
      <c r="F2" s="116"/>
      <c r="G2" s="68"/>
    </row>
    <row r="3" spans="1:7" ht="15" customHeight="1">
      <c r="A3" s="118" t="s">
        <v>423</v>
      </c>
      <c r="B3" s="115"/>
      <c r="C3" s="115"/>
      <c r="D3" s="115"/>
      <c r="E3" s="115"/>
      <c r="F3" s="116"/>
      <c r="G3" s="4"/>
    </row>
    <row r="4" spans="1:7" ht="15" customHeight="1">
      <c r="A4" s="118"/>
      <c r="B4" s="115"/>
      <c r="C4" s="115"/>
      <c r="D4" s="115"/>
      <c r="E4" s="115"/>
      <c r="F4" s="116"/>
    </row>
    <row r="5" spans="1:7" ht="15" customHeight="1">
      <c r="A5" s="128" t="s">
        <v>85</v>
      </c>
      <c r="B5" s="115"/>
      <c r="C5" s="115"/>
      <c r="D5" s="115"/>
      <c r="E5" s="115"/>
      <c r="F5" s="116"/>
    </row>
    <row r="6" spans="1:7" ht="15" customHeight="1">
      <c r="A6" s="118"/>
      <c r="B6" s="115"/>
      <c r="C6" s="115"/>
      <c r="D6" s="115"/>
      <c r="E6" s="115"/>
      <c r="F6" s="116"/>
    </row>
    <row r="7" spans="1:7" ht="14.5">
      <c r="A7" s="5" t="s">
        <v>88</v>
      </c>
      <c r="B7" s="5" t="s">
        <v>89</v>
      </c>
      <c r="C7" s="5" t="s">
        <v>90</v>
      </c>
      <c r="D7" s="5" t="s">
        <v>91</v>
      </c>
      <c r="E7" s="6" t="s">
        <v>92</v>
      </c>
      <c r="F7" s="6" t="s">
        <v>93</v>
      </c>
    </row>
    <row r="8" spans="1:7" ht="15" customHeight="1">
      <c r="A8" s="25">
        <v>43843</v>
      </c>
      <c r="B8" s="26">
        <v>1</v>
      </c>
      <c r="C8" s="21"/>
      <c r="D8" s="21"/>
      <c r="E8" s="7"/>
      <c r="F8" s="7"/>
      <c r="G8" s="54"/>
    </row>
    <row r="9" spans="1:7" ht="15" customHeight="1">
      <c r="A9" s="25">
        <v>43844</v>
      </c>
      <c r="B9" s="26">
        <v>1</v>
      </c>
      <c r="C9" s="22"/>
      <c r="D9" s="22"/>
      <c r="E9" s="14"/>
      <c r="F9" s="14"/>
      <c r="G9" s="54"/>
    </row>
    <row r="10" spans="1:7" ht="15" customHeight="1">
      <c r="A10" s="25">
        <v>43845</v>
      </c>
      <c r="B10" s="26">
        <v>1</v>
      </c>
      <c r="C10" s="22"/>
      <c r="D10" s="22"/>
      <c r="E10" s="14"/>
      <c r="F10" s="14"/>
      <c r="G10" s="54"/>
    </row>
    <row r="11" spans="1:7" ht="15" customHeight="1">
      <c r="A11" s="25">
        <v>43846</v>
      </c>
      <c r="B11" s="26">
        <v>1</v>
      </c>
      <c r="C11" s="22"/>
      <c r="D11" s="22"/>
      <c r="E11" s="14"/>
      <c r="F11" s="14"/>
      <c r="G11" s="54"/>
    </row>
    <row r="12" spans="1:7" ht="15" customHeight="1">
      <c r="A12" s="25">
        <v>43847</v>
      </c>
      <c r="B12" s="26">
        <v>1</v>
      </c>
      <c r="C12" s="22"/>
      <c r="D12" s="22"/>
      <c r="E12" s="14"/>
      <c r="F12" s="14"/>
      <c r="G12" s="54"/>
    </row>
    <row r="13" spans="1:7" ht="15" customHeight="1">
      <c r="A13" s="25">
        <v>43848</v>
      </c>
      <c r="B13" s="26">
        <v>1</v>
      </c>
      <c r="C13" s="22"/>
      <c r="D13" s="22"/>
      <c r="E13" s="14"/>
      <c r="F13" s="14"/>
      <c r="G13" s="54"/>
    </row>
    <row r="14" spans="1:7" ht="15" customHeight="1">
      <c r="A14" s="25">
        <v>43849</v>
      </c>
      <c r="B14" s="26">
        <v>1</v>
      </c>
      <c r="C14" s="22"/>
      <c r="D14" s="22"/>
      <c r="E14" s="14"/>
      <c r="F14" s="14"/>
      <c r="G14" s="54"/>
    </row>
    <row r="15" spans="1:7" ht="15" customHeight="1">
      <c r="A15" s="25">
        <v>43850</v>
      </c>
      <c r="B15" s="26">
        <v>2</v>
      </c>
      <c r="C15" s="22"/>
      <c r="D15" s="22"/>
      <c r="E15" s="14"/>
      <c r="F15" s="14"/>
      <c r="G15" s="54"/>
    </row>
    <row r="16" spans="1:7" ht="15" customHeight="1">
      <c r="A16" s="25">
        <v>43851</v>
      </c>
      <c r="B16" s="26">
        <v>2</v>
      </c>
      <c r="C16" s="22"/>
      <c r="D16" s="22"/>
      <c r="E16" s="14"/>
      <c r="F16" s="14"/>
      <c r="G16" s="54"/>
    </row>
    <row r="17" spans="1:7" ht="15" customHeight="1">
      <c r="A17" s="25">
        <v>43852</v>
      </c>
      <c r="B17" s="26">
        <v>2</v>
      </c>
      <c r="C17" s="22"/>
      <c r="D17" s="22"/>
      <c r="E17" s="14"/>
      <c r="F17" s="14"/>
      <c r="G17" s="54"/>
    </row>
    <row r="18" spans="1:7" ht="15" customHeight="1">
      <c r="A18" s="25">
        <v>43853</v>
      </c>
      <c r="B18" s="26">
        <v>2</v>
      </c>
      <c r="C18" s="22"/>
      <c r="D18" s="22"/>
      <c r="E18" s="14"/>
      <c r="F18" s="14"/>
      <c r="G18" s="54"/>
    </row>
    <row r="19" spans="1:7" ht="15" customHeight="1">
      <c r="A19" s="25">
        <v>43854</v>
      </c>
      <c r="B19" s="26">
        <v>2</v>
      </c>
      <c r="C19" s="22"/>
      <c r="D19" s="22"/>
      <c r="E19" s="14"/>
      <c r="F19" s="14"/>
      <c r="G19" s="54"/>
    </row>
    <row r="20" spans="1:7" ht="15" customHeight="1">
      <c r="A20" s="25">
        <v>43855</v>
      </c>
      <c r="B20" s="26">
        <v>2</v>
      </c>
      <c r="C20" s="22"/>
      <c r="D20" s="22"/>
      <c r="E20" s="14"/>
      <c r="F20" s="14"/>
      <c r="G20" s="54"/>
    </row>
    <row r="21" spans="1:7" ht="15" customHeight="1">
      <c r="A21" s="25">
        <v>43856</v>
      </c>
      <c r="B21" s="26">
        <v>2</v>
      </c>
      <c r="C21" s="22"/>
      <c r="D21" s="22"/>
      <c r="E21" s="14"/>
      <c r="F21" s="14"/>
      <c r="G21" s="54"/>
    </row>
    <row r="22" spans="1:7" ht="15" customHeight="1">
      <c r="A22" s="25">
        <v>43857</v>
      </c>
      <c r="B22" s="26">
        <v>3</v>
      </c>
      <c r="C22" s="22"/>
      <c r="D22" s="22"/>
      <c r="E22" s="14"/>
      <c r="F22" s="14"/>
      <c r="G22" s="54"/>
    </row>
    <row r="23" spans="1:7" ht="15" customHeight="1">
      <c r="A23" s="25">
        <v>43858</v>
      </c>
      <c r="B23" s="26">
        <v>3</v>
      </c>
      <c r="C23" s="22"/>
      <c r="D23" s="22"/>
      <c r="E23" s="14"/>
      <c r="F23" s="14"/>
      <c r="G23" s="54"/>
    </row>
    <row r="24" spans="1:7" ht="15" customHeight="1">
      <c r="A24" s="25">
        <v>43859</v>
      </c>
      <c r="B24" s="26">
        <v>3</v>
      </c>
      <c r="C24" s="22"/>
      <c r="D24" s="22"/>
      <c r="E24" s="14"/>
      <c r="F24" s="8"/>
      <c r="G24" s="54"/>
    </row>
    <row r="25" spans="1:7" ht="15" customHeight="1">
      <c r="A25" s="25">
        <v>43860</v>
      </c>
      <c r="B25" s="26">
        <v>3</v>
      </c>
      <c r="C25" s="22"/>
      <c r="D25" s="22"/>
      <c r="E25" s="14"/>
      <c r="F25" s="9"/>
      <c r="G25" s="54"/>
    </row>
    <row r="26" spans="1:7" ht="15" customHeight="1">
      <c r="A26" s="25">
        <v>43861</v>
      </c>
      <c r="B26" s="26">
        <v>3</v>
      </c>
      <c r="C26" s="22"/>
      <c r="D26" s="22"/>
      <c r="E26" s="14"/>
      <c r="F26" s="14"/>
      <c r="G26" s="54"/>
    </row>
    <row r="27" spans="1:7" ht="15" customHeight="1">
      <c r="A27" s="25">
        <v>43862</v>
      </c>
      <c r="B27" s="26">
        <v>3</v>
      </c>
      <c r="C27" s="22"/>
      <c r="D27" s="22"/>
      <c r="E27" s="14"/>
      <c r="F27" s="14"/>
      <c r="G27" s="54"/>
    </row>
    <row r="28" spans="1:7" ht="15" customHeight="1">
      <c r="A28" s="25">
        <v>43863</v>
      </c>
      <c r="B28" s="26">
        <v>3</v>
      </c>
      <c r="C28" s="22"/>
      <c r="D28" s="22"/>
      <c r="E28" s="14"/>
      <c r="F28" s="14"/>
      <c r="G28" s="54"/>
    </row>
    <row r="29" spans="1:7" ht="15" customHeight="1">
      <c r="A29" s="25">
        <v>43864</v>
      </c>
      <c r="B29" s="26">
        <v>4</v>
      </c>
      <c r="C29" s="22"/>
      <c r="D29" s="22"/>
      <c r="E29" s="14"/>
      <c r="F29" s="14"/>
      <c r="G29" s="54"/>
    </row>
    <row r="30" spans="1:7" ht="15" customHeight="1">
      <c r="A30" s="25">
        <v>43865</v>
      </c>
      <c r="B30" s="26">
        <v>4</v>
      </c>
      <c r="C30" s="22"/>
      <c r="D30" s="22"/>
      <c r="E30" s="14"/>
      <c r="F30" s="9"/>
      <c r="G30" s="54"/>
    </row>
    <row r="31" spans="1:7" ht="15" customHeight="1">
      <c r="A31" s="25">
        <v>43866</v>
      </c>
      <c r="B31" s="26">
        <v>4</v>
      </c>
      <c r="C31" s="22"/>
      <c r="D31" s="22"/>
      <c r="E31" s="14"/>
      <c r="F31" s="8"/>
      <c r="G31" s="54"/>
    </row>
    <row r="32" spans="1:7" ht="15" customHeight="1">
      <c r="A32" s="25">
        <v>43867</v>
      </c>
      <c r="B32" s="26">
        <v>4</v>
      </c>
      <c r="C32" s="22"/>
      <c r="D32" s="22"/>
      <c r="E32" s="14"/>
      <c r="F32" s="8"/>
      <c r="G32" s="54"/>
    </row>
    <row r="33" spans="1:7" ht="15" customHeight="1">
      <c r="A33" s="25">
        <v>43868</v>
      </c>
      <c r="B33" s="26">
        <v>4</v>
      </c>
      <c r="C33" s="22"/>
      <c r="D33" s="22"/>
      <c r="E33" s="14"/>
      <c r="F33" s="14"/>
      <c r="G33" s="54"/>
    </row>
    <row r="34" spans="1:7" ht="15" customHeight="1">
      <c r="A34" s="25">
        <v>43869</v>
      </c>
      <c r="B34" s="26">
        <v>4</v>
      </c>
      <c r="C34" s="22"/>
      <c r="D34" s="22"/>
      <c r="E34" s="14"/>
      <c r="F34" s="14"/>
      <c r="G34" s="54"/>
    </row>
    <row r="35" spans="1:7" ht="15" customHeight="1">
      <c r="A35" s="25">
        <v>43870</v>
      </c>
      <c r="B35" s="26">
        <v>4</v>
      </c>
      <c r="C35" s="22"/>
      <c r="D35" s="22"/>
      <c r="E35" s="14"/>
      <c r="F35" s="14"/>
      <c r="G35" s="54"/>
    </row>
    <row r="36" spans="1:7" ht="15" customHeight="1">
      <c r="A36" s="25">
        <v>43871</v>
      </c>
      <c r="B36" s="26">
        <v>5</v>
      </c>
      <c r="C36" s="22"/>
      <c r="D36" s="22"/>
      <c r="E36" s="14"/>
      <c r="F36" s="14"/>
      <c r="G36" s="54"/>
    </row>
    <row r="37" spans="1:7" ht="15" customHeight="1">
      <c r="A37" s="25">
        <v>43872</v>
      </c>
      <c r="B37" s="26">
        <v>5</v>
      </c>
      <c r="C37" s="22"/>
      <c r="D37" s="22"/>
      <c r="E37" s="14"/>
      <c r="F37" s="14"/>
      <c r="G37" s="54"/>
    </row>
    <row r="38" spans="1:7" ht="15" customHeight="1">
      <c r="A38" s="25">
        <v>43873</v>
      </c>
      <c r="B38" s="26">
        <v>5</v>
      </c>
      <c r="C38" s="22"/>
      <c r="D38" s="22"/>
      <c r="E38" s="14"/>
      <c r="F38" s="14"/>
      <c r="G38" s="54"/>
    </row>
    <row r="39" spans="1:7" ht="15" customHeight="1">
      <c r="A39" s="25">
        <v>43874</v>
      </c>
      <c r="B39" s="26">
        <v>5</v>
      </c>
      <c r="C39" s="22"/>
      <c r="D39" s="22"/>
      <c r="E39" s="14"/>
      <c r="F39" s="14"/>
      <c r="G39" s="54"/>
    </row>
    <row r="40" spans="1:7" ht="15" customHeight="1">
      <c r="A40" s="25">
        <v>43875</v>
      </c>
      <c r="B40" s="26">
        <v>5</v>
      </c>
      <c r="C40" s="22"/>
      <c r="D40" s="22"/>
      <c r="E40" s="14"/>
      <c r="F40" s="14"/>
      <c r="G40" s="54"/>
    </row>
    <row r="41" spans="1:7" ht="15" customHeight="1">
      <c r="A41" s="25">
        <v>43876</v>
      </c>
      <c r="B41" s="26">
        <v>5</v>
      </c>
      <c r="C41" s="22"/>
      <c r="D41" s="22"/>
      <c r="E41" s="14"/>
      <c r="F41" s="14"/>
      <c r="G41" s="54"/>
    </row>
    <row r="42" spans="1:7" ht="15" customHeight="1">
      <c r="A42" s="25">
        <v>43877</v>
      </c>
      <c r="B42" s="26">
        <v>5</v>
      </c>
      <c r="C42" s="22"/>
      <c r="D42" s="22"/>
      <c r="E42" s="14"/>
      <c r="F42" s="27"/>
      <c r="G42" s="54"/>
    </row>
    <row r="43" spans="1:7" ht="15" customHeight="1">
      <c r="A43" s="25">
        <v>43878</v>
      </c>
      <c r="B43" s="26">
        <v>6</v>
      </c>
      <c r="C43" s="22"/>
      <c r="D43" s="22"/>
      <c r="E43" s="14"/>
      <c r="F43" s="8"/>
      <c r="G43" s="54"/>
    </row>
    <row r="44" spans="1:7" ht="15" customHeight="1">
      <c r="A44" s="25">
        <v>43879</v>
      </c>
      <c r="B44" s="26">
        <v>6</v>
      </c>
      <c r="C44" s="22"/>
      <c r="D44" s="22"/>
      <c r="E44" s="14"/>
      <c r="F44" s="8"/>
      <c r="G44" s="54"/>
    </row>
    <row r="45" spans="1:7" ht="15" customHeight="1">
      <c r="A45" s="25">
        <v>43880</v>
      </c>
      <c r="B45" s="26">
        <v>6</v>
      </c>
      <c r="C45" s="22"/>
      <c r="D45" s="22"/>
      <c r="E45" s="14"/>
      <c r="F45" s="14"/>
      <c r="G45" s="54"/>
    </row>
    <row r="46" spans="1:7" ht="15" customHeight="1">
      <c r="A46" s="25">
        <v>43881</v>
      </c>
      <c r="B46" s="26">
        <v>6</v>
      </c>
      <c r="C46" s="22"/>
      <c r="D46" s="22"/>
      <c r="E46" s="14"/>
      <c r="F46" s="8"/>
      <c r="G46" s="54"/>
    </row>
    <row r="47" spans="1:7" ht="15" customHeight="1">
      <c r="A47" s="25">
        <v>43882</v>
      </c>
      <c r="B47" s="26">
        <v>6</v>
      </c>
      <c r="C47" s="22"/>
      <c r="D47" s="22"/>
      <c r="E47" s="14"/>
      <c r="F47" s="14"/>
      <c r="G47" s="54"/>
    </row>
    <row r="48" spans="1:7" ht="15" customHeight="1">
      <c r="A48" s="25">
        <v>43883</v>
      </c>
      <c r="B48" s="26">
        <v>6</v>
      </c>
      <c r="C48" s="22"/>
      <c r="D48" s="22"/>
      <c r="E48" s="14"/>
      <c r="F48" s="14"/>
      <c r="G48" s="54"/>
    </row>
    <row r="49" spans="1:7" ht="14.5">
      <c r="A49" s="25">
        <v>43884</v>
      </c>
      <c r="B49" s="26">
        <v>6</v>
      </c>
      <c r="C49" s="22"/>
      <c r="D49" s="22"/>
      <c r="E49" s="14"/>
      <c r="F49" s="14"/>
      <c r="G49" s="54"/>
    </row>
    <row r="50" spans="1:7" ht="14.5">
      <c r="A50" s="25">
        <v>43885</v>
      </c>
      <c r="B50" s="26">
        <v>7</v>
      </c>
      <c r="C50" s="22"/>
      <c r="D50" s="22"/>
      <c r="E50" s="14"/>
      <c r="F50" s="14"/>
      <c r="G50" s="54"/>
    </row>
    <row r="51" spans="1:7" ht="14.5">
      <c r="A51" s="25">
        <v>43886</v>
      </c>
      <c r="B51" s="26">
        <v>7</v>
      </c>
      <c r="C51" s="22"/>
      <c r="D51" s="22"/>
      <c r="E51" s="14"/>
      <c r="F51" s="14"/>
      <c r="G51" s="54"/>
    </row>
    <row r="52" spans="1:7" ht="14.5">
      <c r="A52" s="25">
        <v>43887</v>
      </c>
      <c r="B52" s="26">
        <v>7</v>
      </c>
      <c r="C52" s="22"/>
      <c r="D52" s="22"/>
      <c r="E52" s="14"/>
      <c r="F52" s="14"/>
      <c r="G52" s="54"/>
    </row>
    <row r="53" spans="1:7" ht="14.5">
      <c r="A53" s="25">
        <v>43888</v>
      </c>
      <c r="B53" s="26">
        <v>7</v>
      </c>
      <c r="C53" s="22"/>
      <c r="D53" s="22"/>
      <c r="E53" s="14"/>
      <c r="F53" s="14"/>
      <c r="G53" s="54"/>
    </row>
    <row r="54" spans="1:7" ht="14.5">
      <c r="A54" s="25">
        <v>43889</v>
      </c>
      <c r="B54" s="26">
        <v>7</v>
      </c>
      <c r="C54" s="22"/>
      <c r="D54" s="22"/>
      <c r="E54" s="14"/>
      <c r="F54" s="14"/>
      <c r="G54" s="54"/>
    </row>
    <row r="55" spans="1:7" ht="14.5">
      <c r="A55" s="25">
        <v>43890</v>
      </c>
      <c r="B55" s="26">
        <v>7</v>
      </c>
      <c r="C55" s="22"/>
      <c r="D55" s="22"/>
      <c r="E55" s="14"/>
      <c r="F55" s="14"/>
      <c r="G55" s="54"/>
    </row>
    <row r="56" spans="1:7" ht="14.5">
      <c r="A56" s="25">
        <v>43891</v>
      </c>
      <c r="B56" s="26">
        <v>7</v>
      </c>
      <c r="C56" s="22"/>
      <c r="D56" s="22"/>
      <c r="E56" s="14"/>
      <c r="F56" s="14"/>
      <c r="G56" s="54"/>
    </row>
    <row r="57" spans="1:7" ht="14.5">
      <c r="A57" s="25">
        <v>43892</v>
      </c>
      <c r="B57" s="26">
        <v>8</v>
      </c>
      <c r="C57" s="22"/>
      <c r="D57" s="22"/>
      <c r="E57" s="14"/>
      <c r="F57" s="14"/>
      <c r="G57" s="54"/>
    </row>
    <row r="58" spans="1:7" ht="14.5">
      <c r="A58" s="25">
        <v>43893</v>
      </c>
      <c r="B58" s="26">
        <v>8</v>
      </c>
      <c r="C58" s="22"/>
      <c r="D58" s="22"/>
      <c r="E58" s="14"/>
      <c r="F58" s="14"/>
      <c r="G58" s="54"/>
    </row>
    <row r="59" spans="1:7" ht="14.5">
      <c r="A59" s="25">
        <v>43894</v>
      </c>
      <c r="B59" s="26">
        <v>8</v>
      </c>
      <c r="C59" s="22"/>
      <c r="D59" s="22"/>
      <c r="E59" s="14"/>
      <c r="F59" s="14"/>
      <c r="G59" s="54"/>
    </row>
    <row r="60" spans="1:7" ht="14.5">
      <c r="A60" s="25">
        <v>43895</v>
      </c>
      <c r="B60" s="26">
        <v>8</v>
      </c>
      <c r="C60" s="22"/>
      <c r="D60" s="22"/>
      <c r="E60" s="14"/>
      <c r="F60" s="14"/>
      <c r="G60" s="54"/>
    </row>
    <row r="61" spans="1:7" ht="14.5">
      <c r="A61" s="25">
        <v>43896</v>
      </c>
      <c r="B61" s="26">
        <v>8</v>
      </c>
      <c r="C61" s="22"/>
      <c r="D61" s="22"/>
      <c r="E61" s="14"/>
      <c r="F61" s="14"/>
      <c r="G61" s="54"/>
    </row>
    <row r="62" spans="1:7" ht="14.5">
      <c r="A62" s="25">
        <v>43897</v>
      </c>
      <c r="B62" s="26">
        <v>8</v>
      </c>
      <c r="C62" s="22"/>
      <c r="D62" s="22"/>
      <c r="E62" s="14"/>
      <c r="F62" s="14"/>
      <c r="G62" s="54"/>
    </row>
    <row r="63" spans="1:7" ht="14.5">
      <c r="A63" s="25">
        <v>43898</v>
      </c>
      <c r="B63" s="26">
        <v>8</v>
      </c>
      <c r="C63" s="22"/>
      <c r="D63" s="22"/>
      <c r="E63" s="14"/>
      <c r="F63" s="14"/>
      <c r="G63" s="54"/>
    </row>
    <row r="64" spans="1:7" ht="14.5">
      <c r="A64" s="25">
        <v>43899</v>
      </c>
      <c r="B64" s="26">
        <v>9</v>
      </c>
      <c r="C64" s="22"/>
      <c r="D64" s="22"/>
      <c r="E64" s="14"/>
      <c r="F64" s="14"/>
      <c r="G64" s="54"/>
    </row>
    <row r="65" spans="1:7" ht="14.5">
      <c r="A65" s="25">
        <v>43900</v>
      </c>
      <c r="B65" s="26">
        <v>9</v>
      </c>
      <c r="C65" s="22"/>
      <c r="D65" s="22"/>
      <c r="E65" s="14"/>
      <c r="F65" s="14"/>
      <c r="G65" s="54"/>
    </row>
    <row r="66" spans="1:7" ht="14.5">
      <c r="A66" s="25">
        <v>43901</v>
      </c>
      <c r="B66" s="26">
        <v>9</v>
      </c>
      <c r="C66" s="22"/>
      <c r="D66" s="22"/>
      <c r="E66" s="14"/>
      <c r="F66" s="14"/>
      <c r="G66" s="54"/>
    </row>
    <row r="67" spans="1:7" ht="14.5">
      <c r="A67" s="25">
        <v>43902</v>
      </c>
      <c r="B67" s="26">
        <v>9</v>
      </c>
      <c r="C67" s="22"/>
      <c r="D67" s="22"/>
      <c r="E67" s="14"/>
      <c r="F67" s="14"/>
      <c r="G67" s="54"/>
    </row>
    <row r="68" spans="1:7" ht="14.5">
      <c r="A68" s="25">
        <v>43903</v>
      </c>
      <c r="B68" s="26">
        <v>9</v>
      </c>
      <c r="C68" s="22"/>
      <c r="D68" s="22"/>
      <c r="E68" s="14"/>
      <c r="F68" s="14"/>
      <c r="G68" s="54"/>
    </row>
    <row r="69" spans="1:7" ht="14.5">
      <c r="A69" s="25">
        <v>43904</v>
      </c>
      <c r="B69" s="26">
        <v>9</v>
      </c>
      <c r="C69" s="22"/>
      <c r="D69" s="22"/>
      <c r="E69" s="14"/>
      <c r="F69" s="14"/>
      <c r="G69" s="54"/>
    </row>
    <row r="70" spans="1:7" ht="14.5">
      <c r="A70" s="25">
        <v>43905</v>
      </c>
      <c r="B70" s="26">
        <v>9</v>
      </c>
      <c r="C70" s="22"/>
      <c r="D70" s="22"/>
      <c r="E70" s="14"/>
      <c r="F70" s="14"/>
      <c r="G70" s="54"/>
    </row>
    <row r="71" spans="1:7" ht="14.5">
      <c r="A71" s="25">
        <v>43906</v>
      </c>
      <c r="B71" s="26">
        <v>10</v>
      </c>
      <c r="C71" s="22"/>
      <c r="D71" s="22"/>
      <c r="E71" s="14"/>
      <c r="F71" s="14"/>
      <c r="G71" s="54"/>
    </row>
    <row r="72" spans="1:7" ht="14.5">
      <c r="A72" s="25">
        <v>43907</v>
      </c>
      <c r="B72" s="26">
        <v>10</v>
      </c>
      <c r="C72" s="22"/>
      <c r="D72" s="22"/>
      <c r="E72" s="14"/>
      <c r="F72" s="14"/>
      <c r="G72" s="54"/>
    </row>
    <row r="73" spans="1:7" ht="14.5">
      <c r="A73" s="25">
        <v>43908</v>
      </c>
      <c r="B73" s="26">
        <v>10</v>
      </c>
      <c r="C73" s="22"/>
      <c r="D73" s="22"/>
      <c r="E73" s="14"/>
      <c r="F73" s="14"/>
      <c r="G73" s="54"/>
    </row>
    <row r="74" spans="1:7" ht="14.5">
      <c r="A74" s="25">
        <v>43909</v>
      </c>
      <c r="B74" s="26">
        <v>10</v>
      </c>
      <c r="C74" s="22"/>
      <c r="D74" s="22"/>
      <c r="E74" s="14"/>
      <c r="F74" s="14"/>
      <c r="G74" s="54"/>
    </row>
    <row r="75" spans="1:7" ht="14.5">
      <c r="A75" s="25">
        <v>43910</v>
      </c>
      <c r="B75" s="26">
        <v>10</v>
      </c>
      <c r="C75" s="22"/>
      <c r="D75" s="22"/>
      <c r="E75" s="14"/>
      <c r="F75" s="14"/>
      <c r="G75" s="54"/>
    </row>
    <row r="76" spans="1:7" ht="14.5">
      <c r="A76" s="25">
        <v>43911</v>
      </c>
      <c r="B76" s="26">
        <v>10</v>
      </c>
      <c r="C76" s="22"/>
      <c r="D76" s="22"/>
      <c r="E76" s="14"/>
      <c r="F76" s="14"/>
      <c r="G76" s="54"/>
    </row>
    <row r="77" spans="1:7" ht="14.5">
      <c r="A77" s="25">
        <v>43912</v>
      </c>
      <c r="B77" s="26">
        <v>10</v>
      </c>
      <c r="C77" s="22"/>
      <c r="D77" s="22"/>
      <c r="E77" s="14"/>
      <c r="F77" s="14"/>
      <c r="G77" s="54"/>
    </row>
    <row r="78" spans="1:7" ht="14.5">
      <c r="A78" s="25">
        <v>43913</v>
      </c>
      <c r="B78" s="26">
        <v>11</v>
      </c>
      <c r="C78" s="22"/>
      <c r="D78" s="22"/>
      <c r="E78" s="14"/>
      <c r="F78" s="14"/>
      <c r="G78" s="54"/>
    </row>
    <row r="79" spans="1:7" ht="14.5">
      <c r="A79" s="25">
        <v>43914</v>
      </c>
      <c r="B79" s="26">
        <v>11</v>
      </c>
      <c r="C79" s="22"/>
      <c r="D79" s="22"/>
      <c r="E79" s="14"/>
      <c r="F79" s="14"/>
      <c r="G79" s="54"/>
    </row>
    <row r="80" spans="1:7" ht="14.5">
      <c r="A80" s="25">
        <v>43915</v>
      </c>
      <c r="B80" s="26">
        <v>11</v>
      </c>
      <c r="C80" s="22"/>
      <c r="D80" s="22"/>
      <c r="E80" s="14"/>
      <c r="F80" s="14"/>
      <c r="G80" s="54"/>
    </row>
    <row r="81" spans="1:7" ht="14.5">
      <c r="A81" s="25">
        <v>43916</v>
      </c>
      <c r="B81" s="26">
        <v>11</v>
      </c>
      <c r="C81" s="22"/>
      <c r="D81" s="22"/>
      <c r="E81" s="14"/>
      <c r="F81" s="14"/>
      <c r="G81" s="54"/>
    </row>
    <row r="82" spans="1:7" ht="14.5">
      <c r="A82" s="25">
        <v>43917</v>
      </c>
      <c r="B82" s="26">
        <v>11</v>
      </c>
      <c r="C82" s="22"/>
      <c r="D82" s="22"/>
      <c r="E82" s="14"/>
      <c r="F82" s="14"/>
      <c r="G82" s="54"/>
    </row>
    <row r="83" spans="1:7" ht="14.5">
      <c r="A83" s="25">
        <v>43918</v>
      </c>
      <c r="B83" s="26">
        <v>11</v>
      </c>
      <c r="C83" s="22"/>
      <c r="D83" s="22"/>
      <c r="E83" s="14"/>
      <c r="F83" s="14"/>
      <c r="G83" s="54"/>
    </row>
    <row r="84" spans="1:7" ht="14.5">
      <c r="A84" s="25">
        <v>43919</v>
      </c>
      <c r="B84" s="26">
        <v>11</v>
      </c>
      <c r="C84" s="22">
        <v>1</v>
      </c>
      <c r="D84" s="22"/>
      <c r="E84" s="14"/>
      <c r="F84" s="14"/>
      <c r="G84" s="54"/>
    </row>
    <row r="85" spans="1:7" ht="14.5">
      <c r="A85" s="25">
        <v>43920</v>
      </c>
      <c r="B85" s="26">
        <v>12</v>
      </c>
      <c r="C85" s="22"/>
      <c r="D85" s="22"/>
      <c r="E85" s="14"/>
      <c r="F85" s="14"/>
      <c r="G85" s="54"/>
    </row>
    <row r="86" spans="1:7" ht="14.5">
      <c r="A86" s="25">
        <v>43921</v>
      </c>
      <c r="B86" s="26">
        <v>12</v>
      </c>
      <c r="C86" s="22"/>
      <c r="D86" s="22"/>
      <c r="E86" s="14"/>
      <c r="F86" s="14"/>
      <c r="G86" s="54"/>
    </row>
    <row r="87" spans="1:7" ht="14.5">
      <c r="A87" s="25">
        <v>43922</v>
      </c>
      <c r="B87" s="26">
        <v>12</v>
      </c>
      <c r="C87" s="22"/>
      <c r="D87" s="22"/>
      <c r="E87" s="14"/>
      <c r="F87" s="14"/>
      <c r="G87" s="54"/>
    </row>
    <row r="88" spans="1:7" ht="14.5">
      <c r="A88" s="25">
        <v>43923</v>
      </c>
      <c r="B88" s="26">
        <v>12</v>
      </c>
      <c r="C88" s="22"/>
      <c r="D88" s="22"/>
      <c r="E88" s="14"/>
      <c r="F88" s="14"/>
      <c r="G88" s="54"/>
    </row>
    <row r="89" spans="1:7" ht="14.5">
      <c r="A89" s="25">
        <v>43924</v>
      </c>
      <c r="B89" s="26">
        <v>12</v>
      </c>
      <c r="C89" s="22"/>
      <c r="D89" s="22"/>
      <c r="E89" s="14"/>
      <c r="F89" s="14"/>
      <c r="G89" s="54"/>
    </row>
    <row r="90" spans="1:7" ht="14.5">
      <c r="A90" s="25">
        <v>43925</v>
      </c>
      <c r="B90" s="26">
        <v>12</v>
      </c>
      <c r="C90" s="22"/>
      <c r="D90" s="22"/>
      <c r="E90" s="14"/>
      <c r="F90" s="14"/>
      <c r="G90" s="54"/>
    </row>
    <row r="91" spans="1:7" ht="14.5">
      <c r="A91" s="25">
        <v>43926</v>
      </c>
      <c r="B91" s="26">
        <v>12</v>
      </c>
      <c r="C91" s="22"/>
      <c r="D91" s="22"/>
      <c r="E91" s="14"/>
      <c r="F91" s="14"/>
      <c r="G91" s="54"/>
    </row>
    <row r="92" spans="1:7" ht="14.5">
      <c r="A92" s="25">
        <v>43927</v>
      </c>
      <c r="B92" s="26">
        <v>13</v>
      </c>
      <c r="C92" s="22"/>
      <c r="D92" s="22"/>
      <c r="E92" s="14"/>
      <c r="F92" s="14"/>
      <c r="G92" s="54"/>
    </row>
    <row r="93" spans="1:7" ht="14.5">
      <c r="A93" s="25">
        <v>43928</v>
      </c>
      <c r="B93" s="26">
        <v>13</v>
      </c>
      <c r="C93" s="22"/>
      <c r="D93" s="22"/>
      <c r="E93" s="14"/>
      <c r="F93" s="14"/>
      <c r="G93" s="54"/>
    </row>
    <row r="94" spans="1:7" ht="14.5">
      <c r="A94" s="25">
        <v>43929</v>
      </c>
      <c r="B94" s="26">
        <v>13</v>
      </c>
      <c r="C94" s="22"/>
      <c r="D94" s="22"/>
      <c r="E94" s="14"/>
      <c r="F94" s="14"/>
      <c r="G94" s="54"/>
    </row>
    <row r="95" spans="1:7" ht="14.5">
      <c r="A95" s="25">
        <v>43930</v>
      </c>
      <c r="B95" s="26">
        <v>13</v>
      </c>
      <c r="C95" s="22"/>
      <c r="D95" s="22"/>
      <c r="E95" s="14"/>
      <c r="F95" s="14"/>
      <c r="G95" s="54"/>
    </row>
    <row r="96" spans="1:7" ht="14.5">
      <c r="A96" s="25">
        <v>43931</v>
      </c>
      <c r="B96" s="26">
        <v>13</v>
      </c>
      <c r="C96" s="22"/>
      <c r="D96" s="22"/>
      <c r="E96" s="14"/>
      <c r="F96" s="14"/>
      <c r="G96" s="54"/>
    </row>
    <row r="97" spans="1:7" ht="14.5">
      <c r="A97" s="25">
        <v>43932</v>
      </c>
      <c r="B97" s="26">
        <v>13</v>
      </c>
      <c r="C97" s="22"/>
      <c r="D97" s="22"/>
      <c r="E97" s="14"/>
      <c r="F97" s="14"/>
      <c r="G97" s="54"/>
    </row>
    <row r="98" spans="1:7" ht="14.5">
      <c r="A98" s="25">
        <v>43933</v>
      </c>
      <c r="B98" s="26">
        <v>13</v>
      </c>
      <c r="C98" s="22"/>
      <c r="D98" s="22"/>
      <c r="E98" s="14"/>
      <c r="F98" s="14"/>
      <c r="G98" s="54"/>
    </row>
    <row r="99" spans="1:7" ht="14.5">
      <c r="A99" s="25">
        <v>43934</v>
      </c>
      <c r="B99" s="26">
        <v>14</v>
      </c>
      <c r="C99" s="22"/>
      <c r="D99" s="22"/>
      <c r="E99" s="14"/>
      <c r="F99" s="14"/>
      <c r="G99" s="54"/>
    </row>
    <row r="100" spans="1:7" ht="14.5">
      <c r="A100" s="25">
        <v>43935</v>
      </c>
      <c r="B100" s="26">
        <v>14</v>
      </c>
      <c r="C100" s="22"/>
      <c r="D100" s="22"/>
      <c r="E100" s="14"/>
      <c r="F100" s="14"/>
      <c r="G100" s="54"/>
    </row>
    <row r="101" spans="1:7" ht="14.5">
      <c r="A101" s="25">
        <v>43936</v>
      </c>
      <c r="B101" s="26">
        <v>14</v>
      </c>
      <c r="C101" s="22"/>
      <c r="D101" s="22"/>
      <c r="E101" s="14"/>
      <c r="F101" s="14"/>
      <c r="G101" s="54"/>
    </row>
    <row r="102" spans="1:7" ht="14.5">
      <c r="A102" s="25">
        <v>43937</v>
      </c>
      <c r="B102" s="26">
        <v>14</v>
      </c>
      <c r="C102" s="22"/>
      <c r="D102" s="22"/>
      <c r="E102" s="14"/>
      <c r="F102" s="14"/>
      <c r="G102" s="54"/>
    </row>
    <row r="103" spans="1:7" ht="14.5">
      <c r="A103" s="25">
        <v>43938</v>
      </c>
      <c r="B103" s="26">
        <v>14</v>
      </c>
      <c r="C103" s="22"/>
      <c r="D103" s="22"/>
      <c r="E103" s="14"/>
      <c r="F103" s="14"/>
      <c r="G103" s="54"/>
    </row>
    <row r="104" spans="1:7" ht="14.5">
      <c r="A104" s="25">
        <v>43939</v>
      </c>
      <c r="B104" s="26">
        <v>14</v>
      </c>
      <c r="C104" s="22"/>
      <c r="D104" s="22"/>
      <c r="E104" s="14"/>
      <c r="F104" s="14"/>
      <c r="G104" s="54"/>
    </row>
    <row r="105" spans="1:7" ht="14.5">
      <c r="A105" s="25">
        <v>43940</v>
      </c>
      <c r="B105" s="26">
        <v>14</v>
      </c>
      <c r="C105" s="22"/>
      <c r="D105" s="22"/>
      <c r="E105" s="14"/>
      <c r="F105" s="14"/>
      <c r="G105" s="54"/>
    </row>
    <row r="106" spans="1:7" ht="14.5">
      <c r="A106" s="25">
        <v>43941</v>
      </c>
      <c r="B106" s="26">
        <v>15</v>
      </c>
      <c r="C106" s="22"/>
      <c r="D106" s="22"/>
      <c r="E106" s="14"/>
      <c r="F106" s="14"/>
      <c r="G106" s="54"/>
    </row>
    <row r="107" spans="1:7" ht="14.5">
      <c r="A107" s="25">
        <v>43942</v>
      </c>
      <c r="B107" s="26">
        <v>15</v>
      </c>
      <c r="C107" s="22"/>
      <c r="D107" s="22"/>
      <c r="E107" s="14"/>
      <c r="F107" s="14"/>
      <c r="G107" s="54"/>
    </row>
    <row r="108" spans="1:7" ht="14.5">
      <c r="A108" s="25">
        <v>43943</v>
      </c>
      <c r="B108" s="26">
        <v>15</v>
      </c>
      <c r="C108" s="22"/>
      <c r="D108" s="22"/>
      <c r="E108" s="14"/>
      <c r="F108" s="14"/>
      <c r="G108" s="54"/>
    </row>
    <row r="109" spans="1:7" ht="14.5">
      <c r="A109" s="25">
        <v>43944</v>
      </c>
      <c r="B109" s="26">
        <v>15</v>
      </c>
      <c r="C109" s="22"/>
      <c r="D109" s="22"/>
      <c r="E109" s="14"/>
      <c r="F109" s="14"/>
      <c r="G109" s="54"/>
    </row>
    <row r="110" spans="1:7" ht="14.5">
      <c r="A110" s="25">
        <v>43945</v>
      </c>
      <c r="B110" s="26">
        <v>15</v>
      </c>
      <c r="C110" s="22"/>
      <c r="D110" s="22"/>
      <c r="E110" s="14"/>
      <c r="F110" s="14"/>
      <c r="G110" s="54"/>
    </row>
    <row r="111" spans="1:7" ht="14.5">
      <c r="A111" s="25">
        <v>43946</v>
      </c>
      <c r="B111" s="26">
        <v>15</v>
      </c>
      <c r="C111" s="22"/>
      <c r="D111" s="22"/>
      <c r="E111" s="14"/>
      <c r="F111" s="14"/>
      <c r="G111" s="54"/>
    </row>
    <row r="112" spans="1:7" ht="14.5">
      <c r="A112" s="25">
        <v>43947</v>
      </c>
      <c r="B112" s="26">
        <v>15</v>
      </c>
      <c r="C112" s="22"/>
      <c r="D112" s="22"/>
      <c r="E112" s="14"/>
      <c r="F112" s="14"/>
      <c r="G112" s="54"/>
    </row>
    <row r="113" spans="1:7" ht="14.5">
      <c r="A113" s="25">
        <v>43948</v>
      </c>
      <c r="B113" s="26">
        <v>16</v>
      </c>
      <c r="C113" s="22"/>
      <c r="D113" s="22"/>
      <c r="E113" s="14"/>
      <c r="F113" s="14"/>
      <c r="G113" s="54"/>
    </row>
    <row r="114" spans="1:7" ht="14.5">
      <c r="A114" s="25">
        <v>43949</v>
      </c>
      <c r="B114" s="26">
        <v>16</v>
      </c>
      <c r="C114" s="22"/>
      <c r="D114" s="22"/>
      <c r="E114" s="14"/>
      <c r="F114" s="14"/>
      <c r="G114" s="54"/>
    </row>
    <row r="115" spans="1:7" ht="14.5">
      <c r="A115" s="25">
        <v>43950</v>
      </c>
      <c r="B115" s="26">
        <v>16</v>
      </c>
      <c r="C115" s="22"/>
      <c r="D115" s="22"/>
      <c r="E115" s="14"/>
      <c r="F115" s="14"/>
      <c r="G115" s="54"/>
    </row>
    <row r="116" spans="1:7" ht="14.5">
      <c r="A116" s="25">
        <v>43951</v>
      </c>
      <c r="B116" s="26">
        <v>16</v>
      </c>
      <c r="C116" s="22"/>
      <c r="D116" s="22"/>
      <c r="E116" s="14"/>
      <c r="F116" s="14"/>
      <c r="G116" s="54"/>
    </row>
    <row r="117" spans="1:7" ht="14.5">
      <c r="A117" s="25">
        <v>43952</v>
      </c>
      <c r="B117" s="26">
        <v>16</v>
      </c>
      <c r="C117" s="22"/>
      <c r="D117" s="22"/>
      <c r="E117" s="14"/>
      <c r="F117" s="14"/>
      <c r="G117" s="54"/>
    </row>
    <row r="118" spans="1:7" ht="14.5">
      <c r="A118" s="25">
        <v>43953</v>
      </c>
      <c r="B118" s="26">
        <v>16</v>
      </c>
      <c r="C118" s="22"/>
      <c r="D118" s="22"/>
      <c r="E118" s="14"/>
      <c r="F118" s="14"/>
      <c r="G118" s="54"/>
    </row>
    <row r="119" spans="1:7" ht="14.5">
      <c r="A119" s="25">
        <v>43954</v>
      </c>
      <c r="B119" s="26">
        <v>16</v>
      </c>
      <c r="C119" s="22"/>
      <c r="D119" s="22"/>
      <c r="E119" s="14"/>
      <c r="F119" s="14"/>
      <c r="G119" s="54"/>
    </row>
    <row r="120" spans="1:7" ht="14.5">
      <c r="A120" s="25">
        <v>43955</v>
      </c>
      <c r="B120" s="26">
        <v>17</v>
      </c>
      <c r="C120" s="22"/>
      <c r="D120" s="22"/>
      <c r="E120" s="14"/>
      <c r="F120" s="14"/>
      <c r="G120" s="54"/>
    </row>
    <row r="121" spans="1:7" ht="14.5">
      <c r="A121" s="25">
        <v>43956</v>
      </c>
      <c r="B121" s="26">
        <v>17</v>
      </c>
      <c r="C121" s="22"/>
      <c r="D121" s="22"/>
      <c r="E121" s="14"/>
      <c r="F121" s="14"/>
      <c r="G121" s="54"/>
    </row>
    <row r="122" spans="1:7" ht="14.5">
      <c r="A122" s="25">
        <v>43957</v>
      </c>
      <c r="B122" s="26">
        <v>17</v>
      </c>
      <c r="C122" s="22"/>
      <c r="D122" s="22"/>
      <c r="E122" s="14"/>
      <c r="F122" s="14"/>
      <c r="G122" s="54"/>
    </row>
    <row r="123" spans="1:7" ht="14.5">
      <c r="A123" s="25">
        <v>43958</v>
      </c>
      <c r="B123" s="26">
        <v>17</v>
      </c>
      <c r="C123" s="22"/>
      <c r="D123" s="22"/>
      <c r="E123" s="14"/>
      <c r="F123" s="14"/>
      <c r="G123" s="46"/>
    </row>
    <row r="124" spans="1:7" ht="14.5">
      <c r="A124" s="25">
        <v>43959</v>
      </c>
      <c r="B124" s="26">
        <v>17</v>
      </c>
      <c r="C124" s="22"/>
      <c r="D124" s="22"/>
      <c r="E124" s="14"/>
      <c r="F124" s="14"/>
      <c r="G124" s="54"/>
    </row>
    <row r="125" spans="1:7" ht="14.5">
      <c r="A125" s="25">
        <v>43960</v>
      </c>
      <c r="B125" s="26">
        <v>17</v>
      </c>
      <c r="C125" s="22"/>
      <c r="D125" s="22"/>
      <c r="E125" s="14"/>
      <c r="F125" s="14"/>
      <c r="G125" s="54"/>
    </row>
    <row r="126" spans="1:7" ht="14.5">
      <c r="A126" s="25">
        <v>43961</v>
      </c>
      <c r="B126" s="26">
        <v>17</v>
      </c>
      <c r="C126" s="22"/>
      <c r="D126" s="22"/>
      <c r="E126" s="14"/>
      <c r="F126" s="14"/>
      <c r="G126" s="54"/>
    </row>
    <row r="127" spans="1:7" ht="14.5">
      <c r="A127" s="25">
        <v>43962</v>
      </c>
      <c r="B127" s="26">
        <v>18</v>
      </c>
      <c r="C127" s="22"/>
      <c r="D127" s="22"/>
      <c r="E127" s="14"/>
      <c r="F127" s="14"/>
      <c r="G127" s="54"/>
    </row>
    <row r="128" spans="1:7" ht="14.5">
      <c r="A128" s="25">
        <v>43963</v>
      </c>
      <c r="B128" s="26">
        <v>18</v>
      </c>
      <c r="C128" s="22"/>
      <c r="D128" s="22"/>
      <c r="E128" s="14"/>
      <c r="F128" s="14"/>
      <c r="G128" s="54"/>
    </row>
    <row r="129" spans="1:7" ht="14.5">
      <c r="A129" s="25">
        <v>43964</v>
      </c>
      <c r="B129" s="26">
        <v>18</v>
      </c>
      <c r="C129" s="22"/>
      <c r="D129" s="22"/>
      <c r="E129" s="14"/>
      <c r="F129" s="14"/>
      <c r="G129" s="54"/>
    </row>
    <row r="130" spans="1:7" ht="14.5">
      <c r="A130" s="25">
        <v>43965</v>
      </c>
      <c r="B130" s="26">
        <v>18</v>
      </c>
      <c r="C130" s="22"/>
      <c r="D130" s="22"/>
      <c r="E130" s="14"/>
      <c r="F130" s="14"/>
      <c r="G130" s="54"/>
    </row>
    <row r="131" spans="1:7" ht="14.5">
      <c r="A131" s="25">
        <v>43966</v>
      </c>
      <c r="B131" s="26">
        <v>18</v>
      </c>
      <c r="C131" s="22"/>
      <c r="D131" s="22"/>
      <c r="E131" s="14"/>
      <c r="F131" s="14"/>
      <c r="G131" s="54"/>
    </row>
    <row r="132" spans="1:7" ht="14.5">
      <c r="A132" s="25">
        <v>43967</v>
      </c>
      <c r="B132" s="26">
        <v>18</v>
      </c>
      <c r="C132" s="22"/>
      <c r="D132" s="22"/>
      <c r="E132" s="14"/>
      <c r="F132" s="14"/>
      <c r="G132" s="54"/>
    </row>
    <row r="133" spans="1:7" ht="14.5">
      <c r="A133" s="25">
        <v>43968</v>
      </c>
      <c r="B133" s="26">
        <v>18</v>
      </c>
      <c r="C133" s="22"/>
      <c r="D133" s="22"/>
      <c r="E133" s="14"/>
      <c r="F133" s="14"/>
      <c r="G133" s="54"/>
    </row>
    <row r="134" spans="1:7" ht="14.5">
      <c r="A134" s="25">
        <v>43969</v>
      </c>
      <c r="B134" s="26">
        <v>19</v>
      </c>
      <c r="C134" s="22"/>
      <c r="D134" s="22"/>
      <c r="E134" s="14"/>
      <c r="F134" s="14"/>
      <c r="G134" s="54"/>
    </row>
    <row r="135" spans="1:7" ht="14.5">
      <c r="A135" s="25">
        <v>43970</v>
      </c>
      <c r="B135" s="26">
        <v>19</v>
      </c>
      <c r="C135" s="22"/>
      <c r="D135" s="22"/>
      <c r="E135" s="14"/>
      <c r="F135" s="14"/>
      <c r="G135" s="54"/>
    </row>
    <row r="136" spans="1:7" ht="14.5">
      <c r="A136" s="25">
        <v>43971</v>
      </c>
      <c r="B136" s="26">
        <v>19</v>
      </c>
      <c r="C136" s="22"/>
      <c r="D136" s="22"/>
      <c r="E136" s="14"/>
      <c r="F136" s="14"/>
      <c r="G136" s="54"/>
    </row>
    <row r="137" spans="1:7" ht="14.5">
      <c r="A137" s="25">
        <v>43972</v>
      </c>
      <c r="B137" s="26">
        <v>19</v>
      </c>
      <c r="C137" s="22"/>
      <c r="D137" s="22"/>
      <c r="E137" s="14"/>
      <c r="F137" s="14"/>
      <c r="G137" s="54"/>
    </row>
    <row r="138" spans="1:7" ht="14.5">
      <c r="A138" s="25">
        <v>43973</v>
      </c>
      <c r="B138" s="26">
        <v>19</v>
      </c>
      <c r="C138" s="22"/>
      <c r="D138" s="22"/>
      <c r="E138" s="14"/>
      <c r="F138" s="14"/>
      <c r="G138" s="54"/>
    </row>
    <row r="139" spans="1:7" ht="14.5">
      <c r="A139" s="25">
        <v>43974</v>
      </c>
      <c r="B139" s="26">
        <v>19</v>
      </c>
      <c r="C139" s="22"/>
      <c r="D139" s="22"/>
      <c r="E139" s="14"/>
      <c r="F139" s="14"/>
      <c r="G139" s="54"/>
    </row>
    <row r="140" spans="1:7" ht="14.5">
      <c r="A140" s="25">
        <v>43975</v>
      </c>
      <c r="B140" s="26">
        <v>19</v>
      </c>
      <c r="C140" s="22"/>
      <c r="D140" s="22"/>
      <c r="E140" s="14"/>
      <c r="F140" s="14"/>
      <c r="G140" s="54"/>
    </row>
    <row r="141" spans="1:7" ht="14.5">
      <c r="A141" s="25">
        <v>43976</v>
      </c>
      <c r="B141" s="26">
        <v>20</v>
      </c>
      <c r="C141" s="22"/>
      <c r="D141" s="22"/>
      <c r="E141" s="14"/>
      <c r="F141" s="14"/>
      <c r="G141" s="54"/>
    </row>
    <row r="142" spans="1:7" ht="14.5">
      <c r="A142" s="25">
        <v>43977</v>
      </c>
      <c r="B142" s="26">
        <v>20</v>
      </c>
      <c r="C142" s="22"/>
      <c r="D142" s="22"/>
      <c r="E142" s="14"/>
      <c r="F142" s="14"/>
      <c r="G142" s="54"/>
    </row>
    <row r="143" spans="1:7" ht="14.5">
      <c r="A143" s="25">
        <v>43978</v>
      </c>
      <c r="B143" s="26">
        <v>20</v>
      </c>
      <c r="C143" s="22"/>
      <c r="D143" s="22"/>
      <c r="E143" s="14"/>
      <c r="F143" s="14"/>
      <c r="G143" s="54"/>
    </row>
    <row r="144" spans="1:7" ht="14.5">
      <c r="A144" s="25">
        <v>43979</v>
      </c>
      <c r="B144" s="26">
        <v>20</v>
      </c>
      <c r="C144" s="22"/>
      <c r="D144" s="22"/>
      <c r="E144" s="14"/>
      <c r="F144" s="14"/>
      <c r="G144" s="54"/>
    </row>
    <row r="145" spans="1:7" ht="14.5">
      <c r="A145" s="25">
        <v>43980</v>
      </c>
      <c r="B145" s="26">
        <v>20</v>
      </c>
      <c r="C145" s="22"/>
      <c r="D145" s="22"/>
      <c r="E145" s="14"/>
      <c r="F145" s="14"/>
      <c r="G145" s="54"/>
    </row>
    <row r="146" spans="1:7" ht="14.5">
      <c r="A146" s="25">
        <v>43981</v>
      </c>
      <c r="B146" s="26">
        <v>20</v>
      </c>
      <c r="C146" s="22"/>
      <c r="D146" s="22"/>
      <c r="E146" s="14"/>
      <c r="F146" s="14"/>
      <c r="G146" s="54"/>
    </row>
    <row r="147" spans="1:7" ht="14.5">
      <c r="A147" s="25">
        <v>43982</v>
      </c>
      <c r="B147" s="26">
        <v>20</v>
      </c>
      <c r="C147" s="22"/>
      <c r="D147" s="22"/>
      <c r="E147" s="14"/>
      <c r="F147" s="14"/>
      <c r="G147" s="54"/>
    </row>
    <row r="148" spans="1:7" ht="14.5">
      <c r="A148" s="25">
        <v>43983</v>
      </c>
      <c r="B148" s="26">
        <v>21</v>
      </c>
      <c r="C148" s="22"/>
      <c r="D148" s="22"/>
      <c r="E148" s="14"/>
      <c r="F148" s="14"/>
      <c r="G148" s="54"/>
    </row>
    <row r="149" spans="1:7" ht="14.5">
      <c r="A149" s="25">
        <v>43984</v>
      </c>
      <c r="B149" s="26">
        <v>21</v>
      </c>
      <c r="C149" s="22"/>
      <c r="D149" s="22"/>
      <c r="E149" s="14"/>
      <c r="F149" s="14"/>
      <c r="G149" s="54"/>
    </row>
    <row r="150" spans="1:7" ht="14.5">
      <c r="A150" s="25">
        <v>43985</v>
      </c>
      <c r="B150" s="26">
        <v>21</v>
      </c>
      <c r="C150" s="22"/>
      <c r="D150" s="22"/>
      <c r="E150" s="14"/>
      <c r="F150" s="14"/>
      <c r="G150" s="54"/>
    </row>
    <row r="151" spans="1:7" ht="14.5">
      <c r="A151" s="25">
        <v>43986</v>
      </c>
      <c r="B151" s="26">
        <v>21</v>
      </c>
      <c r="C151" s="22"/>
      <c r="D151" s="22"/>
      <c r="E151" s="14"/>
      <c r="F151" s="14"/>
      <c r="G151" s="54"/>
    </row>
    <row r="152" spans="1:7" ht="14.5">
      <c r="A152" s="25">
        <v>43987</v>
      </c>
      <c r="B152" s="26">
        <v>21</v>
      </c>
      <c r="C152" s="22"/>
      <c r="D152" s="22"/>
      <c r="E152" s="14"/>
      <c r="F152" s="14"/>
      <c r="G152" s="54"/>
    </row>
    <row r="153" spans="1:7" ht="14.5">
      <c r="A153" s="25">
        <v>43988</v>
      </c>
      <c r="B153" s="26">
        <v>21</v>
      </c>
      <c r="C153" s="22"/>
      <c r="D153" s="22"/>
      <c r="E153" s="14"/>
      <c r="F153" s="14"/>
      <c r="G153" s="54"/>
    </row>
    <row r="154" spans="1:7" ht="14.5">
      <c r="A154" s="25">
        <v>43989</v>
      </c>
      <c r="B154" s="26">
        <v>21</v>
      </c>
      <c r="C154" s="22"/>
      <c r="D154" s="22"/>
      <c r="E154" s="14"/>
      <c r="F154" s="14"/>
      <c r="G154" s="54"/>
    </row>
    <row r="155" spans="1:7" ht="14.5">
      <c r="A155" s="25">
        <v>43990</v>
      </c>
      <c r="B155" s="26">
        <v>22</v>
      </c>
      <c r="C155" s="22"/>
      <c r="D155" s="22"/>
      <c r="E155" s="14"/>
      <c r="F155" s="14"/>
      <c r="G155" s="54"/>
    </row>
    <row r="156" spans="1:7" ht="14.5">
      <c r="A156" s="25">
        <v>43991</v>
      </c>
      <c r="B156" s="26">
        <v>22</v>
      </c>
      <c r="C156" s="22"/>
      <c r="D156" s="22"/>
      <c r="E156" s="14"/>
      <c r="F156" s="14"/>
      <c r="G156" s="54"/>
    </row>
    <row r="157" spans="1:7" ht="14.5">
      <c r="A157" s="25">
        <v>43992</v>
      </c>
      <c r="B157" s="26">
        <v>22</v>
      </c>
      <c r="C157" s="22"/>
      <c r="D157" s="22"/>
      <c r="E157" s="14"/>
      <c r="F157" s="14"/>
      <c r="G157" s="54"/>
    </row>
    <row r="158" spans="1:7" ht="14.5">
      <c r="A158" s="25">
        <v>43993</v>
      </c>
      <c r="B158" s="26">
        <v>22</v>
      </c>
      <c r="C158" s="22"/>
      <c r="D158" s="22"/>
      <c r="E158" s="14"/>
      <c r="F158" s="14"/>
      <c r="G158" s="54"/>
    </row>
    <row r="159" spans="1:7" ht="14.5">
      <c r="A159" s="25">
        <v>43994</v>
      </c>
      <c r="B159" s="26">
        <v>22</v>
      </c>
      <c r="C159" s="22"/>
      <c r="D159" s="22"/>
      <c r="E159" s="14"/>
      <c r="F159" s="14"/>
      <c r="G159" s="54"/>
    </row>
    <row r="160" spans="1:7" ht="14.5">
      <c r="A160" s="25">
        <v>43995</v>
      </c>
      <c r="B160" s="26">
        <v>22</v>
      </c>
      <c r="C160" s="22"/>
      <c r="D160" s="22"/>
      <c r="E160" s="14"/>
      <c r="F160" s="14"/>
      <c r="G160" s="54"/>
    </row>
    <row r="161" spans="1:7" ht="14.5">
      <c r="A161" s="25">
        <v>43996</v>
      </c>
      <c r="B161" s="26">
        <v>22</v>
      </c>
      <c r="C161" s="22"/>
      <c r="D161" s="22"/>
      <c r="E161" s="14"/>
      <c r="F161" s="14"/>
      <c r="G161" s="54"/>
    </row>
    <row r="162" spans="1:7" ht="14.5">
      <c r="A162" s="25">
        <v>43997</v>
      </c>
      <c r="B162" s="26">
        <v>23</v>
      </c>
      <c r="C162" s="22"/>
      <c r="D162" s="22"/>
      <c r="E162" s="14"/>
      <c r="F162" s="14"/>
      <c r="G162" s="54"/>
    </row>
    <row r="163" spans="1:7" ht="14.5">
      <c r="A163" s="25">
        <v>43998</v>
      </c>
      <c r="B163" s="26">
        <v>23</v>
      </c>
      <c r="C163" s="22"/>
      <c r="D163" s="22"/>
      <c r="E163" s="14"/>
      <c r="F163" s="14"/>
      <c r="G163" s="54"/>
    </row>
    <row r="164" spans="1:7" ht="14.5">
      <c r="A164" s="25">
        <v>43999</v>
      </c>
      <c r="B164" s="26">
        <v>23</v>
      </c>
      <c r="C164" s="22"/>
      <c r="D164" s="22"/>
      <c r="E164" s="14"/>
      <c r="F164" s="14"/>
      <c r="G164" s="54"/>
    </row>
    <row r="165" spans="1:7" ht="14.5">
      <c r="A165" s="25">
        <v>44000</v>
      </c>
      <c r="B165" s="26">
        <v>23</v>
      </c>
      <c r="C165" s="22"/>
      <c r="D165" s="22"/>
      <c r="E165" s="14"/>
      <c r="F165" s="14"/>
      <c r="G165" s="54"/>
    </row>
    <row r="166" spans="1:7" ht="14.5">
      <c r="A166" s="25">
        <v>44001</v>
      </c>
      <c r="B166" s="26">
        <v>23</v>
      </c>
      <c r="C166" s="22"/>
      <c r="D166" s="22"/>
      <c r="E166" s="14"/>
      <c r="F166" s="14"/>
      <c r="G166" s="54"/>
    </row>
    <row r="167" spans="1:7" ht="14.5">
      <c r="A167" s="25">
        <v>44002</v>
      </c>
      <c r="B167" s="26">
        <v>23</v>
      </c>
      <c r="C167" s="22"/>
      <c r="D167" s="22"/>
      <c r="E167" s="14"/>
      <c r="F167" s="14"/>
      <c r="G167" s="54"/>
    </row>
    <row r="168" spans="1:7" ht="14.5">
      <c r="A168" s="25">
        <v>44003</v>
      </c>
      <c r="B168" s="26">
        <v>23</v>
      </c>
      <c r="C168" s="22"/>
      <c r="D168" s="22"/>
      <c r="E168" s="14"/>
      <c r="F168" s="14"/>
      <c r="G168" s="54"/>
    </row>
    <row r="169" spans="1:7" ht="14.5">
      <c r="A169" s="25">
        <v>44004</v>
      </c>
      <c r="B169" s="26">
        <v>24</v>
      </c>
      <c r="C169" s="22"/>
      <c r="D169" s="22"/>
      <c r="E169" s="14"/>
      <c r="F169" s="14"/>
      <c r="G169" s="54"/>
    </row>
    <row r="170" spans="1:7" ht="14.5">
      <c r="A170" s="25">
        <v>44005</v>
      </c>
      <c r="B170" s="26">
        <v>24</v>
      </c>
      <c r="C170" s="22"/>
      <c r="D170" s="22"/>
      <c r="E170" s="14"/>
      <c r="F170" s="14"/>
      <c r="G170" s="54"/>
    </row>
    <row r="171" spans="1:7" ht="14.5">
      <c r="A171" s="25">
        <v>44006</v>
      </c>
      <c r="B171" s="26">
        <v>24</v>
      </c>
      <c r="C171" s="22"/>
      <c r="D171" s="22"/>
      <c r="E171" s="14"/>
      <c r="F171" s="14"/>
      <c r="G171" s="54"/>
    </row>
    <row r="172" spans="1:7" ht="14.5">
      <c r="A172" s="25">
        <v>44007</v>
      </c>
      <c r="B172" s="26">
        <v>24</v>
      </c>
      <c r="C172" s="22"/>
      <c r="D172" s="22"/>
      <c r="E172" s="14"/>
      <c r="F172" s="14"/>
      <c r="G172" s="54"/>
    </row>
    <row r="173" spans="1:7" ht="14.5">
      <c r="A173" s="25">
        <v>44008</v>
      </c>
      <c r="B173" s="26">
        <v>24</v>
      </c>
      <c r="C173" s="22"/>
      <c r="D173" s="22"/>
      <c r="E173" s="14"/>
      <c r="F173" s="14"/>
      <c r="G173" s="54"/>
    </row>
    <row r="174" spans="1:7" ht="14.5">
      <c r="A174" s="25">
        <v>44009</v>
      </c>
      <c r="B174" s="26">
        <v>24</v>
      </c>
      <c r="C174" s="22"/>
      <c r="D174" s="22"/>
      <c r="E174" s="14"/>
      <c r="F174" s="14"/>
      <c r="G174" s="54"/>
    </row>
    <row r="175" spans="1:7" ht="14.5">
      <c r="A175" s="25">
        <v>44010</v>
      </c>
      <c r="B175" s="26">
        <v>24</v>
      </c>
      <c r="C175" s="22"/>
      <c r="D175" s="22"/>
      <c r="E175" s="14"/>
      <c r="F175" s="14"/>
      <c r="G175" s="54"/>
    </row>
    <row r="176" spans="1:7" ht="14.5">
      <c r="A176" s="25">
        <v>44011</v>
      </c>
      <c r="B176" s="26">
        <v>25</v>
      </c>
      <c r="C176" s="22"/>
      <c r="D176" s="22"/>
      <c r="E176" s="14"/>
      <c r="F176" s="14"/>
      <c r="G176" s="54"/>
    </row>
    <row r="177" spans="1:7" ht="14.5">
      <c r="A177" s="25">
        <v>44012</v>
      </c>
      <c r="B177" s="26">
        <v>25</v>
      </c>
      <c r="C177" s="22"/>
      <c r="D177" s="22"/>
      <c r="E177" s="14"/>
      <c r="F177" s="14"/>
      <c r="G177" s="54"/>
    </row>
    <row r="178" spans="1:7" ht="14.5">
      <c r="A178" s="25">
        <v>44013</v>
      </c>
      <c r="B178" s="26">
        <v>25</v>
      </c>
      <c r="C178" s="22"/>
      <c r="D178" s="22"/>
      <c r="E178" s="14"/>
      <c r="F178" s="14"/>
      <c r="G178" s="54"/>
    </row>
    <row r="179" spans="1:7" ht="14.5">
      <c r="A179" s="25">
        <v>44014</v>
      </c>
      <c r="B179" s="26">
        <v>25</v>
      </c>
      <c r="C179" s="22"/>
      <c r="D179" s="22"/>
      <c r="E179" s="14"/>
      <c r="F179" s="14"/>
      <c r="G179" s="54"/>
    </row>
    <row r="180" spans="1:7" ht="14.5">
      <c r="A180" s="25">
        <v>44015</v>
      </c>
      <c r="B180" s="26">
        <v>25</v>
      </c>
      <c r="C180" s="22"/>
      <c r="D180" s="22"/>
      <c r="E180" s="14"/>
      <c r="F180" s="14"/>
      <c r="G180" s="54"/>
    </row>
    <row r="181" spans="1:7" ht="14.5">
      <c r="A181" s="25">
        <v>44016</v>
      </c>
      <c r="B181" s="26">
        <v>25</v>
      </c>
      <c r="C181" s="22"/>
      <c r="D181" s="22"/>
      <c r="E181" s="14"/>
      <c r="F181" s="14"/>
      <c r="G181" s="54"/>
    </row>
    <row r="182" spans="1:7" ht="14.5">
      <c r="A182" s="25">
        <v>44017</v>
      </c>
      <c r="B182" s="26">
        <v>25</v>
      </c>
      <c r="C182" s="22"/>
      <c r="D182" s="22"/>
      <c r="E182" s="14"/>
      <c r="F182" s="14"/>
      <c r="G182" s="54"/>
    </row>
    <row r="183" spans="1:7" ht="14.5">
      <c r="A183" s="25">
        <v>44018</v>
      </c>
      <c r="B183" s="26">
        <v>26</v>
      </c>
      <c r="C183" s="22"/>
      <c r="D183" s="22"/>
      <c r="E183" s="14"/>
      <c r="F183" s="14"/>
      <c r="G183" s="54"/>
    </row>
    <row r="184" spans="1:7" ht="14.5">
      <c r="A184" s="25">
        <v>44019</v>
      </c>
      <c r="B184" s="26">
        <v>26</v>
      </c>
      <c r="C184" s="22"/>
      <c r="D184" s="22"/>
      <c r="E184" s="11"/>
      <c r="F184" s="14"/>
      <c r="G184" s="54"/>
    </row>
    <row r="185" spans="1:7" ht="14.5">
      <c r="A185" s="25">
        <v>44020</v>
      </c>
      <c r="B185" s="26">
        <v>26</v>
      </c>
      <c r="C185" s="22"/>
      <c r="D185" s="22"/>
      <c r="E185" s="11"/>
      <c r="F185" s="14"/>
      <c r="G185" s="54"/>
    </row>
    <row r="186" spans="1:7" ht="14.5">
      <c r="A186" s="25">
        <v>44021</v>
      </c>
      <c r="B186" s="26">
        <v>26</v>
      </c>
      <c r="C186" s="22"/>
      <c r="D186" s="22"/>
      <c r="E186" s="11"/>
      <c r="F186" s="14"/>
      <c r="G186" s="54"/>
    </row>
    <row r="187" spans="1:7" ht="14.5">
      <c r="A187" s="25">
        <v>44022</v>
      </c>
      <c r="B187" s="26">
        <v>26</v>
      </c>
      <c r="C187" s="22"/>
      <c r="D187" s="22"/>
      <c r="E187" s="11"/>
      <c r="F187" s="14"/>
      <c r="G187" s="54"/>
    </row>
    <row r="188" spans="1:7" ht="14.5">
      <c r="A188" s="25">
        <v>44023</v>
      </c>
      <c r="B188" s="26">
        <v>26</v>
      </c>
      <c r="C188" s="22"/>
      <c r="D188" s="22"/>
      <c r="E188" s="11"/>
      <c r="F188" s="14"/>
      <c r="G188" s="54"/>
    </row>
    <row r="189" spans="1:7" ht="14.5">
      <c r="A189" s="25">
        <v>44024</v>
      </c>
      <c r="B189" s="26">
        <v>26</v>
      </c>
      <c r="C189" s="22"/>
      <c r="D189" s="22"/>
      <c r="E189" s="11"/>
      <c r="F189" s="14"/>
      <c r="G189" s="54"/>
    </row>
    <row r="190" spans="1:7" ht="14.5">
      <c r="A190" s="25">
        <v>44025</v>
      </c>
      <c r="B190" s="26">
        <v>27</v>
      </c>
      <c r="C190" s="22"/>
      <c r="D190" s="22"/>
      <c r="E190" s="11"/>
      <c r="F190" s="14"/>
      <c r="G190" s="54"/>
    </row>
    <row r="191" spans="1:7" ht="14.5">
      <c r="A191" s="25">
        <v>44026</v>
      </c>
      <c r="B191" s="26">
        <v>27</v>
      </c>
      <c r="C191" s="22"/>
      <c r="D191" s="22"/>
      <c r="E191" s="14"/>
      <c r="F191" s="14"/>
      <c r="G191" s="54"/>
    </row>
    <row r="192" spans="1:7" ht="14.5">
      <c r="A192" s="25">
        <v>44027</v>
      </c>
      <c r="B192" s="26">
        <v>27</v>
      </c>
      <c r="C192" s="22"/>
      <c r="D192" s="22"/>
      <c r="E192" s="14"/>
      <c r="F192" s="14"/>
      <c r="G192" s="54"/>
    </row>
    <row r="193" spans="1:7" ht="14.5">
      <c r="A193" s="25">
        <v>44028</v>
      </c>
      <c r="B193" s="26">
        <v>27</v>
      </c>
      <c r="C193" s="22"/>
      <c r="D193" s="22"/>
      <c r="E193" s="14"/>
      <c r="F193" s="14"/>
      <c r="G193" s="54"/>
    </row>
    <row r="194" spans="1:7" ht="14.5">
      <c r="A194" s="25">
        <v>44029</v>
      </c>
      <c r="B194" s="26">
        <v>27</v>
      </c>
      <c r="C194" s="22"/>
      <c r="D194" s="22"/>
      <c r="E194" s="14"/>
      <c r="F194" s="14"/>
      <c r="G194" s="54"/>
    </row>
    <row r="195" spans="1:7" ht="14.5">
      <c r="A195" s="25">
        <v>44030</v>
      </c>
      <c r="B195" s="26">
        <v>27</v>
      </c>
      <c r="C195" s="22"/>
      <c r="D195" s="22"/>
      <c r="E195" s="14"/>
      <c r="F195" s="14"/>
      <c r="G195" s="54"/>
    </row>
    <row r="196" spans="1:7" ht="14.5">
      <c r="A196" s="25">
        <v>44031</v>
      </c>
      <c r="B196" s="26">
        <v>27</v>
      </c>
      <c r="C196" s="22"/>
      <c r="D196" s="22"/>
      <c r="E196" s="14"/>
      <c r="F196" s="14"/>
      <c r="G196" s="54"/>
    </row>
    <row r="197" spans="1:7" ht="14.5">
      <c r="A197" s="25">
        <v>44032</v>
      </c>
      <c r="B197" s="26">
        <v>28</v>
      </c>
      <c r="C197" s="22"/>
      <c r="D197" s="22"/>
      <c r="E197" s="14"/>
      <c r="F197" s="14"/>
      <c r="G197" s="54"/>
    </row>
    <row r="198" spans="1:7" ht="14.5">
      <c r="A198" s="25">
        <v>44033</v>
      </c>
      <c r="B198" s="26">
        <v>28</v>
      </c>
      <c r="C198" s="22"/>
      <c r="D198" s="22"/>
      <c r="E198" s="14"/>
      <c r="F198" s="14"/>
      <c r="G198" s="54"/>
    </row>
    <row r="199" spans="1:7" ht="14.5">
      <c r="A199" s="25">
        <v>44034</v>
      </c>
      <c r="B199" s="26">
        <v>28</v>
      </c>
      <c r="C199" s="22"/>
      <c r="D199" s="22"/>
      <c r="E199" s="14"/>
      <c r="F199" s="14"/>
      <c r="G199" s="54"/>
    </row>
    <row r="200" spans="1:7" ht="14.5">
      <c r="A200" s="25">
        <v>44035</v>
      </c>
      <c r="B200" s="26">
        <v>28</v>
      </c>
      <c r="C200" s="22"/>
      <c r="D200" s="22"/>
      <c r="E200" s="14"/>
      <c r="F200" s="14"/>
      <c r="G200" s="54"/>
    </row>
    <row r="201" spans="1:7" ht="14.5">
      <c r="A201" s="25">
        <v>44036</v>
      </c>
      <c r="B201" s="26">
        <v>28</v>
      </c>
      <c r="C201" s="22"/>
      <c r="D201" s="22"/>
      <c r="E201" s="14"/>
      <c r="F201" s="14"/>
      <c r="G201" s="54"/>
    </row>
    <row r="202" spans="1:7" ht="14.5">
      <c r="A202" s="25">
        <v>44037</v>
      </c>
      <c r="B202" s="26">
        <v>28</v>
      </c>
      <c r="C202" s="22"/>
      <c r="D202" s="22"/>
      <c r="E202" s="14"/>
      <c r="F202" s="14"/>
      <c r="G202" s="54"/>
    </row>
    <row r="203" spans="1:7" ht="14.5">
      <c r="A203" s="25">
        <v>44038</v>
      </c>
      <c r="B203" s="26">
        <v>28</v>
      </c>
      <c r="C203" s="22"/>
      <c r="D203" s="22"/>
      <c r="E203" s="14"/>
      <c r="F203" s="14"/>
      <c r="G203" s="54"/>
    </row>
    <row r="204" spans="1:7" ht="14.5">
      <c r="A204" s="25">
        <v>44039</v>
      </c>
      <c r="B204" s="26">
        <v>29</v>
      </c>
      <c r="C204" s="22"/>
      <c r="D204" s="22"/>
      <c r="E204" s="14"/>
      <c r="F204" s="14"/>
      <c r="G204" s="54"/>
    </row>
    <row r="205" spans="1:7" ht="14.5">
      <c r="A205" s="25">
        <v>44040</v>
      </c>
      <c r="B205" s="26">
        <v>29</v>
      </c>
      <c r="C205" s="22"/>
      <c r="D205" s="22"/>
      <c r="E205" s="14"/>
      <c r="F205" s="14"/>
      <c r="G205" s="54"/>
    </row>
    <row r="206" spans="1:7" ht="14.5">
      <c r="A206" s="25">
        <v>44041</v>
      </c>
      <c r="B206" s="26">
        <v>29</v>
      </c>
      <c r="C206" s="22"/>
      <c r="D206" s="22"/>
      <c r="E206" s="12"/>
      <c r="F206" s="14"/>
      <c r="G206" s="54"/>
    </row>
    <row r="207" spans="1:7" ht="14.5">
      <c r="A207" s="25">
        <v>44042</v>
      </c>
      <c r="B207" s="26">
        <v>29</v>
      </c>
      <c r="C207" s="22"/>
      <c r="D207" s="22"/>
      <c r="E207" s="14"/>
      <c r="F207" s="14"/>
      <c r="G207" s="54"/>
    </row>
    <row r="208" spans="1:7" ht="14.5">
      <c r="A208" s="25">
        <v>44043</v>
      </c>
      <c r="B208" s="26">
        <v>29</v>
      </c>
      <c r="C208" s="22"/>
      <c r="D208" s="22"/>
      <c r="E208" s="14"/>
      <c r="F208" s="14"/>
      <c r="G208" s="54"/>
    </row>
    <row r="209" spans="1:7" ht="14.5">
      <c r="A209" s="25">
        <v>44044</v>
      </c>
      <c r="B209" s="26">
        <v>29</v>
      </c>
      <c r="C209" s="22"/>
      <c r="D209" s="22"/>
      <c r="E209" s="14"/>
      <c r="F209" s="14"/>
      <c r="G209" s="54"/>
    </row>
    <row r="210" spans="1:7" ht="14.5">
      <c r="A210" s="25">
        <v>44045</v>
      </c>
      <c r="B210" s="26">
        <v>29</v>
      </c>
      <c r="C210" s="22"/>
      <c r="D210" s="22"/>
      <c r="E210" s="14"/>
      <c r="F210" s="14"/>
      <c r="G210" s="54"/>
    </row>
    <row r="211" spans="1:7" ht="14.5">
      <c r="A211" s="25">
        <v>44046</v>
      </c>
      <c r="B211" s="26">
        <v>30</v>
      </c>
      <c r="C211" s="22"/>
      <c r="D211" s="22"/>
      <c r="E211" s="14"/>
      <c r="F211" s="14"/>
      <c r="G211" s="54"/>
    </row>
    <row r="212" spans="1:7" ht="14.5">
      <c r="A212" s="25">
        <v>44047</v>
      </c>
      <c r="B212" s="26">
        <v>30</v>
      </c>
      <c r="C212" s="22"/>
      <c r="D212" s="22"/>
      <c r="E212" s="14"/>
      <c r="F212" s="14"/>
      <c r="G212" s="54"/>
    </row>
    <row r="213" spans="1:7" ht="14.5">
      <c r="A213" s="25">
        <v>44048</v>
      </c>
      <c r="B213" s="26">
        <v>30</v>
      </c>
      <c r="C213" s="22"/>
      <c r="D213" s="22"/>
      <c r="E213" s="12"/>
      <c r="F213" s="14"/>
      <c r="G213" s="54"/>
    </row>
    <row r="214" spans="1:7" ht="14.5">
      <c r="A214" s="25">
        <v>44049</v>
      </c>
      <c r="B214" s="26">
        <v>30</v>
      </c>
      <c r="C214" s="22">
        <v>1</v>
      </c>
      <c r="D214" s="22"/>
      <c r="E214" s="14"/>
      <c r="F214" s="14"/>
      <c r="G214" s="54"/>
    </row>
    <row r="215" spans="1:7" ht="14.5">
      <c r="A215" s="25">
        <v>44050</v>
      </c>
      <c r="B215" s="26">
        <v>30</v>
      </c>
      <c r="C215" s="22"/>
      <c r="D215" s="22"/>
      <c r="E215" s="14"/>
      <c r="F215" s="14"/>
      <c r="G215" s="54"/>
    </row>
    <row r="216" spans="1:7" ht="14.5">
      <c r="A216" s="25">
        <v>44051</v>
      </c>
      <c r="B216" s="26">
        <v>30</v>
      </c>
      <c r="C216" s="22"/>
      <c r="D216" s="22"/>
      <c r="E216" s="14"/>
      <c r="F216" s="14"/>
      <c r="G216" s="54"/>
    </row>
    <row r="217" spans="1:7" ht="14.5">
      <c r="A217" s="25">
        <v>44052</v>
      </c>
      <c r="B217" s="26">
        <v>30</v>
      </c>
      <c r="C217" s="22"/>
      <c r="D217" s="22"/>
      <c r="E217" s="12"/>
      <c r="F217" s="14"/>
      <c r="G217" s="54"/>
    </row>
    <row r="218" spans="1:7" ht="14.5">
      <c r="A218" s="25">
        <v>44053</v>
      </c>
      <c r="B218" s="26">
        <v>31</v>
      </c>
      <c r="C218" s="22"/>
      <c r="D218" s="22"/>
      <c r="E218" s="12"/>
      <c r="F218" s="14"/>
      <c r="G218" s="54"/>
    </row>
    <row r="219" spans="1:7" ht="14.5">
      <c r="A219" s="25">
        <v>44054</v>
      </c>
      <c r="B219" s="26">
        <v>31</v>
      </c>
      <c r="C219" s="22"/>
      <c r="D219" s="22"/>
      <c r="E219" s="14"/>
      <c r="F219" s="14"/>
      <c r="G219" s="54"/>
    </row>
    <row r="220" spans="1:7" ht="14.5">
      <c r="A220" s="25">
        <v>44055</v>
      </c>
      <c r="B220" s="26">
        <v>31</v>
      </c>
      <c r="C220" s="22"/>
      <c r="D220" s="22"/>
      <c r="E220" s="14"/>
      <c r="F220" s="14"/>
      <c r="G220" s="54"/>
    </row>
    <row r="221" spans="1:7" ht="14.5">
      <c r="A221" s="25">
        <v>44056</v>
      </c>
      <c r="B221" s="26">
        <v>31</v>
      </c>
      <c r="C221" s="22"/>
      <c r="D221" s="22"/>
      <c r="E221" s="14"/>
      <c r="F221" s="14"/>
      <c r="G221" s="54"/>
    </row>
    <row r="222" spans="1:7" ht="14.5">
      <c r="A222" s="25">
        <v>44057</v>
      </c>
      <c r="B222" s="26">
        <v>31</v>
      </c>
      <c r="C222" s="22"/>
      <c r="D222" s="22"/>
      <c r="E222" s="14"/>
      <c r="F222" s="14"/>
      <c r="G222" s="54"/>
    </row>
    <row r="223" spans="1:7" ht="14.5">
      <c r="A223" s="25">
        <v>44058</v>
      </c>
      <c r="B223" s="26">
        <v>31</v>
      </c>
      <c r="C223" s="22"/>
      <c r="D223" s="22"/>
      <c r="E223" s="14"/>
      <c r="F223" s="14"/>
      <c r="G223" s="54"/>
    </row>
    <row r="224" spans="1:7" ht="14.5">
      <c r="A224" s="25">
        <v>44059</v>
      </c>
      <c r="B224" s="26">
        <v>31</v>
      </c>
      <c r="C224" s="22"/>
      <c r="D224" s="22"/>
      <c r="E224" s="14"/>
      <c r="F224" s="14"/>
      <c r="G224" s="54"/>
    </row>
    <row r="225" spans="1:7" ht="14.5">
      <c r="A225" s="25">
        <v>44060</v>
      </c>
      <c r="B225" s="26">
        <v>32</v>
      </c>
      <c r="C225" s="22"/>
      <c r="D225" s="22"/>
      <c r="E225" s="14"/>
      <c r="F225" s="14"/>
      <c r="G225" s="54"/>
    </row>
    <row r="226" spans="1:7" ht="14.5">
      <c r="A226" s="25">
        <v>44061</v>
      </c>
      <c r="B226" s="26">
        <v>32</v>
      </c>
      <c r="C226" s="22"/>
      <c r="D226" s="22"/>
      <c r="E226" s="14"/>
      <c r="F226" s="14"/>
      <c r="G226" s="54"/>
    </row>
    <row r="227" spans="1:7" ht="14.5">
      <c r="A227" s="25">
        <v>44062</v>
      </c>
      <c r="B227" s="26">
        <v>32</v>
      </c>
      <c r="C227" s="22"/>
      <c r="D227" s="22"/>
      <c r="E227" s="14"/>
      <c r="F227" s="14"/>
      <c r="G227" s="54"/>
    </row>
    <row r="228" spans="1:7" ht="14.5">
      <c r="A228" s="25">
        <v>44063</v>
      </c>
      <c r="B228" s="26">
        <v>32</v>
      </c>
      <c r="C228" s="22"/>
      <c r="D228" s="22"/>
      <c r="E228" s="14"/>
      <c r="F228" s="14"/>
      <c r="G228" s="54"/>
    </row>
    <row r="229" spans="1:7" ht="14.5">
      <c r="A229" s="25">
        <v>44064</v>
      </c>
      <c r="B229" s="26">
        <v>32</v>
      </c>
      <c r="C229" s="22"/>
      <c r="D229" s="22"/>
      <c r="E229" s="14"/>
      <c r="F229" s="14"/>
      <c r="G229" s="54"/>
    </row>
    <row r="230" spans="1:7" ht="14.5">
      <c r="A230" s="25">
        <v>44065</v>
      </c>
      <c r="B230" s="26">
        <v>32</v>
      </c>
      <c r="C230" s="22"/>
      <c r="D230" s="22"/>
      <c r="E230" s="14"/>
      <c r="F230" s="14"/>
      <c r="G230" s="54"/>
    </row>
    <row r="231" spans="1:7" ht="14.5">
      <c r="A231" s="25">
        <v>44066</v>
      </c>
      <c r="B231" s="26">
        <v>32</v>
      </c>
      <c r="C231" s="22"/>
      <c r="D231" s="22"/>
      <c r="E231" s="14"/>
      <c r="F231" s="14"/>
      <c r="G231" s="54"/>
    </row>
    <row r="232" spans="1:7" ht="14.5">
      <c r="A232" s="25">
        <v>44067</v>
      </c>
      <c r="B232" s="26">
        <v>33</v>
      </c>
      <c r="C232" s="22"/>
      <c r="D232" s="22"/>
      <c r="E232" s="14"/>
      <c r="F232" s="14"/>
      <c r="G232" s="46"/>
    </row>
    <row r="233" spans="1:7" ht="14.5">
      <c r="A233" s="25">
        <v>44068</v>
      </c>
      <c r="B233" s="26">
        <v>33</v>
      </c>
      <c r="C233" s="22"/>
      <c r="D233" s="22"/>
      <c r="E233" s="14"/>
      <c r="F233" s="14"/>
      <c r="G233" s="54"/>
    </row>
    <row r="234" spans="1:7" ht="14.5">
      <c r="A234" s="25">
        <v>44069</v>
      </c>
      <c r="B234" s="26">
        <v>33</v>
      </c>
      <c r="C234" s="22"/>
      <c r="D234" s="22"/>
      <c r="E234" s="14"/>
      <c r="F234" s="14"/>
      <c r="G234" s="54"/>
    </row>
    <row r="235" spans="1:7" ht="14.5">
      <c r="A235" s="25">
        <v>44070</v>
      </c>
      <c r="B235" s="26">
        <v>33</v>
      </c>
      <c r="C235" s="22"/>
      <c r="D235" s="22"/>
      <c r="E235" s="14"/>
      <c r="F235" s="14"/>
      <c r="G235" s="54"/>
    </row>
    <row r="236" spans="1:7" ht="14.5">
      <c r="A236" s="25">
        <v>44071</v>
      </c>
      <c r="B236" s="26">
        <v>33</v>
      </c>
      <c r="C236" s="22"/>
      <c r="D236" s="22"/>
      <c r="E236" s="14"/>
      <c r="F236" s="14"/>
      <c r="G236" s="54"/>
    </row>
    <row r="237" spans="1:7" ht="14.5">
      <c r="A237" s="25">
        <v>44072</v>
      </c>
      <c r="B237" s="26">
        <v>33</v>
      </c>
      <c r="C237" s="22"/>
      <c r="D237" s="22"/>
      <c r="E237" s="14"/>
      <c r="F237" s="14"/>
      <c r="G237" s="54"/>
    </row>
    <row r="238" spans="1:7" ht="14.5">
      <c r="A238" s="25">
        <v>44073</v>
      </c>
      <c r="B238" s="26">
        <v>33</v>
      </c>
      <c r="C238" s="22"/>
      <c r="D238" s="22"/>
      <c r="E238" s="14"/>
      <c r="F238" s="14"/>
      <c r="G238" s="54"/>
    </row>
    <row r="239" spans="1:7" ht="14.5">
      <c r="A239" s="25">
        <v>44074</v>
      </c>
      <c r="B239" s="26">
        <v>34</v>
      </c>
      <c r="C239" s="22"/>
      <c r="D239" s="22"/>
      <c r="E239" s="14"/>
      <c r="F239" s="14"/>
      <c r="G239" s="54"/>
    </row>
    <row r="240" spans="1:7" ht="14.5">
      <c r="A240" s="25">
        <v>44075</v>
      </c>
      <c r="B240" s="26">
        <v>34</v>
      </c>
      <c r="C240" s="22"/>
      <c r="D240" s="22"/>
      <c r="E240" s="14"/>
      <c r="F240" s="14"/>
      <c r="G240" s="54"/>
    </row>
    <row r="241" spans="1:7" ht="14.5">
      <c r="A241" s="25">
        <v>44076</v>
      </c>
      <c r="B241" s="26">
        <v>34</v>
      </c>
      <c r="C241" s="22"/>
      <c r="D241" s="22"/>
      <c r="E241" s="14"/>
      <c r="F241" s="14"/>
      <c r="G241" s="54"/>
    </row>
    <row r="242" spans="1:7" ht="14.5">
      <c r="A242" s="25">
        <v>44077</v>
      </c>
      <c r="B242" s="26">
        <v>34</v>
      </c>
      <c r="C242" s="22"/>
      <c r="D242" s="22"/>
      <c r="E242" s="14"/>
      <c r="F242" s="14"/>
      <c r="G242" s="54"/>
    </row>
    <row r="243" spans="1:7" ht="14.5">
      <c r="A243" s="25">
        <v>44078</v>
      </c>
      <c r="B243" s="26">
        <v>34</v>
      </c>
      <c r="C243" s="22"/>
      <c r="D243" s="22"/>
      <c r="E243" s="14"/>
      <c r="F243" s="14"/>
      <c r="G243" s="54"/>
    </row>
    <row r="244" spans="1:7" ht="14.5">
      <c r="A244" s="25">
        <v>44079</v>
      </c>
      <c r="B244" s="26">
        <v>34</v>
      </c>
      <c r="C244" s="22"/>
      <c r="D244" s="22"/>
      <c r="E244" s="14"/>
      <c r="F244" s="14"/>
      <c r="G244" s="54"/>
    </row>
    <row r="245" spans="1:7" ht="14.5">
      <c r="A245" s="25">
        <v>44080</v>
      </c>
      <c r="B245" s="26">
        <v>34</v>
      </c>
      <c r="C245" s="22"/>
      <c r="D245" s="22"/>
      <c r="E245" s="14"/>
      <c r="F245" s="14"/>
      <c r="G245" s="54"/>
    </row>
    <row r="246" spans="1:7" ht="14.5">
      <c r="A246" s="25">
        <v>44081</v>
      </c>
      <c r="B246" s="26">
        <v>35</v>
      </c>
      <c r="C246" s="22"/>
      <c r="D246" s="22"/>
      <c r="E246" s="14"/>
      <c r="F246" s="14"/>
      <c r="G246" s="54"/>
    </row>
    <row r="247" spans="1:7" ht="14.5">
      <c r="A247" s="25">
        <v>44082</v>
      </c>
      <c r="B247" s="26">
        <v>35</v>
      </c>
      <c r="C247" s="22"/>
      <c r="D247" s="22"/>
      <c r="E247" s="14"/>
      <c r="F247" s="14"/>
      <c r="G247" s="54"/>
    </row>
    <row r="248" spans="1:7" ht="14.5">
      <c r="A248" s="25">
        <v>44083</v>
      </c>
      <c r="B248" s="26">
        <v>35</v>
      </c>
      <c r="C248" s="22">
        <v>1</v>
      </c>
      <c r="D248" s="22"/>
      <c r="E248" s="14"/>
      <c r="F248" s="14"/>
      <c r="G248" s="54"/>
    </row>
    <row r="249" spans="1:7" ht="14.5">
      <c r="A249" s="25">
        <v>44084</v>
      </c>
      <c r="B249" s="26">
        <v>35</v>
      </c>
      <c r="C249" s="22"/>
      <c r="D249" s="22"/>
      <c r="E249" s="14"/>
      <c r="F249" s="14"/>
      <c r="G249" s="54"/>
    </row>
    <row r="250" spans="1:7" ht="14.5">
      <c r="A250" s="25">
        <v>44085</v>
      </c>
      <c r="B250" s="26">
        <v>35</v>
      </c>
      <c r="C250" s="22"/>
      <c r="D250" s="22"/>
      <c r="E250" s="14"/>
      <c r="F250" s="14"/>
      <c r="G250" s="54"/>
    </row>
    <row r="251" spans="1:7" ht="14.5">
      <c r="A251" s="25">
        <v>44086</v>
      </c>
      <c r="B251" s="26">
        <v>35</v>
      </c>
      <c r="C251" s="22"/>
      <c r="D251" s="22"/>
      <c r="E251" s="14"/>
      <c r="F251" s="14"/>
      <c r="G251" s="54"/>
    </row>
    <row r="252" spans="1:7" ht="14.5">
      <c r="A252" s="25">
        <v>44087</v>
      </c>
      <c r="B252" s="26">
        <v>35</v>
      </c>
      <c r="C252" s="22"/>
      <c r="D252" s="22"/>
      <c r="E252" s="14"/>
      <c r="F252" s="14"/>
      <c r="G252" s="54"/>
    </row>
    <row r="253" spans="1:7" ht="14.5">
      <c r="A253" s="25">
        <v>44088</v>
      </c>
      <c r="B253" s="26">
        <v>36</v>
      </c>
      <c r="C253" s="22"/>
      <c r="D253" s="22"/>
      <c r="E253" s="14"/>
      <c r="F253" s="14"/>
      <c r="G253" s="54"/>
    </row>
    <row r="254" spans="1:7" ht="14.5">
      <c r="A254" s="25">
        <v>44089</v>
      </c>
      <c r="B254" s="26">
        <v>36</v>
      </c>
      <c r="C254" s="22"/>
      <c r="D254" s="22"/>
      <c r="E254" s="14"/>
      <c r="F254" s="14"/>
      <c r="G254" s="54"/>
    </row>
    <row r="255" spans="1:7" ht="14.5">
      <c r="A255" s="25">
        <v>44090</v>
      </c>
      <c r="B255" s="26">
        <v>36</v>
      </c>
      <c r="C255" s="22"/>
      <c r="D255" s="22"/>
      <c r="E255" s="14"/>
      <c r="F255" s="14"/>
      <c r="G255" s="54"/>
    </row>
    <row r="256" spans="1:7" ht="14.5">
      <c r="A256" s="25">
        <v>44091</v>
      </c>
      <c r="B256" s="26">
        <v>36</v>
      </c>
      <c r="C256" s="22">
        <v>1</v>
      </c>
      <c r="D256" s="22"/>
      <c r="E256" s="14"/>
      <c r="F256" s="14"/>
      <c r="G256" s="54"/>
    </row>
    <row r="257" spans="1:7" ht="14.5">
      <c r="A257" s="25">
        <v>44092</v>
      </c>
      <c r="B257" s="26">
        <v>36</v>
      </c>
      <c r="C257" s="22"/>
      <c r="D257" s="22"/>
      <c r="E257" s="14"/>
      <c r="F257" s="14"/>
      <c r="G257" s="54"/>
    </row>
    <row r="258" spans="1:7" ht="14.5">
      <c r="A258" s="25">
        <v>44093</v>
      </c>
      <c r="B258" s="26">
        <v>36</v>
      </c>
      <c r="C258" s="22"/>
      <c r="D258" s="22"/>
      <c r="E258" s="14"/>
      <c r="F258" s="14"/>
      <c r="G258" s="54"/>
    </row>
    <row r="259" spans="1:7" ht="14.5">
      <c r="A259" s="25">
        <v>44094</v>
      </c>
      <c r="B259" s="26">
        <v>36</v>
      </c>
      <c r="C259" s="22"/>
      <c r="D259" s="22"/>
      <c r="E259" s="14"/>
      <c r="F259" s="14"/>
      <c r="G259" s="54"/>
    </row>
    <row r="260" spans="1:7" ht="14.5">
      <c r="A260" s="25">
        <v>44095</v>
      </c>
      <c r="B260" s="26">
        <v>37</v>
      </c>
      <c r="C260" s="22"/>
      <c r="D260" s="22"/>
      <c r="E260" s="14"/>
      <c r="F260" s="14"/>
      <c r="G260" s="54"/>
    </row>
    <row r="261" spans="1:7" ht="14.5">
      <c r="A261" s="25">
        <v>44096</v>
      </c>
      <c r="B261" s="26">
        <v>37</v>
      </c>
      <c r="C261" s="22"/>
      <c r="D261" s="22"/>
      <c r="E261" s="14"/>
      <c r="F261" s="14"/>
      <c r="G261" s="54"/>
    </row>
    <row r="262" spans="1:7" ht="14.5">
      <c r="A262" s="25">
        <v>44097</v>
      </c>
      <c r="B262" s="26">
        <v>37</v>
      </c>
      <c r="C262" s="22"/>
      <c r="D262" s="22"/>
      <c r="E262" s="14"/>
      <c r="F262" s="14"/>
      <c r="G262" s="54"/>
    </row>
    <row r="263" spans="1:7" ht="14.5">
      <c r="A263" s="25">
        <v>44098</v>
      </c>
      <c r="B263" s="26">
        <v>37</v>
      </c>
      <c r="C263" s="22"/>
      <c r="D263" s="22"/>
      <c r="E263" s="14"/>
      <c r="F263" s="14"/>
      <c r="G263" s="54"/>
    </row>
    <row r="264" spans="1:7" ht="14.5">
      <c r="A264" s="25">
        <v>44099</v>
      </c>
      <c r="B264" s="26">
        <v>37</v>
      </c>
      <c r="C264" s="22"/>
      <c r="D264" s="22"/>
      <c r="E264" s="14"/>
      <c r="F264" s="14"/>
      <c r="G264" s="54"/>
    </row>
    <row r="265" spans="1:7" ht="14.5">
      <c r="A265" s="25">
        <v>44100</v>
      </c>
      <c r="B265" s="26">
        <v>37</v>
      </c>
      <c r="C265" s="22"/>
      <c r="D265" s="22"/>
      <c r="E265" s="14"/>
      <c r="F265" s="14"/>
      <c r="G265" s="54"/>
    </row>
    <row r="266" spans="1:7" ht="14.5">
      <c r="A266" s="25">
        <v>44101</v>
      </c>
      <c r="B266" s="26">
        <v>37</v>
      </c>
      <c r="C266" s="22"/>
      <c r="D266" s="22"/>
      <c r="E266" s="14"/>
      <c r="F266" s="14"/>
      <c r="G266" s="54"/>
    </row>
    <row r="267" spans="1:7" ht="14.5">
      <c r="A267" s="25">
        <v>44102</v>
      </c>
      <c r="B267" s="26">
        <v>38</v>
      </c>
      <c r="C267" s="22"/>
      <c r="D267" s="22"/>
      <c r="E267" s="14"/>
      <c r="F267" s="14"/>
      <c r="G267" s="54"/>
    </row>
    <row r="268" spans="1:7" ht="14.5">
      <c r="A268" s="25">
        <v>44103</v>
      </c>
      <c r="B268" s="26">
        <v>38</v>
      </c>
      <c r="C268" s="22"/>
      <c r="D268" s="22"/>
      <c r="E268" s="14"/>
      <c r="F268" s="14"/>
      <c r="G268" s="54"/>
    </row>
    <row r="269" spans="1:7" ht="14.5">
      <c r="A269" s="25">
        <v>44104</v>
      </c>
      <c r="B269" s="26">
        <v>38</v>
      </c>
      <c r="C269" s="22"/>
      <c r="D269" s="22"/>
      <c r="E269" s="14"/>
      <c r="F269" s="14"/>
      <c r="G269" s="54"/>
    </row>
    <row r="270" spans="1:7" ht="14.5">
      <c r="A270" s="25">
        <v>44105</v>
      </c>
      <c r="B270" s="26">
        <v>38</v>
      </c>
      <c r="C270" s="22"/>
      <c r="D270" s="22"/>
      <c r="E270" s="12"/>
      <c r="F270" s="14"/>
      <c r="G270" s="54"/>
    </row>
    <row r="271" spans="1:7" ht="14.5">
      <c r="A271" s="25">
        <v>44106</v>
      </c>
      <c r="B271" s="26">
        <v>38</v>
      </c>
      <c r="C271" s="22"/>
      <c r="D271" s="22"/>
      <c r="E271" s="14"/>
      <c r="F271" s="14"/>
      <c r="G271" s="54"/>
    </row>
    <row r="272" spans="1:7" ht="14.5">
      <c r="A272" s="25">
        <v>44107</v>
      </c>
      <c r="B272" s="26">
        <v>38</v>
      </c>
      <c r="C272" s="22"/>
      <c r="D272" s="22"/>
      <c r="E272" s="14"/>
      <c r="F272" s="14"/>
      <c r="G272" s="54"/>
    </row>
    <row r="273" spans="1:7" ht="14.5">
      <c r="A273" s="25">
        <v>44108</v>
      </c>
      <c r="B273" s="26">
        <v>38</v>
      </c>
      <c r="C273" s="22"/>
      <c r="D273" s="22"/>
      <c r="E273" s="14"/>
      <c r="F273" s="14"/>
      <c r="G273" s="54"/>
    </row>
    <row r="274" spans="1:7" ht="14.5">
      <c r="A274" s="25">
        <v>44109</v>
      </c>
      <c r="B274" s="26">
        <v>39</v>
      </c>
      <c r="C274" s="22"/>
      <c r="D274" s="22"/>
      <c r="E274" s="14"/>
      <c r="F274" s="14"/>
      <c r="G274" s="54"/>
    </row>
    <row r="275" spans="1:7" ht="14.5">
      <c r="A275" s="25">
        <v>44110</v>
      </c>
      <c r="B275" s="26">
        <v>39</v>
      </c>
      <c r="C275" s="22"/>
      <c r="D275" s="22"/>
      <c r="E275" s="14"/>
      <c r="F275" s="14"/>
      <c r="G275" s="54"/>
    </row>
    <row r="276" spans="1:7" ht="14.5">
      <c r="A276" s="25">
        <v>44111</v>
      </c>
      <c r="B276" s="26">
        <v>39</v>
      </c>
      <c r="C276" s="22"/>
      <c r="D276" s="22"/>
      <c r="E276" s="14"/>
      <c r="F276" s="14"/>
      <c r="G276" s="54"/>
    </row>
    <row r="277" spans="1:7" ht="14.5">
      <c r="A277" s="25">
        <v>44112</v>
      </c>
      <c r="B277" s="26">
        <v>39</v>
      </c>
      <c r="C277" s="22"/>
      <c r="D277" s="22"/>
      <c r="E277" s="14"/>
      <c r="F277" s="14"/>
      <c r="G277" s="54"/>
    </row>
    <row r="278" spans="1:7" ht="14.5">
      <c r="A278" s="25">
        <v>44113</v>
      </c>
      <c r="B278" s="26">
        <v>39</v>
      </c>
      <c r="C278" s="22"/>
      <c r="D278" s="22"/>
      <c r="E278" s="14"/>
      <c r="F278" s="14"/>
      <c r="G278" s="54"/>
    </row>
    <row r="279" spans="1:7" ht="14.5">
      <c r="A279" s="25">
        <v>44114</v>
      </c>
      <c r="B279" s="26">
        <v>39</v>
      </c>
      <c r="C279" s="22"/>
      <c r="D279" s="22"/>
      <c r="E279" s="14"/>
      <c r="F279" s="14"/>
      <c r="G279" s="54"/>
    </row>
    <row r="280" spans="1:7" ht="14.5">
      <c r="A280" s="25">
        <v>44115</v>
      </c>
      <c r="B280" s="26">
        <v>39</v>
      </c>
      <c r="C280" s="22"/>
      <c r="D280" s="22"/>
      <c r="E280" s="14"/>
      <c r="F280" s="14"/>
      <c r="G280" s="54"/>
    </row>
    <row r="281" spans="1:7" ht="14.5">
      <c r="A281" s="25">
        <v>44116</v>
      </c>
      <c r="B281" s="26">
        <v>40</v>
      </c>
      <c r="C281" s="22"/>
      <c r="D281" s="22"/>
      <c r="E281" s="14"/>
      <c r="F281" s="14"/>
      <c r="G281" s="54"/>
    </row>
    <row r="282" spans="1:7" ht="14.5">
      <c r="A282" s="25">
        <v>44117</v>
      </c>
      <c r="B282" s="26">
        <v>40</v>
      </c>
      <c r="C282" s="22"/>
      <c r="D282" s="22"/>
      <c r="E282" s="14"/>
      <c r="F282" s="14"/>
      <c r="G282" s="54"/>
    </row>
    <row r="283" spans="1:7" ht="14.5">
      <c r="A283" s="25">
        <v>44118</v>
      </c>
      <c r="B283" s="26">
        <v>40</v>
      </c>
      <c r="C283" s="22"/>
      <c r="D283" s="22"/>
      <c r="E283" s="14"/>
      <c r="F283" s="14"/>
      <c r="G283" s="54"/>
    </row>
    <row r="284" spans="1:7" ht="14.5">
      <c r="A284" s="25">
        <v>44119</v>
      </c>
      <c r="B284" s="26">
        <v>40</v>
      </c>
      <c r="C284" s="22"/>
      <c r="D284" s="22"/>
      <c r="E284" s="14"/>
      <c r="F284" s="14"/>
      <c r="G284" s="54"/>
    </row>
    <row r="285" spans="1:7" ht="14.5">
      <c r="A285" s="25">
        <v>44120</v>
      </c>
      <c r="B285" s="26">
        <v>40</v>
      </c>
      <c r="C285" s="22"/>
      <c r="D285" s="22"/>
      <c r="E285" s="14"/>
      <c r="F285" s="14"/>
      <c r="G285" s="54"/>
    </row>
    <row r="286" spans="1:7" ht="14.5">
      <c r="A286" s="25">
        <v>44121</v>
      </c>
      <c r="B286" s="26">
        <v>40</v>
      </c>
      <c r="C286" s="22"/>
      <c r="D286" s="22"/>
      <c r="E286" s="14"/>
      <c r="F286" s="14"/>
      <c r="G286" s="54"/>
    </row>
    <row r="287" spans="1:7" ht="14.5">
      <c r="A287" s="25">
        <v>44122</v>
      </c>
      <c r="B287" s="26">
        <v>40</v>
      </c>
      <c r="C287" s="22"/>
      <c r="D287" s="22"/>
      <c r="E287" s="14"/>
      <c r="F287" s="14"/>
      <c r="G287" s="54"/>
    </row>
    <row r="288" spans="1:7" ht="14.5">
      <c r="A288" s="25">
        <v>44123</v>
      </c>
      <c r="B288" s="26">
        <v>41</v>
      </c>
      <c r="C288" s="22"/>
      <c r="D288" s="22"/>
      <c r="E288" s="14"/>
      <c r="F288" s="14"/>
      <c r="G288" s="54"/>
    </row>
    <row r="289" spans="1:7" ht="14.5">
      <c r="A289" s="25">
        <v>44124</v>
      </c>
      <c r="B289" s="26">
        <v>41</v>
      </c>
      <c r="C289" s="22">
        <v>1</v>
      </c>
      <c r="D289" s="22"/>
      <c r="E289" s="12"/>
      <c r="F289" s="14"/>
      <c r="G289" s="54"/>
    </row>
    <row r="290" spans="1:7" ht="14.5">
      <c r="A290" s="25">
        <v>44125</v>
      </c>
      <c r="B290" s="26">
        <v>41</v>
      </c>
      <c r="C290" s="22"/>
      <c r="D290" s="22"/>
      <c r="E290" s="14"/>
      <c r="F290" s="14"/>
      <c r="G290" s="54"/>
    </row>
    <row r="291" spans="1:7" ht="14.5">
      <c r="A291" s="25">
        <v>44126</v>
      </c>
      <c r="B291" s="26">
        <v>41</v>
      </c>
      <c r="C291" s="22"/>
      <c r="D291" s="22"/>
      <c r="E291" s="14"/>
      <c r="F291" s="14"/>
      <c r="G291" s="54"/>
    </row>
    <row r="292" spans="1:7" ht="14.5">
      <c r="A292" s="25">
        <v>44127</v>
      </c>
      <c r="B292" s="26">
        <v>41</v>
      </c>
      <c r="C292" s="22"/>
      <c r="D292" s="22"/>
      <c r="E292" s="14"/>
      <c r="F292" s="14"/>
      <c r="G292" s="54"/>
    </row>
    <row r="293" spans="1:7" ht="14.5">
      <c r="A293" s="25">
        <v>44128</v>
      </c>
      <c r="B293" s="26">
        <v>41</v>
      </c>
      <c r="C293" s="22"/>
      <c r="D293" s="22"/>
      <c r="E293" s="14"/>
      <c r="F293" s="14"/>
      <c r="G293" s="54"/>
    </row>
    <row r="294" spans="1:7" ht="14.5">
      <c r="A294" s="25">
        <v>44129</v>
      </c>
      <c r="B294" s="26">
        <v>41</v>
      </c>
      <c r="C294" s="22"/>
      <c r="D294" s="22"/>
      <c r="E294" s="14"/>
      <c r="F294" s="14"/>
      <c r="G294" s="54"/>
    </row>
    <row r="295" spans="1:7" ht="14.5">
      <c r="A295" s="25">
        <v>44130</v>
      </c>
      <c r="B295" s="26">
        <v>42</v>
      </c>
      <c r="C295" s="22"/>
      <c r="D295" s="22"/>
      <c r="E295" s="14"/>
      <c r="F295" s="14"/>
      <c r="G295" s="54"/>
    </row>
    <row r="296" spans="1:7" ht="14.5">
      <c r="A296" s="25">
        <v>44131</v>
      </c>
      <c r="B296" s="26">
        <v>42</v>
      </c>
      <c r="C296" s="22">
        <v>1</v>
      </c>
      <c r="D296" s="22"/>
      <c r="E296" s="14"/>
      <c r="F296" s="14"/>
      <c r="G296" s="54"/>
    </row>
    <row r="297" spans="1:7" ht="14.5">
      <c r="A297" s="25">
        <v>44132</v>
      </c>
      <c r="B297" s="26">
        <v>42</v>
      </c>
      <c r="C297" s="22"/>
      <c r="D297" s="22"/>
      <c r="E297" s="14"/>
      <c r="F297" s="14"/>
      <c r="G297" s="54"/>
    </row>
    <row r="298" spans="1:7" ht="14.5">
      <c r="A298" s="25">
        <v>44133</v>
      </c>
      <c r="B298" s="26">
        <v>42</v>
      </c>
      <c r="C298" s="22">
        <v>1</v>
      </c>
      <c r="D298" s="22"/>
      <c r="E298" s="14"/>
      <c r="F298" s="14"/>
      <c r="G298" s="54"/>
    </row>
    <row r="299" spans="1:7" ht="14.5">
      <c r="A299" s="25">
        <v>44134</v>
      </c>
      <c r="B299" s="26">
        <v>42</v>
      </c>
      <c r="C299" s="22"/>
      <c r="D299" s="22"/>
      <c r="E299" s="14"/>
      <c r="F299" s="14"/>
      <c r="G299" s="54"/>
    </row>
    <row r="300" spans="1:7" ht="14.5">
      <c r="A300" s="25">
        <v>44135</v>
      </c>
      <c r="B300" s="26">
        <v>42</v>
      </c>
      <c r="C300" s="22"/>
      <c r="D300" s="22"/>
      <c r="E300" s="14"/>
      <c r="F300" s="14"/>
      <c r="G300" s="54"/>
    </row>
    <row r="301" spans="1:7" ht="14.5">
      <c r="A301" s="25">
        <v>44136</v>
      </c>
      <c r="B301" s="26">
        <v>42</v>
      </c>
      <c r="C301" s="22"/>
      <c r="D301" s="22"/>
      <c r="E301" s="14"/>
      <c r="F301" s="14"/>
      <c r="G301" s="54"/>
    </row>
    <row r="302" spans="1:7" ht="14.5">
      <c r="A302" s="25">
        <v>44137</v>
      </c>
      <c r="B302" s="26">
        <v>43</v>
      </c>
      <c r="C302" s="22"/>
      <c r="D302" s="22"/>
      <c r="E302" s="14"/>
      <c r="F302" s="14"/>
      <c r="G302" s="54"/>
    </row>
    <row r="303" spans="1:7" ht="14.5">
      <c r="A303" s="25">
        <v>44138</v>
      </c>
      <c r="B303" s="26">
        <v>43</v>
      </c>
      <c r="C303" s="22"/>
      <c r="D303" s="22"/>
      <c r="E303" s="12"/>
      <c r="F303" s="14"/>
      <c r="G303" s="54"/>
    </row>
    <row r="304" spans="1:7" ht="14.5">
      <c r="A304" s="25">
        <v>44139</v>
      </c>
      <c r="B304" s="26">
        <v>43</v>
      </c>
      <c r="C304" s="22"/>
      <c r="D304" s="22"/>
      <c r="E304" s="14"/>
      <c r="F304" s="14"/>
      <c r="G304" s="54"/>
    </row>
    <row r="305" spans="1:7" ht="14.5">
      <c r="A305" s="25">
        <v>44140</v>
      </c>
      <c r="B305" s="26">
        <v>43</v>
      </c>
      <c r="C305" s="22"/>
      <c r="D305" s="22"/>
      <c r="E305" s="14"/>
      <c r="F305" s="14"/>
      <c r="G305" s="54"/>
    </row>
    <row r="306" spans="1:7" ht="14.5">
      <c r="A306" s="25">
        <v>44141</v>
      </c>
      <c r="B306" s="26">
        <v>43</v>
      </c>
      <c r="C306" s="22"/>
      <c r="D306" s="22"/>
      <c r="E306" s="14"/>
      <c r="F306" s="14"/>
      <c r="G306" s="54"/>
    </row>
    <row r="307" spans="1:7" ht="14.5">
      <c r="A307" s="25">
        <v>44142</v>
      </c>
      <c r="B307" s="26">
        <v>43</v>
      </c>
      <c r="C307" s="22"/>
      <c r="D307" s="22"/>
      <c r="E307" s="13"/>
      <c r="F307" s="14"/>
      <c r="G307" s="54"/>
    </row>
    <row r="308" spans="1:7" ht="14.5">
      <c r="A308" s="25">
        <v>44143</v>
      </c>
      <c r="B308" s="26">
        <v>43</v>
      </c>
      <c r="C308" s="22"/>
      <c r="D308" s="22"/>
      <c r="E308" s="14"/>
      <c r="F308" s="14"/>
      <c r="G308" s="54"/>
    </row>
    <row r="309" spans="1:7" ht="14.5">
      <c r="A309" s="25">
        <v>44144</v>
      </c>
      <c r="B309" s="26">
        <v>44</v>
      </c>
      <c r="C309" s="22"/>
      <c r="D309" s="22"/>
      <c r="E309" s="14"/>
      <c r="F309" s="14"/>
      <c r="G309" s="54"/>
    </row>
    <row r="310" spans="1:7" ht="14.5">
      <c r="A310" s="25">
        <v>44145</v>
      </c>
      <c r="B310" s="26">
        <v>44</v>
      </c>
      <c r="C310" s="22"/>
      <c r="D310" s="22"/>
      <c r="E310" s="14"/>
      <c r="F310" s="14"/>
      <c r="G310" s="54"/>
    </row>
    <row r="311" spans="1:7" ht="14.5">
      <c r="A311" s="25">
        <v>44146</v>
      </c>
      <c r="B311" s="26">
        <v>44</v>
      </c>
      <c r="C311" s="22"/>
      <c r="D311" s="22"/>
      <c r="E311" s="14"/>
      <c r="F311" s="14"/>
      <c r="G311" s="54"/>
    </row>
    <row r="312" spans="1:7" ht="14.5">
      <c r="A312" s="25">
        <v>44147</v>
      </c>
      <c r="B312" s="26">
        <v>44</v>
      </c>
      <c r="C312" s="22"/>
      <c r="D312" s="22"/>
      <c r="E312" s="14"/>
      <c r="F312" s="14"/>
      <c r="G312" s="54"/>
    </row>
    <row r="313" spans="1:7" ht="14.5">
      <c r="A313" s="25">
        <v>44148</v>
      </c>
      <c r="B313" s="26">
        <v>44</v>
      </c>
      <c r="C313" s="22"/>
      <c r="D313" s="22"/>
      <c r="E313" s="14"/>
      <c r="F313" s="14"/>
      <c r="G313" s="54"/>
    </row>
    <row r="314" spans="1:7" ht="14.5">
      <c r="A314" s="25">
        <v>44149</v>
      </c>
      <c r="B314" s="26">
        <v>44</v>
      </c>
      <c r="C314" s="22"/>
      <c r="D314" s="22"/>
      <c r="E314" s="14"/>
      <c r="F314" s="14"/>
      <c r="G314" s="54"/>
    </row>
    <row r="315" spans="1:7" ht="14.5">
      <c r="A315" s="25">
        <v>44150</v>
      </c>
      <c r="B315" s="26">
        <v>44</v>
      </c>
      <c r="C315" s="22"/>
      <c r="D315" s="22"/>
      <c r="E315" s="14"/>
      <c r="F315" s="14"/>
      <c r="G315" s="54"/>
    </row>
    <row r="316" spans="1:7" ht="14.5">
      <c r="A316" s="25">
        <v>44151</v>
      </c>
      <c r="B316" s="26">
        <v>45</v>
      </c>
      <c r="C316" s="22"/>
      <c r="D316" s="22"/>
      <c r="E316" s="13"/>
      <c r="F316" s="14"/>
      <c r="G316" s="54"/>
    </row>
    <row r="317" spans="1:7" ht="14.5">
      <c r="A317" s="25">
        <v>44152</v>
      </c>
      <c r="B317" s="26">
        <v>45</v>
      </c>
      <c r="C317" s="22">
        <v>1</v>
      </c>
      <c r="D317" s="22"/>
      <c r="E317" s="12"/>
      <c r="F317" s="14"/>
      <c r="G317" s="54"/>
    </row>
    <row r="318" spans="1:7" ht="14.5">
      <c r="A318" s="25">
        <v>44153</v>
      </c>
      <c r="B318" s="26">
        <v>45</v>
      </c>
      <c r="C318" s="22"/>
      <c r="D318" s="22"/>
      <c r="E318" s="14"/>
      <c r="F318" s="14"/>
      <c r="G318" s="54"/>
    </row>
    <row r="319" spans="1:7" ht="14.5">
      <c r="A319" s="25">
        <v>44154</v>
      </c>
      <c r="B319" s="26">
        <v>45</v>
      </c>
      <c r="C319" s="22"/>
      <c r="D319" s="22"/>
      <c r="E319" s="14"/>
      <c r="F319" s="14"/>
      <c r="G319" s="54"/>
    </row>
    <row r="320" spans="1:7" ht="14.5">
      <c r="A320" s="25">
        <v>44155</v>
      </c>
      <c r="B320" s="26">
        <v>45</v>
      </c>
      <c r="C320" s="22"/>
      <c r="D320" s="22"/>
      <c r="E320" s="14"/>
      <c r="F320" s="14"/>
      <c r="G320" s="54"/>
    </row>
    <row r="321" spans="1:7" ht="14.5">
      <c r="A321" s="25">
        <v>44156</v>
      </c>
      <c r="B321" s="26">
        <v>45</v>
      </c>
      <c r="C321" s="22"/>
      <c r="D321" s="22"/>
      <c r="E321" s="14"/>
      <c r="F321" s="14"/>
      <c r="G321" s="54"/>
    </row>
    <row r="322" spans="1:7" ht="14.5">
      <c r="A322" s="25">
        <v>44157</v>
      </c>
      <c r="B322" s="26">
        <v>45</v>
      </c>
      <c r="C322" s="22"/>
      <c r="D322" s="22"/>
      <c r="E322" s="14"/>
      <c r="F322" s="14"/>
      <c r="G322" s="54"/>
    </row>
    <row r="323" spans="1:7" ht="14.5">
      <c r="A323" s="25">
        <v>44158</v>
      </c>
      <c r="B323" s="26">
        <v>46</v>
      </c>
      <c r="C323" s="22"/>
      <c r="D323" s="22"/>
      <c r="E323" s="14"/>
      <c r="F323" s="14"/>
      <c r="G323" s="54"/>
    </row>
    <row r="324" spans="1:7" ht="14.5">
      <c r="A324" s="25">
        <v>44159</v>
      </c>
      <c r="B324" s="26">
        <v>46</v>
      </c>
      <c r="C324" s="22"/>
      <c r="D324" s="22"/>
      <c r="E324" s="14"/>
      <c r="F324" s="14"/>
      <c r="G324" s="54"/>
    </row>
    <row r="325" spans="1:7" ht="14.5">
      <c r="A325" s="25">
        <v>44160</v>
      </c>
      <c r="B325" s="26">
        <v>46</v>
      </c>
      <c r="C325" s="22"/>
      <c r="D325" s="22"/>
      <c r="E325" s="14"/>
      <c r="F325" s="14"/>
      <c r="G325" s="54"/>
    </row>
    <row r="326" spans="1:7" ht="14.5">
      <c r="A326" s="25">
        <v>44161</v>
      </c>
      <c r="B326" s="26">
        <v>46</v>
      </c>
      <c r="C326" s="22"/>
      <c r="D326" s="22"/>
      <c r="E326" s="14"/>
      <c r="F326" s="14"/>
      <c r="G326" s="54"/>
    </row>
    <row r="327" spans="1:7" ht="14.5">
      <c r="A327" s="25">
        <v>44162</v>
      </c>
      <c r="B327" s="26">
        <v>46</v>
      </c>
      <c r="C327" s="22">
        <v>1</v>
      </c>
      <c r="D327" s="22"/>
      <c r="E327" s="14"/>
      <c r="F327" s="14"/>
      <c r="G327" s="54"/>
    </row>
    <row r="328" spans="1:7" ht="14.5">
      <c r="A328" s="25">
        <v>44163</v>
      </c>
      <c r="B328" s="26">
        <v>46</v>
      </c>
      <c r="C328" s="22"/>
      <c r="D328" s="22"/>
      <c r="E328" s="12"/>
      <c r="F328" s="14"/>
      <c r="G328" s="54"/>
    </row>
    <row r="329" spans="1:7" ht="14.5">
      <c r="A329" s="25">
        <v>44164</v>
      </c>
      <c r="B329" s="26">
        <v>46</v>
      </c>
      <c r="C329" s="22"/>
      <c r="D329" s="22"/>
      <c r="E329" s="14"/>
      <c r="F329" s="14"/>
      <c r="G329" s="54"/>
    </row>
    <row r="330" spans="1:7" ht="14.5">
      <c r="A330" s="25">
        <v>44165</v>
      </c>
      <c r="B330" s="26">
        <v>47</v>
      </c>
      <c r="C330" s="22"/>
      <c r="D330" s="22"/>
      <c r="E330" s="14"/>
      <c r="F330" s="14"/>
      <c r="G330" s="54"/>
    </row>
    <row r="331" spans="1:7" ht="14.5">
      <c r="A331" s="25">
        <v>44166</v>
      </c>
      <c r="B331" s="26">
        <v>47</v>
      </c>
      <c r="C331" s="22">
        <v>1</v>
      </c>
      <c r="D331" s="22"/>
      <c r="E331" s="14"/>
      <c r="F331" s="14"/>
      <c r="G331" s="54"/>
    </row>
    <row r="332" spans="1:7" ht="14.5">
      <c r="A332" s="25">
        <v>44167</v>
      </c>
      <c r="B332" s="26">
        <v>47</v>
      </c>
      <c r="C332" s="22">
        <v>1</v>
      </c>
      <c r="D332" s="22"/>
      <c r="E332" s="12"/>
      <c r="F332" s="14"/>
      <c r="G332" s="54"/>
    </row>
    <row r="333" spans="1:7" ht="14.5">
      <c r="A333" s="25">
        <v>44168</v>
      </c>
      <c r="B333" s="26">
        <v>47</v>
      </c>
      <c r="C333" s="22"/>
      <c r="D333" s="22"/>
      <c r="E333" s="14"/>
      <c r="F333" s="14"/>
      <c r="G333" s="54"/>
    </row>
    <row r="334" spans="1:7" ht="14.5">
      <c r="A334" s="25">
        <v>44169</v>
      </c>
      <c r="B334" s="26">
        <v>47</v>
      </c>
      <c r="C334" s="22"/>
      <c r="D334" s="22"/>
      <c r="E334" s="12"/>
      <c r="F334" s="14"/>
      <c r="G334" s="54"/>
    </row>
    <row r="335" spans="1:7" ht="14.5">
      <c r="A335" s="25">
        <v>44170</v>
      </c>
      <c r="B335" s="26">
        <v>47</v>
      </c>
      <c r="C335" s="22"/>
      <c r="D335" s="22"/>
      <c r="E335" s="14"/>
      <c r="F335" s="14"/>
      <c r="G335" s="54"/>
    </row>
    <row r="336" spans="1:7" ht="14.5">
      <c r="A336" s="25">
        <v>44171</v>
      </c>
      <c r="B336" s="26">
        <v>47</v>
      </c>
      <c r="C336" s="22">
        <v>1</v>
      </c>
      <c r="D336" s="22"/>
      <c r="E336" s="14"/>
      <c r="F336" s="14"/>
      <c r="G336" s="54"/>
    </row>
    <row r="337" spans="1:7" ht="14.5">
      <c r="A337" s="25">
        <v>44172</v>
      </c>
      <c r="B337" s="26">
        <v>48</v>
      </c>
      <c r="C337" s="22">
        <v>2</v>
      </c>
      <c r="D337" s="22"/>
      <c r="E337" s="14"/>
      <c r="F337" s="14"/>
      <c r="G337" s="54"/>
    </row>
    <row r="338" spans="1:7" ht="14.5">
      <c r="A338" s="25">
        <v>44173</v>
      </c>
      <c r="B338" s="26">
        <v>48</v>
      </c>
      <c r="C338" s="22">
        <v>1</v>
      </c>
      <c r="D338" s="22"/>
      <c r="E338" s="14"/>
      <c r="F338" s="14"/>
      <c r="G338" s="54"/>
    </row>
    <row r="339" spans="1:7" ht="14.5">
      <c r="A339" s="25">
        <v>44174</v>
      </c>
      <c r="B339" s="26">
        <v>48</v>
      </c>
      <c r="C339" s="22">
        <v>2</v>
      </c>
      <c r="D339" s="22"/>
      <c r="E339" s="14"/>
      <c r="F339" s="14"/>
      <c r="G339" s="54"/>
    </row>
    <row r="340" spans="1:7" ht="14.5">
      <c r="A340" s="25">
        <v>44175</v>
      </c>
      <c r="B340" s="26">
        <v>48</v>
      </c>
      <c r="C340" s="22"/>
      <c r="D340" s="22"/>
      <c r="E340" s="13"/>
      <c r="F340" s="14"/>
      <c r="G340" s="54"/>
    </row>
    <row r="341" spans="1:7" ht="14.5">
      <c r="A341" s="25">
        <v>44176</v>
      </c>
      <c r="B341" s="26">
        <v>48</v>
      </c>
      <c r="C341" s="22"/>
      <c r="D341" s="22"/>
      <c r="E341" s="14"/>
      <c r="F341" s="14"/>
      <c r="G341" s="54"/>
    </row>
    <row r="342" spans="1:7" ht="14.5">
      <c r="A342" s="25">
        <v>44177</v>
      </c>
      <c r="B342" s="26">
        <v>48</v>
      </c>
      <c r="C342" s="22"/>
      <c r="D342" s="22"/>
      <c r="E342" s="14"/>
      <c r="F342" s="14"/>
      <c r="G342" s="54"/>
    </row>
    <row r="343" spans="1:7" ht="14.5">
      <c r="A343" s="25">
        <v>44178</v>
      </c>
      <c r="B343" s="26">
        <v>48</v>
      </c>
      <c r="C343" s="22"/>
      <c r="D343" s="22"/>
      <c r="E343" s="14"/>
      <c r="F343" s="14"/>
      <c r="G343" s="54"/>
    </row>
    <row r="344" spans="1:7" ht="14.5">
      <c r="A344" s="25">
        <v>44179</v>
      </c>
      <c r="B344" s="26">
        <v>49</v>
      </c>
      <c r="C344" s="22"/>
      <c r="D344" s="22"/>
      <c r="E344" s="14"/>
      <c r="F344" s="14"/>
      <c r="G344" s="54"/>
    </row>
    <row r="345" spans="1:7" ht="14.5">
      <c r="A345" s="25">
        <v>44180</v>
      </c>
      <c r="B345" s="26">
        <v>49</v>
      </c>
      <c r="C345" s="22"/>
      <c r="D345" s="22"/>
      <c r="E345" s="14"/>
      <c r="F345" s="14"/>
      <c r="G345" s="54"/>
    </row>
    <row r="346" spans="1:7" ht="14.5">
      <c r="A346" s="25">
        <v>44181</v>
      </c>
      <c r="B346" s="26">
        <v>49</v>
      </c>
      <c r="C346" s="22"/>
      <c r="D346" s="22"/>
      <c r="E346" s="14"/>
      <c r="F346" s="14"/>
      <c r="G346" s="54"/>
    </row>
    <row r="347" spans="1:7" ht="14.5">
      <c r="A347" s="25">
        <v>44182</v>
      </c>
      <c r="B347" s="26">
        <v>49</v>
      </c>
      <c r="C347" s="22"/>
      <c r="D347" s="22"/>
      <c r="E347" s="14"/>
      <c r="F347" s="14"/>
      <c r="G347" s="54"/>
    </row>
    <row r="348" spans="1:7" ht="14.5">
      <c r="A348" s="25">
        <v>44183</v>
      </c>
      <c r="B348" s="26">
        <v>49</v>
      </c>
      <c r="C348" s="22"/>
      <c r="D348" s="22"/>
      <c r="E348" s="14"/>
      <c r="F348" s="14"/>
      <c r="G348" s="54"/>
    </row>
    <row r="349" spans="1:7" ht="14.5">
      <c r="A349" s="25">
        <v>44184</v>
      </c>
      <c r="B349" s="26">
        <v>49</v>
      </c>
      <c r="C349" s="22">
        <v>1</v>
      </c>
      <c r="D349" s="22"/>
      <c r="E349" s="14"/>
      <c r="F349" s="14"/>
      <c r="G349" s="54"/>
    </row>
    <row r="350" spans="1:7" ht="14.5">
      <c r="A350" s="25">
        <v>44185</v>
      </c>
      <c r="B350" s="26">
        <v>49</v>
      </c>
      <c r="C350" s="22"/>
      <c r="D350" s="22"/>
      <c r="E350" s="14"/>
      <c r="F350" s="14"/>
      <c r="G350" s="54"/>
    </row>
    <row r="351" spans="1:7" ht="14.5">
      <c r="A351" s="25">
        <v>44186</v>
      </c>
      <c r="B351" s="26">
        <v>50</v>
      </c>
      <c r="C351" s="22"/>
      <c r="D351" s="22"/>
      <c r="E351" s="14"/>
      <c r="F351" s="14"/>
      <c r="G351" s="54"/>
    </row>
    <row r="352" spans="1:7" ht="14.5">
      <c r="A352" s="25">
        <v>44187</v>
      </c>
      <c r="B352" s="26">
        <v>50</v>
      </c>
      <c r="C352" s="22"/>
      <c r="D352" s="22"/>
      <c r="E352" s="14"/>
      <c r="F352" s="14"/>
      <c r="G352" s="54"/>
    </row>
    <row r="353" spans="1:7" ht="14.5">
      <c r="A353" s="25">
        <v>44188</v>
      </c>
      <c r="B353" s="26">
        <v>50</v>
      </c>
      <c r="C353" s="22"/>
      <c r="D353" s="22"/>
      <c r="E353" s="12"/>
      <c r="F353" s="14"/>
      <c r="G353" s="54"/>
    </row>
    <row r="354" spans="1:7" ht="14.5">
      <c r="A354" s="25">
        <v>44189</v>
      </c>
      <c r="B354" s="26">
        <v>50</v>
      </c>
      <c r="C354" s="22"/>
      <c r="D354" s="22"/>
      <c r="E354" s="13"/>
      <c r="F354" s="14"/>
      <c r="G354" s="54"/>
    </row>
    <row r="355" spans="1:7" ht="14.5">
      <c r="A355" s="25">
        <v>44190</v>
      </c>
      <c r="B355" s="26">
        <v>50</v>
      </c>
      <c r="C355" s="22"/>
      <c r="D355" s="22"/>
      <c r="E355" s="14"/>
      <c r="F355" s="14"/>
      <c r="G355" s="54"/>
    </row>
    <row r="356" spans="1:7" ht="14.5">
      <c r="A356" s="25">
        <v>44191</v>
      </c>
      <c r="B356" s="26">
        <v>50</v>
      </c>
      <c r="C356" s="22"/>
      <c r="D356" s="22"/>
      <c r="E356" s="14"/>
      <c r="F356" s="14"/>
      <c r="G356" s="54"/>
    </row>
    <row r="357" spans="1:7" ht="14.5">
      <c r="A357" s="25">
        <v>44192</v>
      </c>
      <c r="B357" s="26">
        <v>50</v>
      </c>
      <c r="C357" s="22"/>
      <c r="D357" s="22"/>
      <c r="E357" s="14"/>
      <c r="F357" s="14"/>
      <c r="G357" s="54"/>
    </row>
    <row r="358" spans="1:7" ht="14.5">
      <c r="A358" s="25">
        <v>44193</v>
      </c>
      <c r="B358" s="26">
        <v>51</v>
      </c>
      <c r="C358" s="22"/>
      <c r="D358" s="22"/>
      <c r="E358" s="14"/>
      <c r="F358" s="14"/>
      <c r="G358" s="54"/>
    </row>
    <row r="359" spans="1:7" ht="14.5">
      <c r="A359" s="25">
        <v>44194</v>
      </c>
      <c r="B359" s="26">
        <v>51</v>
      </c>
      <c r="C359" s="22"/>
      <c r="D359" s="22"/>
      <c r="E359" s="14"/>
      <c r="F359" s="14"/>
      <c r="G359" s="54"/>
    </row>
    <row r="360" spans="1:7" ht="14.5">
      <c r="A360" s="25">
        <v>44195</v>
      </c>
      <c r="B360" s="26">
        <v>51</v>
      </c>
      <c r="C360" s="22"/>
      <c r="D360" s="22"/>
      <c r="E360" s="14"/>
      <c r="F360" s="14"/>
      <c r="G360" s="54"/>
    </row>
    <row r="361" spans="1:7" ht="14.5">
      <c r="A361" s="25">
        <v>44196</v>
      </c>
      <c r="B361" s="26">
        <v>51</v>
      </c>
      <c r="C361" s="22"/>
      <c r="D361" s="22"/>
      <c r="E361" s="14"/>
      <c r="F361" s="14"/>
      <c r="G361" s="54"/>
    </row>
    <row r="362" spans="1:7" ht="14.5">
      <c r="A362" s="25">
        <v>44197</v>
      </c>
      <c r="B362" s="26">
        <v>51</v>
      </c>
      <c r="C362" s="22"/>
      <c r="D362" s="22"/>
      <c r="E362" s="14"/>
      <c r="F362" s="14"/>
      <c r="G362" s="54"/>
    </row>
    <row r="363" spans="1:7" ht="14.5">
      <c r="A363" s="25">
        <v>44198</v>
      </c>
      <c r="B363" s="26">
        <v>51</v>
      </c>
      <c r="C363" s="22">
        <v>1</v>
      </c>
      <c r="D363" s="22"/>
      <c r="E363" s="14"/>
      <c r="F363" s="14"/>
      <c r="G363" s="54"/>
    </row>
    <row r="364" spans="1:7" ht="14.5">
      <c r="A364" s="25">
        <v>44199</v>
      </c>
      <c r="B364" s="26">
        <v>51</v>
      </c>
      <c r="C364" s="22"/>
      <c r="D364" s="22"/>
      <c r="E364" s="14"/>
      <c r="F364" s="14"/>
      <c r="G364" s="54"/>
    </row>
    <row r="365" spans="1:7" ht="14.5">
      <c r="A365" s="25">
        <v>44200</v>
      </c>
      <c r="B365" s="26">
        <v>1</v>
      </c>
      <c r="C365" s="22">
        <v>1</v>
      </c>
      <c r="D365" s="22"/>
      <c r="E365" s="14"/>
      <c r="F365" s="14"/>
      <c r="G365" s="54"/>
    </row>
    <row r="366" spans="1:7" ht="14.5">
      <c r="A366" s="25">
        <v>44201</v>
      </c>
      <c r="B366" s="26">
        <v>1</v>
      </c>
      <c r="C366" s="22">
        <v>1</v>
      </c>
      <c r="D366" s="22"/>
      <c r="E366" s="14"/>
      <c r="F366" s="14"/>
      <c r="G366" s="122"/>
    </row>
    <row r="367" spans="1:7" ht="14.5">
      <c r="A367" s="25">
        <v>44202</v>
      </c>
      <c r="B367" s="26">
        <v>1</v>
      </c>
      <c r="C367" s="22"/>
      <c r="D367" s="22"/>
      <c r="E367" s="14"/>
      <c r="F367" s="14"/>
      <c r="G367" s="126"/>
    </row>
    <row r="368" spans="1:7" ht="14.5">
      <c r="A368" s="25">
        <v>44203</v>
      </c>
      <c r="B368" s="26">
        <v>1</v>
      </c>
      <c r="C368" s="22">
        <v>2</v>
      </c>
      <c r="D368" s="22"/>
      <c r="E368" s="14"/>
      <c r="F368" s="14"/>
      <c r="G368" s="126"/>
    </row>
    <row r="369" spans="1:7" ht="14.5">
      <c r="A369" s="25">
        <v>44204</v>
      </c>
      <c r="B369" s="26">
        <v>1</v>
      </c>
      <c r="C369" s="22">
        <v>1</v>
      </c>
      <c r="D369" s="22">
        <v>3</v>
      </c>
      <c r="E369" s="14"/>
      <c r="F369" s="14"/>
      <c r="G369" s="54"/>
    </row>
    <row r="370" spans="1:7" ht="14.5">
      <c r="A370" s="25">
        <v>44205</v>
      </c>
      <c r="B370" s="26">
        <v>1</v>
      </c>
      <c r="C370" s="22"/>
      <c r="D370" s="22"/>
      <c r="E370" s="14"/>
      <c r="F370" s="14"/>
      <c r="G370" s="122"/>
    </row>
    <row r="371" spans="1:7" ht="14.5">
      <c r="A371" s="25">
        <v>44206</v>
      </c>
      <c r="B371" s="26">
        <v>1</v>
      </c>
      <c r="C371" s="22"/>
      <c r="D371" s="22"/>
      <c r="E371" s="14"/>
      <c r="F371" s="14"/>
      <c r="G371" s="126"/>
    </row>
    <row r="372" spans="1:7" ht="14.5">
      <c r="A372" s="25">
        <v>44207</v>
      </c>
      <c r="B372" s="26">
        <v>2</v>
      </c>
      <c r="C372" s="22"/>
      <c r="D372" s="22"/>
      <c r="E372" s="14"/>
      <c r="F372" s="14"/>
      <c r="G372" s="54"/>
    </row>
    <row r="373" spans="1:7" ht="14.5">
      <c r="A373" s="25">
        <v>44208</v>
      </c>
      <c r="B373" s="26">
        <v>2</v>
      </c>
      <c r="C373" s="22">
        <f t="shared" ref="C373:C375" si="0">5/3</f>
        <v>1.6666666666666667</v>
      </c>
      <c r="D373" s="22"/>
      <c r="E373" s="14"/>
      <c r="F373" s="14"/>
      <c r="G373" s="54"/>
    </row>
    <row r="374" spans="1:7" ht="14.5">
      <c r="A374" s="25">
        <v>44209</v>
      </c>
      <c r="B374" s="26">
        <v>2</v>
      </c>
      <c r="C374" s="22">
        <f>(5/3)+2.5</f>
        <v>4.166666666666667</v>
      </c>
      <c r="D374" s="22"/>
      <c r="E374" s="14"/>
      <c r="F374" s="12"/>
      <c r="G374" s="54"/>
    </row>
    <row r="375" spans="1:7" ht="14.5">
      <c r="A375" s="25">
        <v>44210</v>
      </c>
      <c r="B375" s="26">
        <v>2</v>
      </c>
      <c r="C375" s="22">
        <f t="shared" si="0"/>
        <v>1.6666666666666667</v>
      </c>
      <c r="D375" s="22"/>
      <c r="E375" s="14"/>
      <c r="F375" s="14"/>
      <c r="G375" s="54"/>
    </row>
    <row r="376" spans="1:7" ht="14.5">
      <c r="A376" s="25">
        <v>44211</v>
      </c>
      <c r="B376" s="26">
        <v>2</v>
      </c>
      <c r="C376" s="22"/>
      <c r="D376" s="22"/>
      <c r="E376" s="14"/>
      <c r="F376" s="14"/>
      <c r="G376" s="122"/>
    </row>
    <row r="377" spans="1:7" ht="14.5">
      <c r="A377" s="25">
        <v>44212</v>
      </c>
      <c r="B377" s="26">
        <v>2</v>
      </c>
      <c r="C377" s="22">
        <v>2.5</v>
      </c>
      <c r="D377" s="22"/>
      <c r="E377" s="14"/>
      <c r="F377" s="14"/>
      <c r="G377" s="126"/>
    </row>
    <row r="378" spans="1:7" ht="14.5">
      <c r="A378" s="25">
        <v>44213</v>
      </c>
      <c r="B378" s="26">
        <v>2</v>
      </c>
      <c r="C378" s="22"/>
      <c r="D378" s="22"/>
      <c r="E378" s="54"/>
      <c r="F378" s="14"/>
      <c r="G378" s="54"/>
    </row>
    <row r="379" spans="1:7" ht="14.5">
      <c r="A379" s="25">
        <v>44214</v>
      </c>
      <c r="B379" s="26">
        <v>3</v>
      </c>
      <c r="C379" s="22"/>
      <c r="D379" s="22"/>
      <c r="E379" s="14"/>
      <c r="F379" s="14"/>
      <c r="G379" s="54"/>
    </row>
    <row r="380" spans="1:7" ht="14.5">
      <c r="A380" s="25">
        <v>44215</v>
      </c>
      <c r="B380" s="26">
        <v>3</v>
      </c>
      <c r="C380" s="22"/>
      <c r="D380" s="22"/>
      <c r="E380" s="14"/>
      <c r="F380" s="14"/>
      <c r="G380" s="54"/>
    </row>
    <row r="381" spans="1:7" ht="14.5">
      <c r="A381" s="25">
        <v>44216</v>
      </c>
      <c r="B381" s="26">
        <v>3</v>
      </c>
      <c r="C381" s="22"/>
      <c r="D381" s="22"/>
      <c r="E381" s="14"/>
      <c r="F381" s="14"/>
      <c r="G381" s="54"/>
    </row>
    <row r="382" spans="1:7" ht="14.5">
      <c r="A382" s="25">
        <v>44217</v>
      </c>
      <c r="B382" s="26">
        <v>3</v>
      </c>
      <c r="C382" s="22"/>
      <c r="D382" s="22"/>
      <c r="E382" s="14"/>
      <c r="F382" s="14"/>
      <c r="G382" s="54"/>
    </row>
    <row r="383" spans="1:7" ht="14.5">
      <c r="A383" s="25">
        <v>44218</v>
      </c>
      <c r="B383" s="26">
        <v>3</v>
      </c>
      <c r="C383" s="22"/>
      <c r="D383" s="22"/>
      <c r="E383" s="14"/>
      <c r="F383" s="14"/>
      <c r="G383" s="54"/>
    </row>
    <row r="384" spans="1:7" ht="14.5">
      <c r="A384" s="25">
        <v>44219</v>
      </c>
      <c r="B384" s="26">
        <v>3</v>
      </c>
      <c r="C384" s="22"/>
      <c r="D384" s="22"/>
      <c r="E384" s="12"/>
      <c r="F384" s="14"/>
      <c r="G384" s="54"/>
    </row>
    <row r="385" spans="1:7" ht="14.5">
      <c r="A385" s="25">
        <v>44220</v>
      </c>
      <c r="B385" s="26">
        <v>3</v>
      </c>
      <c r="C385" s="22"/>
      <c r="D385" s="22"/>
      <c r="E385" s="14"/>
      <c r="F385" s="14"/>
      <c r="G385" s="54"/>
    </row>
    <row r="386" spans="1:7" ht="14.5">
      <c r="A386" s="25">
        <v>44221</v>
      </c>
      <c r="B386" s="26">
        <v>4</v>
      </c>
      <c r="C386" s="22"/>
      <c r="D386" s="22"/>
      <c r="E386" s="14"/>
      <c r="F386" s="14"/>
      <c r="G386" s="54"/>
    </row>
    <row r="387" spans="1:7" ht="14.5">
      <c r="A387" s="25">
        <v>44222</v>
      </c>
      <c r="B387" s="26">
        <v>4</v>
      </c>
      <c r="C387" s="22"/>
      <c r="D387" s="22"/>
      <c r="E387" s="14"/>
      <c r="F387" s="14"/>
      <c r="G387" s="54"/>
    </row>
    <row r="388" spans="1:7" ht="14.5">
      <c r="A388" s="25">
        <v>44223</v>
      </c>
      <c r="B388" s="26">
        <v>4</v>
      </c>
      <c r="C388" s="22"/>
      <c r="D388" s="22"/>
      <c r="E388" s="14"/>
      <c r="F388" s="14"/>
      <c r="G388" s="54"/>
    </row>
    <row r="389" spans="1:7" ht="14.5">
      <c r="A389" s="25">
        <v>44224</v>
      </c>
      <c r="B389" s="26">
        <v>4</v>
      </c>
      <c r="C389" s="22">
        <v>1</v>
      </c>
      <c r="D389" s="22"/>
      <c r="E389" s="14"/>
      <c r="F389" s="14"/>
      <c r="G389" s="54"/>
    </row>
    <row r="390" spans="1:7" ht="14.5">
      <c r="A390" s="25">
        <v>44225</v>
      </c>
      <c r="B390" s="26">
        <v>4</v>
      </c>
      <c r="C390" s="22"/>
      <c r="D390" s="22"/>
      <c r="E390" s="14"/>
      <c r="F390" s="14"/>
      <c r="G390" s="54"/>
    </row>
    <row r="391" spans="1:7" ht="14.5">
      <c r="A391" s="25">
        <v>44226</v>
      </c>
      <c r="B391" s="26">
        <v>4</v>
      </c>
      <c r="C391" s="22"/>
      <c r="D391" s="22"/>
      <c r="E391" s="14"/>
      <c r="F391" s="14"/>
      <c r="G391" s="54"/>
    </row>
    <row r="392" spans="1:7" ht="14.5">
      <c r="A392" s="25">
        <v>44227</v>
      </c>
      <c r="B392" s="26">
        <v>4</v>
      </c>
      <c r="C392" s="22"/>
      <c r="D392" s="22"/>
      <c r="E392" s="14"/>
      <c r="F392" s="14"/>
      <c r="G392" s="54"/>
    </row>
    <row r="393" spans="1:7" ht="14.5">
      <c r="A393" s="25">
        <v>44228</v>
      </c>
      <c r="B393" s="26">
        <v>5</v>
      </c>
      <c r="C393" s="22"/>
      <c r="D393" s="22"/>
      <c r="E393" s="14"/>
      <c r="F393" s="14"/>
      <c r="G393" s="54"/>
    </row>
    <row r="394" spans="1:7" ht="14.5">
      <c r="A394" s="25">
        <v>44229</v>
      </c>
      <c r="B394" s="26">
        <v>5</v>
      </c>
      <c r="C394" s="22"/>
      <c r="D394" s="22"/>
      <c r="E394" s="14"/>
      <c r="F394" s="14"/>
      <c r="G394" s="54"/>
    </row>
    <row r="395" spans="1:7" ht="14.5">
      <c r="A395" s="25">
        <v>44230</v>
      </c>
      <c r="B395" s="26">
        <v>5</v>
      </c>
      <c r="C395" s="22"/>
      <c r="D395" s="22"/>
      <c r="E395" s="14"/>
      <c r="F395" s="14"/>
      <c r="G395" s="54"/>
    </row>
    <row r="396" spans="1:7" ht="14.5">
      <c r="A396" s="25">
        <v>44231</v>
      </c>
      <c r="B396" s="26">
        <v>5</v>
      </c>
      <c r="C396" s="22"/>
      <c r="D396" s="22"/>
      <c r="E396" s="14"/>
      <c r="F396" s="14"/>
      <c r="G396" s="54"/>
    </row>
    <row r="397" spans="1:7" ht="15.5">
      <c r="A397" s="25">
        <v>44232</v>
      </c>
      <c r="B397" s="26">
        <v>5</v>
      </c>
      <c r="C397" s="22"/>
      <c r="D397" s="22"/>
      <c r="E397" s="14"/>
      <c r="F397" s="14"/>
      <c r="G397" s="47"/>
    </row>
    <row r="398" spans="1:7" ht="14.5">
      <c r="A398" s="25">
        <v>44233</v>
      </c>
      <c r="B398" s="26">
        <v>5</v>
      </c>
      <c r="C398" s="22"/>
      <c r="D398" s="22"/>
      <c r="E398" s="14"/>
      <c r="F398" s="14"/>
      <c r="G398" s="54"/>
    </row>
    <row r="399" spans="1:7" ht="14.5">
      <c r="A399" s="25">
        <v>44234</v>
      </c>
      <c r="B399" s="26">
        <v>5</v>
      </c>
      <c r="C399" s="22"/>
      <c r="D399" s="22"/>
      <c r="E399" s="14"/>
      <c r="F399" s="14"/>
      <c r="G399" s="54"/>
    </row>
    <row r="400" spans="1:7" ht="14.5">
      <c r="A400" s="25">
        <v>44235</v>
      </c>
      <c r="B400" s="26">
        <v>6</v>
      </c>
      <c r="C400" s="22"/>
      <c r="D400" s="22"/>
      <c r="E400" s="14"/>
      <c r="F400" s="14"/>
      <c r="G400" s="54"/>
    </row>
    <row r="401" spans="1:7" ht="14.5">
      <c r="A401" s="25">
        <v>44236</v>
      </c>
      <c r="B401" s="26">
        <v>6</v>
      </c>
      <c r="C401" s="22">
        <v>1</v>
      </c>
      <c r="D401" s="22"/>
      <c r="E401" s="14"/>
      <c r="F401" s="14"/>
      <c r="G401" s="54"/>
    </row>
    <row r="402" spans="1:7" ht="14.5">
      <c r="A402" s="25">
        <v>44237</v>
      </c>
      <c r="B402" s="26">
        <v>6</v>
      </c>
      <c r="C402" s="22"/>
      <c r="D402" s="22"/>
      <c r="E402" s="14"/>
      <c r="F402" s="14"/>
      <c r="G402" s="54"/>
    </row>
    <row r="403" spans="1:7" ht="14.5">
      <c r="A403" s="25">
        <v>44238</v>
      </c>
      <c r="B403" s="26">
        <v>6</v>
      </c>
      <c r="C403" s="22"/>
      <c r="D403" s="22"/>
      <c r="E403" s="14"/>
      <c r="F403" s="14"/>
      <c r="G403" s="54"/>
    </row>
    <row r="404" spans="1:7" ht="14.5">
      <c r="A404" s="25">
        <v>44239</v>
      </c>
      <c r="B404" s="26">
        <v>6</v>
      </c>
      <c r="C404" s="22"/>
      <c r="D404" s="22"/>
      <c r="E404" s="14"/>
      <c r="F404" s="14"/>
      <c r="G404" s="54"/>
    </row>
    <row r="405" spans="1:7" ht="14.5">
      <c r="A405" s="25">
        <v>44240</v>
      </c>
      <c r="B405" s="26">
        <v>6</v>
      </c>
      <c r="C405" s="22"/>
      <c r="D405" s="22"/>
      <c r="E405" s="14"/>
      <c r="F405" s="14"/>
      <c r="G405" s="54"/>
    </row>
    <row r="406" spans="1:7" ht="14.5">
      <c r="A406" s="25">
        <v>44241</v>
      </c>
      <c r="B406" s="26">
        <v>6</v>
      </c>
      <c r="C406" s="22"/>
      <c r="D406" s="22"/>
      <c r="E406" s="14"/>
      <c r="F406" s="14"/>
      <c r="G406" s="54"/>
    </row>
    <row r="407" spans="1:7" ht="14.5">
      <c r="A407" s="25">
        <v>44242</v>
      </c>
      <c r="B407" s="26">
        <v>7</v>
      </c>
      <c r="C407" s="22"/>
      <c r="D407" s="22"/>
      <c r="E407" s="14"/>
      <c r="F407" s="14"/>
      <c r="G407" s="54"/>
    </row>
    <row r="408" spans="1:7" ht="14.5">
      <c r="A408" s="25">
        <v>44243</v>
      </c>
      <c r="B408" s="26">
        <v>7</v>
      </c>
      <c r="C408" s="22"/>
      <c r="D408" s="22"/>
      <c r="E408" s="14"/>
      <c r="F408" s="14"/>
      <c r="G408" s="54"/>
    </row>
    <row r="409" spans="1:7" ht="14.5">
      <c r="A409" s="25">
        <v>44244</v>
      </c>
      <c r="B409" s="26">
        <v>7</v>
      </c>
      <c r="C409" s="22"/>
      <c r="D409" s="22"/>
      <c r="E409" s="14"/>
      <c r="F409" s="12"/>
      <c r="G409" s="54"/>
    </row>
    <row r="410" spans="1:7" ht="14.5">
      <c r="A410" s="25">
        <v>44245</v>
      </c>
      <c r="B410" s="26">
        <v>7</v>
      </c>
      <c r="C410" s="22"/>
      <c r="D410" s="22"/>
      <c r="E410" s="14"/>
      <c r="F410" s="14"/>
      <c r="G410" s="54"/>
    </row>
    <row r="411" spans="1:7" ht="14.5">
      <c r="A411" s="25">
        <v>44246</v>
      </c>
      <c r="B411" s="26">
        <v>7</v>
      </c>
      <c r="C411" s="22"/>
      <c r="D411" s="22"/>
      <c r="E411" s="14"/>
      <c r="F411" s="14"/>
      <c r="G411" s="54"/>
    </row>
    <row r="412" spans="1:7" ht="14.5">
      <c r="A412" s="25">
        <v>44247</v>
      </c>
      <c r="B412" s="26">
        <v>7</v>
      </c>
      <c r="C412" s="22"/>
      <c r="D412" s="22"/>
      <c r="E412" s="14"/>
      <c r="F412" s="14"/>
      <c r="G412" s="54"/>
    </row>
    <row r="413" spans="1:7" ht="14.5">
      <c r="A413" s="25">
        <v>44248</v>
      </c>
      <c r="B413" s="26">
        <v>7</v>
      </c>
      <c r="C413" s="22"/>
      <c r="D413" s="22"/>
      <c r="E413" s="14"/>
      <c r="F413" s="14"/>
      <c r="G413" s="54"/>
    </row>
    <row r="414" spans="1:7" ht="14.5">
      <c r="A414" s="25">
        <v>44249</v>
      </c>
      <c r="B414" s="26">
        <v>8</v>
      </c>
      <c r="C414" s="22"/>
      <c r="D414" s="22"/>
      <c r="E414" s="14"/>
      <c r="F414" s="14"/>
      <c r="G414" s="54"/>
    </row>
    <row r="415" spans="1:7" ht="14.5">
      <c r="A415" s="25">
        <v>44250</v>
      </c>
      <c r="B415" s="26">
        <v>8</v>
      </c>
      <c r="C415" s="22"/>
      <c r="D415" s="22"/>
      <c r="E415" s="14"/>
      <c r="F415" s="14"/>
      <c r="G415" s="54"/>
    </row>
    <row r="416" spans="1:7" ht="14.5">
      <c r="A416" s="25">
        <v>44251</v>
      </c>
      <c r="B416" s="26">
        <v>8</v>
      </c>
      <c r="C416" s="22"/>
      <c r="D416" s="22"/>
      <c r="E416" s="14"/>
      <c r="F416" s="14"/>
      <c r="G416" s="54"/>
    </row>
    <row r="417" spans="1:7" ht="14.5">
      <c r="A417" s="25">
        <v>44252</v>
      </c>
      <c r="B417" s="26">
        <v>8</v>
      </c>
      <c r="C417" s="22"/>
      <c r="D417" s="22"/>
      <c r="E417" s="14"/>
      <c r="F417" s="14"/>
      <c r="G417" s="54"/>
    </row>
    <row r="418" spans="1:7" ht="14.5">
      <c r="A418" s="25">
        <v>44253</v>
      </c>
      <c r="B418" s="26">
        <v>8</v>
      </c>
      <c r="C418" s="22"/>
      <c r="D418" s="22"/>
      <c r="E418" s="14"/>
      <c r="F418" s="14"/>
      <c r="G418" s="54"/>
    </row>
    <row r="419" spans="1:7" ht="14.5">
      <c r="A419" s="25">
        <v>44254</v>
      </c>
      <c r="B419" s="26">
        <v>8</v>
      </c>
      <c r="C419" s="22"/>
      <c r="D419" s="22"/>
      <c r="E419" s="14"/>
      <c r="F419" s="14"/>
      <c r="G419" s="54"/>
    </row>
    <row r="420" spans="1:7" ht="14.5">
      <c r="A420" s="25">
        <v>44255</v>
      </c>
      <c r="B420" s="26">
        <v>8</v>
      </c>
      <c r="C420" s="22"/>
      <c r="D420" s="22"/>
      <c r="E420" s="14"/>
      <c r="F420" s="14"/>
      <c r="G420" s="54"/>
    </row>
    <row r="421" spans="1:7" ht="14.5">
      <c r="A421" s="25">
        <v>44256</v>
      </c>
      <c r="B421" s="26">
        <v>9</v>
      </c>
      <c r="C421" s="22"/>
      <c r="D421" s="22"/>
      <c r="E421" s="14"/>
      <c r="F421" s="14"/>
      <c r="G421" s="54"/>
    </row>
    <row r="422" spans="1:7" ht="14.5">
      <c r="A422" s="25">
        <v>44257</v>
      </c>
      <c r="B422" s="26">
        <v>9</v>
      </c>
      <c r="C422" s="22"/>
      <c r="D422" s="22"/>
      <c r="E422" s="14"/>
      <c r="F422" s="14"/>
      <c r="G422" s="54"/>
    </row>
    <row r="423" spans="1:7" ht="14.5">
      <c r="A423" s="25">
        <v>44258</v>
      </c>
      <c r="B423" s="26">
        <v>9</v>
      </c>
      <c r="C423" s="22"/>
      <c r="D423" s="22"/>
      <c r="E423" s="14"/>
      <c r="F423" s="14"/>
      <c r="G423" s="54"/>
    </row>
    <row r="424" spans="1:7" ht="14.5">
      <c r="A424" s="25">
        <v>44259</v>
      </c>
      <c r="B424" s="26">
        <v>9</v>
      </c>
      <c r="C424" s="22"/>
      <c r="D424" s="22"/>
      <c r="E424" s="14"/>
      <c r="F424" s="14"/>
      <c r="G424" s="54"/>
    </row>
    <row r="425" spans="1:7" ht="14.5">
      <c r="A425" s="25">
        <v>44260</v>
      </c>
      <c r="B425" s="26">
        <v>9</v>
      </c>
      <c r="C425" s="22"/>
      <c r="D425" s="22"/>
      <c r="E425" s="14"/>
      <c r="F425" s="14"/>
      <c r="G425" s="54"/>
    </row>
    <row r="426" spans="1:7" ht="14.5">
      <c r="A426" s="25">
        <v>44261</v>
      </c>
      <c r="B426" s="26">
        <v>9</v>
      </c>
      <c r="C426" s="22"/>
      <c r="D426" s="22"/>
      <c r="E426" s="14"/>
      <c r="F426" s="14"/>
      <c r="G426" s="54"/>
    </row>
    <row r="427" spans="1:7" ht="14.5">
      <c r="A427" s="25">
        <v>44262</v>
      </c>
      <c r="B427" s="26">
        <v>9</v>
      </c>
      <c r="C427" s="22"/>
      <c r="D427" s="22"/>
      <c r="E427" s="14"/>
      <c r="F427" s="14"/>
      <c r="G427" s="54"/>
    </row>
    <row r="428" spans="1:7" ht="14.5">
      <c r="A428" s="25">
        <v>44263</v>
      </c>
      <c r="B428" s="26">
        <v>10</v>
      </c>
      <c r="C428" s="22"/>
      <c r="D428" s="22"/>
      <c r="E428" s="14"/>
      <c r="F428" s="14"/>
      <c r="G428" s="54"/>
    </row>
    <row r="429" spans="1:7" ht="14.5">
      <c r="A429" s="25">
        <v>44264</v>
      </c>
      <c r="B429" s="26">
        <v>10</v>
      </c>
      <c r="C429" s="22"/>
      <c r="D429" s="22"/>
      <c r="E429" s="14"/>
      <c r="F429" s="14"/>
      <c r="G429" s="54"/>
    </row>
    <row r="430" spans="1:7" ht="14.5">
      <c r="A430" s="25">
        <v>44265</v>
      </c>
      <c r="B430" s="26">
        <v>10</v>
      </c>
      <c r="C430" s="22"/>
      <c r="D430" s="22"/>
      <c r="E430" s="14"/>
      <c r="F430" s="14"/>
      <c r="G430" s="54"/>
    </row>
    <row r="431" spans="1:7" ht="14.5">
      <c r="A431" s="25">
        <v>44266</v>
      </c>
      <c r="B431" s="26">
        <v>10</v>
      </c>
      <c r="C431" s="22"/>
      <c r="D431" s="22"/>
      <c r="E431" s="14"/>
      <c r="F431" s="14"/>
      <c r="G431" s="54"/>
    </row>
    <row r="432" spans="1:7" ht="14.5">
      <c r="A432" s="25">
        <v>44267</v>
      </c>
      <c r="B432" s="26">
        <v>10</v>
      </c>
      <c r="C432" s="22"/>
      <c r="D432" s="22"/>
      <c r="E432" s="14"/>
      <c r="F432" s="14"/>
      <c r="G432" s="54"/>
    </row>
    <row r="433" spans="1:7" ht="14.5">
      <c r="A433" s="25">
        <v>44268</v>
      </c>
      <c r="B433" s="26">
        <v>10</v>
      </c>
      <c r="C433" s="22"/>
      <c r="D433" s="22"/>
      <c r="E433" s="14"/>
      <c r="F433" s="14"/>
      <c r="G433" s="54"/>
    </row>
    <row r="434" spans="1:7" ht="14.5">
      <c r="A434" s="25">
        <v>44269</v>
      </c>
      <c r="B434" s="26">
        <v>10</v>
      </c>
      <c r="C434" s="22"/>
      <c r="D434" s="22"/>
      <c r="E434" s="14"/>
      <c r="F434" s="14"/>
      <c r="G434" s="54"/>
    </row>
    <row r="435" spans="1:7" ht="14.5">
      <c r="A435" s="25">
        <v>44270</v>
      </c>
      <c r="B435" s="26">
        <v>11</v>
      </c>
      <c r="C435" s="22"/>
      <c r="D435" s="22"/>
      <c r="E435" s="14"/>
      <c r="F435" s="14"/>
      <c r="G435" s="54"/>
    </row>
    <row r="436" spans="1:7" ht="14.5">
      <c r="A436" s="25">
        <v>44271</v>
      </c>
      <c r="B436" s="26">
        <v>11</v>
      </c>
      <c r="C436" s="22"/>
      <c r="D436" s="22"/>
      <c r="E436" s="14"/>
      <c r="F436" s="14"/>
      <c r="G436" s="54"/>
    </row>
    <row r="437" spans="1:7" ht="14.5">
      <c r="A437" s="25">
        <v>44272</v>
      </c>
      <c r="B437" s="26">
        <v>11</v>
      </c>
      <c r="C437" s="22"/>
      <c r="D437" s="22"/>
      <c r="E437" s="14"/>
      <c r="F437" s="14"/>
      <c r="G437" s="54"/>
    </row>
    <row r="438" spans="1:7" ht="14.5">
      <c r="A438" s="25">
        <v>44273</v>
      </c>
      <c r="B438" s="26">
        <v>11</v>
      </c>
      <c r="C438" s="22"/>
      <c r="D438" s="22"/>
      <c r="E438" s="14"/>
      <c r="F438" s="14"/>
      <c r="G438" s="54"/>
    </row>
    <row r="439" spans="1:7" ht="14.5">
      <c r="A439" s="25">
        <v>44274</v>
      </c>
      <c r="B439" s="26">
        <v>11</v>
      </c>
      <c r="C439" s="22"/>
      <c r="D439" s="22"/>
      <c r="E439" s="14"/>
      <c r="F439" s="14"/>
      <c r="G439" s="54"/>
    </row>
    <row r="440" spans="1:7" ht="14.5">
      <c r="A440" s="25">
        <v>44275</v>
      </c>
      <c r="B440" s="26">
        <v>11</v>
      </c>
      <c r="C440" s="22"/>
      <c r="D440" s="22"/>
      <c r="E440" s="14"/>
      <c r="F440" s="14"/>
      <c r="G440" s="54"/>
    </row>
    <row r="441" spans="1:7" ht="14.5">
      <c r="A441" s="25">
        <v>44276</v>
      </c>
      <c r="B441" s="26">
        <v>11</v>
      </c>
      <c r="C441" s="22"/>
      <c r="D441" s="22"/>
      <c r="E441" s="14"/>
      <c r="F441" s="14"/>
      <c r="G441" s="54"/>
    </row>
    <row r="442" spans="1:7" ht="14.5">
      <c r="A442" s="25">
        <v>44277</v>
      </c>
      <c r="B442" s="26">
        <v>12</v>
      </c>
      <c r="C442" s="22"/>
      <c r="D442" s="22"/>
      <c r="E442" s="14"/>
      <c r="F442" s="14"/>
      <c r="G442" s="54"/>
    </row>
    <row r="443" spans="1:7" ht="14.5">
      <c r="A443" s="25">
        <v>44278</v>
      </c>
      <c r="B443" s="26">
        <v>12</v>
      </c>
      <c r="C443" s="22"/>
      <c r="D443" s="22"/>
      <c r="E443" s="14"/>
      <c r="F443" s="14"/>
      <c r="G443" s="54"/>
    </row>
    <row r="444" spans="1:7" ht="15.5">
      <c r="A444" s="25">
        <v>44279</v>
      </c>
      <c r="B444" s="26">
        <v>12</v>
      </c>
      <c r="C444" s="22"/>
      <c r="D444" s="22"/>
      <c r="E444" s="14"/>
      <c r="F444" s="14"/>
      <c r="G444" s="47"/>
    </row>
    <row r="445" spans="1:7" ht="14.5">
      <c r="A445" s="25">
        <v>44280</v>
      </c>
      <c r="B445" s="26">
        <v>12</v>
      </c>
      <c r="C445" s="22"/>
      <c r="D445" s="22"/>
      <c r="E445" s="14"/>
      <c r="F445" s="14"/>
      <c r="G445" s="54"/>
    </row>
    <row r="446" spans="1:7" ht="14.5">
      <c r="A446" s="25">
        <v>44281</v>
      </c>
      <c r="B446" s="26">
        <v>12</v>
      </c>
      <c r="C446" s="22"/>
      <c r="D446" s="22"/>
      <c r="E446" s="14"/>
      <c r="F446" s="14"/>
      <c r="G446" s="54"/>
    </row>
    <row r="447" spans="1:7" ht="14.5">
      <c r="A447" s="25">
        <v>44282</v>
      </c>
      <c r="B447" s="26">
        <v>12</v>
      </c>
      <c r="C447" s="22"/>
      <c r="D447" s="22"/>
      <c r="E447" s="14"/>
      <c r="F447" s="14"/>
      <c r="G447" s="54"/>
    </row>
    <row r="448" spans="1:7" ht="14.5">
      <c r="A448" s="25">
        <v>44283</v>
      </c>
      <c r="B448" s="26">
        <v>12</v>
      </c>
      <c r="C448" s="22"/>
      <c r="D448" s="22"/>
      <c r="E448" s="14"/>
      <c r="F448" s="14"/>
      <c r="G448" s="54"/>
    </row>
    <row r="449" spans="1:7" ht="14.5">
      <c r="A449" s="25">
        <v>44284</v>
      </c>
      <c r="B449" s="26">
        <v>13</v>
      </c>
      <c r="C449" s="22"/>
      <c r="D449" s="22"/>
      <c r="E449" s="14"/>
      <c r="F449" s="14"/>
      <c r="G449" s="54"/>
    </row>
    <row r="450" spans="1:7" ht="14.5">
      <c r="A450" s="25">
        <v>44285</v>
      </c>
      <c r="B450" s="26">
        <v>13</v>
      </c>
      <c r="C450" s="22"/>
      <c r="D450" s="22"/>
      <c r="E450" s="14"/>
      <c r="F450" s="14"/>
      <c r="G450" s="54"/>
    </row>
    <row r="451" spans="1:7" ht="14.5">
      <c r="A451" s="25">
        <v>44286</v>
      </c>
      <c r="B451" s="26">
        <v>13</v>
      </c>
      <c r="C451" s="22"/>
      <c r="D451" s="22"/>
      <c r="E451" s="14"/>
      <c r="F451" s="14"/>
      <c r="G451" s="54"/>
    </row>
    <row r="452" spans="1:7" ht="14.5">
      <c r="A452" s="25">
        <v>44287</v>
      </c>
      <c r="B452" s="26">
        <v>13</v>
      </c>
      <c r="C452" s="22"/>
      <c r="D452" s="22"/>
      <c r="E452" s="14"/>
      <c r="F452" s="14"/>
      <c r="G452" s="54"/>
    </row>
    <row r="453" spans="1:7" ht="14.5">
      <c r="A453" s="25">
        <v>44288</v>
      </c>
      <c r="B453" s="26">
        <v>13</v>
      </c>
      <c r="C453" s="22"/>
      <c r="D453" s="22"/>
      <c r="E453" s="14"/>
      <c r="F453" s="14"/>
      <c r="G453" s="54"/>
    </row>
    <row r="454" spans="1:7" ht="14.5">
      <c r="A454" s="25">
        <v>44289</v>
      </c>
      <c r="B454" s="26">
        <v>13</v>
      </c>
      <c r="C454" s="22">
        <v>1</v>
      </c>
      <c r="D454" s="22"/>
      <c r="E454" s="14"/>
      <c r="F454" s="14"/>
      <c r="G454" s="54"/>
    </row>
    <row r="455" spans="1:7" ht="14.5">
      <c r="A455" s="25">
        <v>44290</v>
      </c>
      <c r="B455" s="26">
        <v>13</v>
      </c>
      <c r="C455" s="22"/>
      <c r="D455" s="22"/>
      <c r="E455" s="14"/>
      <c r="F455" s="14"/>
      <c r="G455" s="54"/>
    </row>
    <row r="456" spans="1:7" ht="14.5">
      <c r="A456" s="25">
        <v>44291</v>
      </c>
      <c r="B456" s="26">
        <v>14</v>
      </c>
      <c r="C456" s="22"/>
      <c r="D456" s="22"/>
      <c r="E456" s="14"/>
      <c r="F456" s="14"/>
      <c r="G456" s="54"/>
    </row>
    <row r="457" spans="1:7" ht="14.5">
      <c r="A457" s="25">
        <v>44292</v>
      </c>
      <c r="B457" s="26">
        <v>14</v>
      </c>
      <c r="C457" s="22"/>
      <c r="D457" s="22"/>
      <c r="E457" s="14"/>
      <c r="F457" s="14"/>
      <c r="G457" s="54"/>
    </row>
    <row r="458" spans="1:7" ht="14.5">
      <c r="A458" s="25">
        <v>44293</v>
      </c>
      <c r="B458" s="26">
        <v>14</v>
      </c>
      <c r="C458" s="22"/>
      <c r="D458" s="22"/>
      <c r="E458" s="14"/>
      <c r="F458" s="14"/>
      <c r="G458" s="54"/>
    </row>
    <row r="459" spans="1:7" ht="14.5">
      <c r="A459" s="25">
        <v>44294</v>
      </c>
      <c r="B459" s="26">
        <v>14</v>
      </c>
      <c r="C459" s="22"/>
      <c r="D459" s="22"/>
      <c r="E459" s="14"/>
      <c r="F459" s="14"/>
      <c r="G459" s="54"/>
    </row>
    <row r="460" spans="1:7" ht="14.5">
      <c r="A460" s="25">
        <v>44295</v>
      </c>
      <c r="B460" s="26">
        <v>14</v>
      </c>
      <c r="C460" s="22"/>
      <c r="D460" s="22"/>
      <c r="E460" s="14"/>
      <c r="F460" s="14"/>
      <c r="G460" s="54"/>
    </row>
    <row r="461" spans="1:7" ht="14.5">
      <c r="A461" s="25">
        <v>44296</v>
      </c>
      <c r="B461" s="26">
        <v>14</v>
      </c>
      <c r="C461" s="22">
        <v>1</v>
      </c>
      <c r="D461" s="22"/>
      <c r="E461" s="14"/>
      <c r="F461" s="14"/>
      <c r="G461" s="54"/>
    </row>
    <row r="462" spans="1:7" ht="14.5">
      <c r="A462" s="25">
        <v>44297</v>
      </c>
      <c r="B462" s="26">
        <v>14</v>
      </c>
      <c r="C462" s="22">
        <v>1</v>
      </c>
      <c r="D462" s="22"/>
      <c r="E462" s="14"/>
      <c r="F462" s="14"/>
      <c r="G462" s="54"/>
    </row>
    <row r="463" spans="1:7" ht="14.5">
      <c r="A463" s="25">
        <v>44298</v>
      </c>
      <c r="B463" s="26">
        <v>15</v>
      </c>
      <c r="C463" s="22"/>
      <c r="D463" s="22"/>
      <c r="E463" s="14"/>
      <c r="F463" s="14"/>
      <c r="G463" s="54"/>
    </row>
    <row r="464" spans="1:7" ht="14.5">
      <c r="A464" s="25">
        <v>44299</v>
      </c>
      <c r="B464" s="26">
        <v>15</v>
      </c>
      <c r="C464" s="22">
        <v>2</v>
      </c>
      <c r="D464" s="22"/>
      <c r="E464" s="14"/>
      <c r="F464" s="14"/>
      <c r="G464" s="54"/>
    </row>
    <row r="465" spans="1:7" ht="14.5">
      <c r="A465" s="25">
        <v>44300</v>
      </c>
      <c r="B465" s="26">
        <v>15</v>
      </c>
      <c r="C465" s="22">
        <v>2</v>
      </c>
      <c r="D465" s="22"/>
      <c r="E465" s="14"/>
      <c r="F465" s="14"/>
      <c r="G465" s="54"/>
    </row>
    <row r="466" spans="1:7" ht="14.5">
      <c r="A466" s="25">
        <v>44301</v>
      </c>
      <c r="B466" s="26">
        <v>15</v>
      </c>
      <c r="C466" s="22">
        <v>2</v>
      </c>
      <c r="D466" s="22"/>
      <c r="E466" s="14"/>
      <c r="F466" s="14"/>
      <c r="G466" s="54"/>
    </row>
    <row r="467" spans="1:7" ht="14.5">
      <c r="A467" s="25">
        <v>44302</v>
      </c>
      <c r="B467" s="26">
        <v>15</v>
      </c>
      <c r="C467" s="22">
        <v>1</v>
      </c>
      <c r="D467" s="22"/>
      <c r="E467" s="14"/>
      <c r="F467" s="14"/>
      <c r="G467" s="54"/>
    </row>
    <row r="468" spans="1:7" ht="14.5">
      <c r="A468" s="25">
        <v>44303</v>
      </c>
      <c r="B468" s="26">
        <v>15</v>
      </c>
      <c r="C468" s="22"/>
      <c r="D468" s="22"/>
      <c r="E468" s="14"/>
      <c r="F468" s="14"/>
      <c r="G468" s="54"/>
    </row>
    <row r="469" spans="1:7" ht="14.5">
      <c r="A469" s="25">
        <v>44304</v>
      </c>
      <c r="B469" s="26">
        <v>15</v>
      </c>
      <c r="C469" s="22">
        <v>1</v>
      </c>
      <c r="D469" s="22"/>
      <c r="E469" s="14"/>
      <c r="F469" s="14"/>
      <c r="G469" s="54"/>
    </row>
    <row r="470" spans="1:7" ht="14.5">
      <c r="A470" s="25">
        <v>44305</v>
      </c>
      <c r="B470" s="26">
        <v>16</v>
      </c>
      <c r="C470" s="22"/>
      <c r="D470" s="22"/>
      <c r="E470" s="14"/>
      <c r="F470" s="14"/>
      <c r="G470" s="54"/>
    </row>
    <row r="471" spans="1:7" ht="14.5">
      <c r="A471" s="25">
        <v>44306</v>
      </c>
      <c r="B471" s="26">
        <v>16</v>
      </c>
      <c r="C471" s="22">
        <v>1</v>
      </c>
      <c r="D471" s="22"/>
      <c r="E471" s="14"/>
      <c r="F471" s="14"/>
      <c r="G471" s="122"/>
    </row>
    <row r="472" spans="1:7" ht="14.5">
      <c r="A472" s="25">
        <v>44307</v>
      </c>
      <c r="B472" s="26">
        <v>16</v>
      </c>
      <c r="C472" s="22"/>
      <c r="D472" s="22"/>
      <c r="E472" s="14"/>
      <c r="F472" s="14"/>
      <c r="G472" s="126"/>
    </row>
    <row r="473" spans="1:7" ht="14.5">
      <c r="A473" s="25">
        <v>44308</v>
      </c>
      <c r="B473" s="26">
        <v>16</v>
      </c>
      <c r="C473" s="22">
        <v>1</v>
      </c>
      <c r="D473" s="22"/>
      <c r="E473" s="14"/>
      <c r="F473" s="14"/>
      <c r="G473" s="54"/>
    </row>
    <row r="474" spans="1:7" ht="14.5">
      <c r="A474" s="25">
        <v>44309</v>
      </c>
      <c r="B474" s="26">
        <v>16</v>
      </c>
      <c r="C474" s="22">
        <v>1</v>
      </c>
      <c r="D474" s="22"/>
      <c r="E474" s="14"/>
      <c r="F474" s="14"/>
      <c r="G474" s="54"/>
    </row>
    <row r="475" spans="1:7" ht="14.5">
      <c r="A475" s="25">
        <v>44310</v>
      </c>
      <c r="B475" s="26">
        <v>16</v>
      </c>
      <c r="C475" s="22">
        <v>2</v>
      </c>
      <c r="D475" s="22"/>
      <c r="E475" s="14"/>
      <c r="F475" s="14"/>
      <c r="G475" s="96"/>
    </row>
    <row r="476" spans="1:7" ht="14.5">
      <c r="A476" s="25">
        <v>44311</v>
      </c>
      <c r="B476" s="26">
        <v>16</v>
      </c>
      <c r="C476" s="22">
        <v>1</v>
      </c>
      <c r="D476" s="22"/>
      <c r="E476" s="14"/>
      <c r="F476" s="14"/>
      <c r="G476" s="100" t="s">
        <v>426</v>
      </c>
    </row>
    <row r="477" spans="1:7" ht="14.5">
      <c r="A477" s="25">
        <v>44312</v>
      </c>
      <c r="B477" s="26">
        <v>17</v>
      </c>
      <c r="C477" s="22">
        <v>2</v>
      </c>
      <c r="D477" s="22"/>
      <c r="E477" s="14"/>
      <c r="F477" s="14"/>
      <c r="G477" s="54"/>
    </row>
    <row r="478" spans="1:7" ht="14.5">
      <c r="A478" s="25">
        <v>44313</v>
      </c>
      <c r="B478" s="26">
        <v>17</v>
      </c>
      <c r="C478" s="22"/>
      <c r="D478" s="22"/>
      <c r="E478" s="14"/>
      <c r="F478" s="14"/>
      <c r="G478" s="54"/>
    </row>
    <row r="479" spans="1:7" ht="14.5">
      <c r="A479" s="25">
        <v>44314</v>
      </c>
      <c r="B479" s="26">
        <v>17</v>
      </c>
      <c r="C479" s="22">
        <v>1</v>
      </c>
      <c r="D479" s="22"/>
      <c r="E479" s="14"/>
      <c r="F479" s="14"/>
      <c r="G479" s="54"/>
    </row>
    <row r="480" spans="1:7" ht="14.5">
      <c r="A480" s="25">
        <v>44315</v>
      </c>
      <c r="B480" s="26">
        <v>17</v>
      </c>
      <c r="C480" s="22">
        <v>23</v>
      </c>
      <c r="D480" s="22"/>
      <c r="E480" s="14"/>
      <c r="F480" s="14"/>
      <c r="G480" s="100" t="s">
        <v>427</v>
      </c>
    </row>
    <row r="481" spans="1:7" ht="14.5">
      <c r="A481" s="25">
        <v>44316</v>
      </c>
      <c r="B481" s="26">
        <v>17</v>
      </c>
      <c r="C481" s="22">
        <v>1</v>
      </c>
      <c r="D481" s="22"/>
      <c r="E481" s="14"/>
      <c r="F481" s="14"/>
      <c r="G481" s="54"/>
    </row>
    <row r="482" spans="1:7" ht="15.5">
      <c r="A482" s="25">
        <v>44317</v>
      </c>
      <c r="B482" s="26">
        <v>17</v>
      </c>
      <c r="C482" s="22"/>
      <c r="D482" s="22"/>
      <c r="E482" s="14"/>
      <c r="F482" s="14"/>
      <c r="G482" s="47"/>
    </row>
    <row r="483" spans="1:7" ht="14.5">
      <c r="A483" s="25">
        <v>44318</v>
      </c>
      <c r="B483" s="26">
        <v>17</v>
      </c>
      <c r="C483" s="22"/>
      <c r="D483" s="22"/>
      <c r="E483" s="14"/>
      <c r="F483" s="14"/>
      <c r="G483" s="54"/>
    </row>
    <row r="484" spans="1:7" ht="14.5">
      <c r="A484" s="25">
        <v>44319</v>
      </c>
      <c r="B484" s="26">
        <v>18</v>
      </c>
      <c r="C484" s="22">
        <v>27</v>
      </c>
      <c r="D484" s="22"/>
      <c r="E484" s="14"/>
      <c r="F484" s="14"/>
      <c r="G484" s="100" t="s">
        <v>425</v>
      </c>
    </row>
    <row r="485" spans="1:7" ht="14.5">
      <c r="A485" s="25">
        <v>44320</v>
      </c>
      <c r="B485" s="26">
        <v>18</v>
      </c>
      <c r="C485" s="22"/>
      <c r="D485" s="22"/>
      <c r="E485" s="14"/>
      <c r="F485" s="14"/>
      <c r="G485" s="54"/>
    </row>
    <row r="486" spans="1:7" ht="14.5">
      <c r="A486" s="25">
        <v>44321</v>
      </c>
      <c r="B486" s="26">
        <v>18</v>
      </c>
      <c r="C486" s="22"/>
      <c r="D486" s="22"/>
      <c r="E486" s="14"/>
      <c r="F486" s="14"/>
      <c r="G486" s="54"/>
    </row>
    <row r="487" spans="1:7" ht="14.5">
      <c r="A487" s="25">
        <v>44322</v>
      </c>
      <c r="B487" s="26">
        <v>18</v>
      </c>
      <c r="C487" s="22"/>
      <c r="D487" s="22"/>
      <c r="E487" s="14"/>
      <c r="F487" s="14"/>
      <c r="G487" s="54"/>
    </row>
    <row r="488" spans="1:7" ht="14.5">
      <c r="A488" s="25">
        <v>44323</v>
      </c>
      <c r="B488" s="26">
        <v>18</v>
      </c>
      <c r="C488" s="22">
        <v>1</v>
      </c>
      <c r="D488" s="22"/>
      <c r="E488" s="14"/>
      <c r="F488" s="14"/>
      <c r="G488" s="54"/>
    </row>
    <row r="489" spans="1:7" ht="14.5">
      <c r="A489" s="25">
        <v>44324</v>
      </c>
      <c r="B489" s="26">
        <v>18</v>
      </c>
      <c r="C489" s="22"/>
      <c r="D489" s="22"/>
      <c r="E489" s="14"/>
      <c r="F489" s="14"/>
      <c r="G489" s="54"/>
    </row>
    <row r="490" spans="1:7" ht="14.5">
      <c r="A490" s="25">
        <v>44325</v>
      </c>
      <c r="B490" s="26">
        <v>18</v>
      </c>
      <c r="C490" s="22">
        <v>3</v>
      </c>
      <c r="D490" s="22"/>
      <c r="E490" s="14"/>
      <c r="F490" s="14"/>
      <c r="G490" s="100" t="s">
        <v>425</v>
      </c>
    </row>
    <row r="491" spans="1:7" ht="14.5">
      <c r="A491" s="25">
        <v>44326</v>
      </c>
      <c r="B491" s="26">
        <v>19</v>
      </c>
      <c r="C491" s="22"/>
      <c r="D491" s="22"/>
      <c r="E491" s="14"/>
      <c r="F491" s="14"/>
      <c r="G491" s="54"/>
    </row>
    <row r="492" spans="1:7" ht="14.5">
      <c r="A492" s="25">
        <v>44327</v>
      </c>
      <c r="B492" s="26">
        <v>19</v>
      </c>
      <c r="C492" s="22"/>
      <c r="D492" s="22"/>
      <c r="E492" s="14"/>
      <c r="F492" s="14"/>
      <c r="G492" s="54"/>
    </row>
    <row r="493" spans="1:7" ht="14.5">
      <c r="A493" s="25">
        <v>44328</v>
      </c>
      <c r="B493" s="26">
        <v>19</v>
      </c>
      <c r="C493" s="22"/>
      <c r="D493" s="22"/>
      <c r="E493" s="14"/>
      <c r="F493" s="14"/>
      <c r="G493" s="54"/>
    </row>
    <row r="494" spans="1:7" ht="14.5">
      <c r="A494" s="25">
        <v>44329</v>
      </c>
      <c r="B494" s="26">
        <v>19</v>
      </c>
      <c r="C494" s="22"/>
      <c r="D494" s="22"/>
      <c r="E494" s="14"/>
      <c r="F494" s="14"/>
      <c r="G494" s="54"/>
    </row>
    <row r="495" spans="1:7" ht="14.5">
      <c r="A495" s="25">
        <v>44330</v>
      </c>
      <c r="B495" s="26">
        <v>19</v>
      </c>
      <c r="C495" s="22"/>
      <c r="D495" s="22"/>
      <c r="E495" s="14"/>
      <c r="F495" s="14"/>
      <c r="G495" s="54"/>
    </row>
    <row r="496" spans="1:7" ht="14.5">
      <c r="A496" s="25">
        <v>44331</v>
      </c>
      <c r="B496" s="26">
        <v>19</v>
      </c>
      <c r="C496" s="22"/>
      <c r="D496" s="22"/>
      <c r="E496" s="14"/>
      <c r="F496" s="14"/>
      <c r="G496" s="54"/>
    </row>
    <row r="497" spans="1:7" ht="14.5">
      <c r="A497" s="25">
        <v>44332</v>
      </c>
      <c r="B497" s="26">
        <v>19</v>
      </c>
      <c r="C497" s="22"/>
      <c r="D497" s="22"/>
      <c r="E497" s="14"/>
      <c r="F497" s="14"/>
      <c r="G497" s="54"/>
    </row>
    <row r="498" spans="1:7" ht="14.5">
      <c r="A498" s="25">
        <v>44333</v>
      </c>
      <c r="B498" s="26">
        <v>20</v>
      </c>
      <c r="C498" s="22"/>
      <c r="D498" s="22"/>
      <c r="E498" s="14"/>
      <c r="F498" s="14"/>
      <c r="G498" s="54"/>
    </row>
    <row r="499" spans="1:7" ht="14.5">
      <c r="A499" s="25">
        <v>44334</v>
      </c>
      <c r="B499" s="26">
        <v>20</v>
      </c>
      <c r="C499" s="22"/>
      <c r="D499" s="22"/>
      <c r="E499" s="14"/>
      <c r="F499" s="14"/>
      <c r="G499" s="54"/>
    </row>
    <row r="500" spans="1:7" ht="14.5">
      <c r="A500" s="25">
        <v>44335</v>
      </c>
      <c r="B500" s="26">
        <v>20</v>
      </c>
      <c r="C500" s="22"/>
      <c r="D500" s="22"/>
      <c r="E500" s="14"/>
      <c r="F500" s="14"/>
      <c r="G500" s="54"/>
    </row>
    <row r="501" spans="1:7" ht="14.5">
      <c r="A501" s="25">
        <v>44336</v>
      </c>
      <c r="B501" s="26">
        <v>20</v>
      </c>
      <c r="C501" s="22"/>
      <c r="D501" s="22"/>
      <c r="E501" s="14"/>
      <c r="F501" s="14"/>
      <c r="G501" s="54"/>
    </row>
    <row r="502" spans="1:7" ht="15.5">
      <c r="A502" s="25">
        <v>44337</v>
      </c>
      <c r="B502" s="26">
        <v>20</v>
      </c>
      <c r="C502" s="22"/>
      <c r="D502" s="22"/>
      <c r="E502" s="14"/>
      <c r="F502" s="14"/>
      <c r="G502" s="47"/>
    </row>
    <row r="503" spans="1:7" ht="14.5">
      <c r="A503" s="25">
        <v>44338</v>
      </c>
      <c r="B503" s="26">
        <v>20</v>
      </c>
      <c r="C503" s="22"/>
      <c r="D503" s="22"/>
      <c r="E503" s="14"/>
      <c r="F503" s="14"/>
      <c r="G503" s="54"/>
    </row>
    <row r="504" spans="1:7" ht="14.5">
      <c r="A504" s="25">
        <v>44339</v>
      </c>
      <c r="B504" s="26">
        <v>20</v>
      </c>
      <c r="C504" s="22"/>
      <c r="D504" s="22"/>
      <c r="E504" s="14"/>
      <c r="F504" s="14"/>
      <c r="G504" s="54"/>
    </row>
    <row r="505" spans="1:7" ht="14.5">
      <c r="A505" s="25">
        <v>44340</v>
      </c>
      <c r="B505" s="26">
        <v>21</v>
      </c>
      <c r="C505" s="22">
        <v>1</v>
      </c>
      <c r="D505" s="22"/>
      <c r="E505" s="14"/>
      <c r="F505" s="14"/>
      <c r="G505" s="54"/>
    </row>
    <row r="506" spans="1:7" ht="14.5">
      <c r="A506" s="25">
        <v>44341</v>
      </c>
      <c r="B506" s="26">
        <v>21</v>
      </c>
      <c r="D506" s="22"/>
      <c r="E506" s="14"/>
      <c r="F506" s="14"/>
      <c r="G506" s="54"/>
    </row>
    <row r="507" spans="1:7" ht="14.5">
      <c r="A507" s="25">
        <v>44342</v>
      </c>
      <c r="B507" s="26">
        <v>21</v>
      </c>
      <c r="C507" s="22"/>
      <c r="D507" s="22"/>
      <c r="E507" s="14"/>
      <c r="F507" s="14"/>
      <c r="G507" s="54"/>
    </row>
    <row r="508" spans="1:7" ht="14.5">
      <c r="A508" s="25">
        <v>44343</v>
      </c>
      <c r="B508" s="26">
        <v>21</v>
      </c>
      <c r="C508" s="22"/>
      <c r="D508" s="22"/>
      <c r="E508" s="14"/>
      <c r="F508" s="14"/>
      <c r="G508" s="54"/>
    </row>
    <row r="509" spans="1:7" ht="14.5">
      <c r="A509" s="25">
        <v>44344</v>
      </c>
      <c r="B509" s="26">
        <v>21</v>
      </c>
      <c r="C509" s="22"/>
      <c r="D509" s="22"/>
      <c r="E509" s="14"/>
      <c r="F509" s="14"/>
      <c r="G509" s="54"/>
    </row>
    <row r="510" spans="1:7" ht="14.5">
      <c r="A510" s="25">
        <v>44345</v>
      </c>
      <c r="B510" s="26">
        <v>21</v>
      </c>
      <c r="C510" s="22"/>
      <c r="D510" s="22"/>
      <c r="E510" s="14"/>
      <c r="F510" s="14"/>
      <c r="G510" s="54"/>
    </row>
    <row r="511" spans="1:7" ht="14.5">
      <c r="A511" s="25">
        <v>44346</v>
      </c>
      <c r="B511" s="26">
        <v>21</v>
      </c>
      <c r="C511" s="22"/>
      <c r="D511" s="22"/>
      <c r="E511" s="14"/>
      <c r="F511" s="14"/>
      <c r="G511" s="54"/>
    </row>
    <row r="512" spans="1:7" ht="14.5">
      <c r="A512" s="25">
        <v>44347</v>
      </c>
      <c r="B512" s="26">
        <v>22</v>
      </c>
      <c r="C512" s="22"/>
      <c r="D512" s="22"/>
      <c r="E512" s="14"/>
      <c r="F512" s="14"/>
      <c r="G512" s="54"/>
    </row>
    <row r="513" spans="1:7" ht="14.5">
      <c r="A513" s="25">
        <v>44348</v>
      </c>
      <c r="B513" s="26">
        <v>22</v>
      </c>
      <c r="C513" s="22"/>
      <c r="D513" s="22"/>
      <c r="E513" s="14"/>
      <c r="F513" s="14"/>
      <c r="G513" s="54"/>
    </row>
    <row r="514" spans="1:7" ht="14.5">
      <c r="A514" s="25">
        <v>44349</v>
      </c>
      <c r="B514" s="26">
        <v>22</v>
      </c>
      <c r="C514" s="22"/>
      <c r="D514" s="22"/>
      <c r="E514" s="14"/>
      <c r="F514" s="14"/>
      <c r="G514" s="54"/>
    </row>
    <row r="515" spans="1:7" ht="14.5">
      <c r="A515" s="25">
        <v>44350</v>
      </c>
      <c r="B515" s="26">
        <v>22</v>
      </c>
      <c r="C515" s="22"/>
      <c r="D515" s="22"/>
      <c r="E515" s="14"/>
      <c r="F515" s="14"/>
      <c r="G515" s="54"/>
    </row>
    <row r="516" spans="1:7" ht="14.5">
      <c r="A516" s="25">
        <v>44351</v>
      </c>
      <c r="B516" s="26">
        <v>22</v>
      </c>
      <c r="C516" s="22"/>
      <c r="D516" s="22"/>
      <c r="E516" s="14"/>
      <c r="F516" s="14"/>
      <c r="G516" s="54"/>
    </row>
    <row r="517" spans="1:7" ht="14.5">
      <c r="A517" s="25">
        <v>44352</v>
      </c>
      <c r="B517" s="26">
        <v>22</v>
      </c>
      <c r="C517" s="22"/>
      <c r="D517" s="22"/>
      <c r="E517" s="14"/>
      <c r="F517" s="14"/>
      <c r="G517" s="54"/>
    </row>
    <row r="518" spans="1:7" ht="14.5">
      <c r="A518" s="25">
        <v>44353</v>
      </c>
      <c r="B518" s="26">
        <v>22</v>
      </c>
      <c r="C518" s="22"/>
      <c r="D518" s="22"/>
      <c r="E518" s="14"/>
      <c r="F518" s="14"/>
      <c r="G518" s="54"/>
    </row>
    <row r="519" spans="1:7" ht="14.5">
      <c r="A519" s="25">
        <v>44354</v>
      </c>
      <c r="B519" s="26">
        <v>23</v>
      </c>
      <c r="C519" s="22"/>
      <c r="D519" s="22"/>
      <c r="E519" s="14"/>
      <c r="F519" s="14"/>
      <c r="G519" s="54"/>
    </row>
    <row r="520" spans="1:7" ht="14.5">
      <c r="A520" s="25">
        <v>44355</v>
      </c>
      <c r="B520" s="26">
        <v>23</v>
      </c>
      <c r="C520" s="22"/>
      <c r="D520" s="22"/>
      <c r="E520" s="14"/>
      <c r="F520" s="14"/>
      <c r="G520" s="54"/>
    </row>
    <row r="521" spans="1:7" ht="14.5">
      <c r="A521" s="25">
        <v>44356</v>
      </c>
      <c r="B521" s="26">
        <v>23</v>
      </c>
      <c r="C521" s="22"/>
      <c r="D521" s="22"/>
      <c r="E521" s="14"/>
      <c r="F521" s="14"/>
      <c r="G521" s="54"/>
    </row>
    <row r="522" spans="1:7" ht="14.5">
      <c r="A522" s="25">
        <v>44357</v>
      </c>
      <c r="B522" s="26">
        <v>23</v>
      </c>
      <c r="C522" s="22"/>
      <c r="D522" s="22"/>
      <c r="E522" s="14"/>
      <c r="F522" s="14"/>
      <c r="G522" s="54"/>
    </row>
    <row r="523" spans="1:7" ht="14.5">
      <c r="A523" s="25">
        <v>44358</v>
      </c>
      <c r="B523" s="26">
        <v>23</v>
      </c>
      <c r="C523" s="22"/>
      <c r="D523" s="22"/>
      <c r="E523" s="14"/>
      <c r="F523" s="14"/>
      <c r="G523" s="54"/>
    </row>
    <row r="524" spans="1:7" ht="14.5">
      <c r="A524" s="25">
        <v>44359</v>
      </c>
      <c r="B524" s="26">
        <v>23</v>
      </c>
      <c r="C524" s="22"/>
      <c r="D524" s="22"/>
      <c r="E524" s="14"/>
      <c r="F524" s="14"/>
      <c r="G524" s="54"/>
    </row>
    <row r="525" spans="1:7" ht="14.5">
      <c r="A525" s="25">
        <v>44360</v>
      </c>
      <c r="B525" s="26">
        <v>23</v>
      </c>
      <c r="C525" s="22"/>
      <c r="D525" s="22"/>
      <c r="E525" s="14"/>
      <c r="F525" s="14"/>
      <c r="G525" s="54"/>
    </row>
    <row r="526" spans="1:7" ht="14.5">
      <c r="A526" s="25">
        <v>44361</v>
      </c>
      <c r="B526" s="26">
        <v>24</v>
      </c>
      <c r="C526" s="22"/>
      <c r="D526" s="22"/>
      <c r="E526" s="14"/>
      <c r="F526" s="14"/>
      <c r="G526" s="54"/>
    </row>
    <row r="527" spans="1:7" ht="14.5">
      <c r="A527" s="25">
        <v>44362</v>
      </c>
      <c r="B527" s="26">
        <v>24</v>
      </c>
      <c r="C527" s="22">
        <v>1</v>
      </c>
      <c r="D527" s="22"/>
      <c r="E527" s="14"/>
      <c r="F527" s="14"/>
      <c r="G527" s="54"/>
    </row>
    <row r="528" spans="1:7" ht="14.5">
      <c r="A528" s="25">
        <v>44363</v>
      </c>
      <c r="B528" s="26">
        <v>24</v>
      </c>
      <c r="C528" s="22"/>
      <c r="D528" s="22"/>
      <c r="E528" s="14"/>
      <c r="F528" s="14"/>
      <c r="G528" s="54"/>
    </row>
    <row r="529" spans="1:7" ht="14.5">
      <c r="A529" s="25">
        <v>44364</v>
      </c>
      <c r="B529" s="26">
        <v>24</v>
      </c>
      <c r="C529" s="22"/>
      <c r="D529" s="22"/>
      <c r="E529" s="14"/>
      <c r="F529" s="14"/>
      <c r="G529" s="54"/>
    </row>
    <row r="530" spans="1:7" ht="14.5">
      <c r="A530" s="25">
        <v>44365</v>
      </c>
      <c r="B530" s="26">
        <v>24</v>
      </c>
      <c r="C530" s="22"/>
      <c r="D530" s="22"/>
      <c r="E530" s="14"/>
      <c r="F530" s="14"/>
      <c r="G530" s="54"/>
    </row>
    <row r="531" spans="1:7" ht="14.5">
      <c r="A531" s="25">
        <v>44366</v>
      </c>
      <c r="B531" s="26">
        <v>24</v>
      </c>
      <c r="C531" s="22"/>
      <c r="D531" s="22"/>
      <c r="E531" s="14"/>
      <c r="F531" s="14"/>
      <c r="G531" s="54"/>
    </row>
    <row r="532" spans="1:7" ht="14.5">
      <c r="A532" s="25">
        <v>44367</v>
      </c>
      <c r="B532" s="26">
        <v>24</v>
      </c>
      <c r="C532" s="22"/>
      <c r="D532" s="22"/>
      <c r="E532" s="14"/>
      <c r="F532" s="14"/>
      <c r="G532" s="54"/>
    </row>
    <row r="533" spans="1:7" ht="14.5">
      <c r="A533" s="25">
        <v>44368</v>
      </c>
      <c r="B533" s="26">
        <v>25</v>
      </c>
      <c r="C533" s="22"/>
      <c r="D533" s="22"/>
      <c r="E533" s="14"/>
      <c r="F533" s="14"/>
      <c r="G533" s="54"/>
    </row>
    <row r="534" spans="1:7" ht="14.5">
      <c r="A534" s="25">
        <v>44369</v>
      </c>
      <c r="B534" s="26">
        <v>25</v>
      </c>
      <c r="C534" s="22"/>
      <c r="D534" s="22"/>
      <c r="E534" s="14"/>
      <c r="F534" s="14"/>
      <c r="G534" s="54"/>
    </row>
    <row r="535" spans="1:7" ht="14.5">
      <c r="A535" s="25">
        <v>44370</v>
      </c>
      <c r="B535" s="26">
        <v>25</v>
      </c>
      <c r="C535" s="22"/>
      <c r="D535" s="22"/>
      <c r="E535" s="16"/>
      <c r="F535" s="14"/>
      <c r="G535" s="54"/>
    </row>
    <row r="536" spans="1:7" ht="14.5">
      <c r="A536" s="25">
        <v>44371</v>
      </c>
      <c r="B536" s="26">
        <v>25</v>
      </c>
      <c r="C536" s="22"/>
      <c r="D536" s="22"/>
      <c r="E536" s="16"/>
      <c r="F536" s="14"/>
      <c r="G536" s="54"/>
    </row>
    <row r="537" spans="1:7" ht="14.5">
      <c r="A537" s="25">
        <v>44372</v>
      </c>
      <c r="B537" s="26">
        <v>25</v>
      </c>
      <c r="C537" s="22"/>
      <c r="D537" s="22"/>
      <c r="E537" s="16"/>
      <c r="F537" s="14"/>
      <c r="G537" s="54"/>
    </row>
    <row r="538" spans="1:7" ht="14.5">
      <c r="A538" s="25">
        <v>44373</v>
      </c>
      <c r="B538" s="26">
        <v>25</v>
      </c>
      <c r="C538" s="22"/>
      <c r="D538" s="22"/>
      <c r="E538" s="16"/>
      <c r="F538" s="14"/>
      <c r="G538" s="54"/>
    </row>
    <row r="539" spans="1:7" ht="14.5">
      <c r="A539" s="25">
        <v>44374</v>
      </c>
      <c r="B539" s="26">
        <v>25</v>
      </c>
      <c r="C539" s="22"/>
      <c r="D539" s="22"/>
      <c r="E539" s="16"/>
      <c r="F539" s="14"/>
      <c r="G539" s="54"/>
    </row>
    <row r="540" spans="1:7" ht="14.5">
      <c r="A540" s="25">
        <v>44375</v>
      </c>
      <c r="B540" s="26">
        <v>25</v>
      </c>
      <c r="C540" s="22"/>
      <c r="D540" s="22"/>
      <c r="E540" s="16"/>
      <c r="F540" s="14"/>
      <c r="G540" s="54"/>
    </row>
    <row r="541" spans="1:7" ht="14.5">
      <c r="A541" s="25">
        <v>44376</v>
      </c>
      <c r="B541" s="26">
        <v>26</v>
      </c>
      <c r="C541" s="22"/>
      <c r="D541" s="22"/>
      <c r="E541" s="16"/>
      <c r="F541" s="14"/>
      <c r="G541" s="54"/>
    </row>
    <row r="542" spans="1:7" ht="14.5">
      <c r="A542" s="25">
        <v>44377</v>
      </c>
      <c r="B542" s="26">
        <v>26</v>
      </c>
      <c r="C542" s="22"/>
      <c r="D542" s="22"/>
      <c r="E542" s="14"/>
      <c r="F542" s="14"/>
      <c r="G542" s="54"/>
    </row>
    <row r="543" spans="1:7" ht="14.5">
      <c r="A543" s="25">
        <v>44378</v>
      </c>
      <c r="B543" s="26">
        <v>26</v>
      </c>
      <c r="C543" s="22"/>
      <c r="D543" s="22"/>
      <c r="E543" s="14"/>
      <c r="F543" s="14"/>
      <c r="G543" s="54"/>
    </row>
    <row r="544" spans="1:7" ht="14.5">
      <c r="A544" s="25">
        <v>44379</v>
      </c>
      <c r="B544" s="26">
        <v>26</v>
      </c>
      <c r="C544" s="22"/>
      <c r="D544" s="22"/>
      <c r="E544" s="14"/>
      <c r="F544" s="14"/>
      <c r="G544" s="54"/>
    </row>
    <row r="545" spans="1:7" ht="14.5">
      <c r="A545" s="25">
        <v>44380</v>
      </c>
      <c r="B545" s="26">
        <v>26</v>
      </c>
      <c r="C545" s="22"/>
      <c r="D545" s="22"/>
      <c r="E545" s="14"/>
      <c r="F545" s="14"/>
      <c r="G545" s="54"/>
    </row>
    <row r="546" spans="1:7" ht="14.5">
      <c r="A546" s="25">
        <v>44381</v>
      </c>
      <c r="B546" s="26">
        <v>26</v>
      </c>
      <c r="C546" s="22"/>
      <c r="D546" s="22"/>
      <c r="E546" s="14"/>
      <c r="F546" s="14"/>
      <c r="G546" s="54"/>
    </row>
    <row r="547" spans="1:7" ht="14.5">
      <c r="A547" s="25">
        <v>44382</v>
      </c>
      <c r="B547" s="22">
        <v>27</v>
      </c>
      <c r="C547" s="22"/>
      <c r="D547" s="22"/>
      <c r="E547" s="14"/>
      <c r="F547" s="14"/>
      <c r="G547" s="54"/>
    </row>
    <row r="548" spans="1:7" ht="14.5">
      <c r="A548" s="25">
        <v>44383</v>
      </c>
      <c r="B548" s="22">
        <v>27</v>
      </c>
      <c r="C548" s="22"/>
      <c r="D548" s="22"/>
      <c r="E548" s="14"/>
      <c r="F548" s="14"/>
      <c r="G548" s="54"/>
    </row>
    <row r="549" spans="1:7" ht="14.5">
      <c r="A549" s="25">
        <v>44384</v>
      </c>
      <c r="B549" s="22">
        <v>27</v>
      </c>
      <c r="C549" s="22"/>
      <c r="D549" s="22"/>
      <c r="E549" s="14"/>
      <c r="F549" s="14"/>
      <c r="G549" s="54"/>
    </row>
    <row r="550" spans="1:7" ht="14.5">
      <c r="A550" s="25">
        <v>44385</v>
      </c>
      <c r="B550" s="22">
        <v>27</v>
      </c>
      <c r="C550" s="22">
        <v>1</v>
      </c>
      <c r="D550" s="22"/>
      <c r="E550" s="14"/>
      <c r="F550" s="14"/>
      <c r="G550" s="54"/>
    </row>
    <row r="551" spans="1:7" ht="14.5">
      <c r="A551" s="25">
        <v>44386</v>
      </c>
      <c r="B551" s="22">
        <v>27</v>
      </c>
      <c r="C551" s="22"/>
      <c r="D551" s="22"/>
      <c r="E551" s="14"/>
      <c r="F551" s="14"/>
      <c r="G551" s="54"/>
    </row>
    <row r="552" spans="1:7" ht="14.5">
      <c r="A552" s="25">
        <v>44387</v>
      </c>
      <c r="B552" s="22">
        <v>27</v>
      </c>
      <c r="C552" s="22"/>
      <c r="D552" s="22"/>
      <c r="E552" s="14"/>
      <c r="F552" s="14"/>
      <c r="G552" s="54"/>
    </row>
    <row r="553" spans="1:7" ht="14.5">
      <c r="A553" s="25">
        <v>44388</v>
      </c>
      <c r="B553" s="22">
        <v>27</v>
      </c>
      <c r="C553" s="22"/>
      <c r="D553" s="22"/>
      <c r="E553" s="14"/>
      <c r="F553" s="14"/>
      <c r="G553" s="54"/>
    </row>
    <row r="554" spans="1:7" ht="14.5">
      <c r="A554" s="25">
        <v>44389</v>
      </c>
      <c r="B554" s="22">
        <v>28</v>
      </c>
      <c r="C554" s="22"/>
      <c r="D554" s="22"/>
      <c r="E554" s="14"/>
      <c r="F554" s="14"/>
      <c r="G554" s="54"/>
    </row>
    <row r="555" spans="1:7" ht="14.5">
      <c r="A555" s="25">
        <v>44390</v>
      </c>
      <c r="B555" s="22">
        <v>28</v>
      </c>
      <c r="C555" s="22"/>
      <c r="D555" s="22"/>
      <c r="E555" s="14"/>
      <c r="F555" s="14"/>
      <c r="G555" s="54"/>
    </row>
    <row r="556" spans="1:7" ht="14.5">
      <c r="A556" s="25">
        <v>44391</v>
      </c>
      <c r="B556" s="22">
        <v>28</v>
      </c>
      <c r="C556" s="22"/>
      <c r="D556" s="22"/>
      <c r="E556" s="14"/>
      <c r="F556" s="14"/>
      <c r="G556" s="54"/>
    </row>
    <row r="557" spans="1:7" ht="14.5">
      <c r="A557" s="25">
        <v>44392</v>
      </c>
      <c r="B557" s="22">
        <v>28</v>
      </c>
      <c r="C557" s="22">
        <v>1</v>
      </c>
      <c r="D557" s="22"/>
      <c r="E557" s="14"/>
      <c r="F557" s="14"/>
      <c r="G557" s="54"/>
    </row>
    <row r="558" spans="1:7" ht="14.5">
      <c r="A558" s="25">
        <v>44393</v>
      </c>
      <c r="B558" s="22">
        <v>28</v>
      </c>
      <c r="C558" s="22"/>
      <c r="D558" s="22"/>
      <c r="E558" s="14"/>
      <c r="F558" s="14"/>
      <c r="G558" s="54"/>
    </row>
    <row r="559" spans="1:7" ht="14.5">
      <c r="A559" s="25">
        <v>44394</v>
      </c>
      <c r="B559" s="22">
        <v>28</v>
      </c>
      <c r="C559" s="22"/>
      <c r="D559" s="22"/>
      <c r="E559" s="14"/>
      <c r="F559" s="14"/>
      <c r="G559" s="54"/>
    </row>
    <row r="560" spans="1:7" ht="14.5">
      <c r="A560" s="25">
        <v>44395</v>
      </c>
      <c r="B560" s="22">
        <v>28</v>
      </c>
      <c r="C560" s="22"/>
      <c r="D560" s="22"/>
      <c r="E560" s="14"/>
      <c r="F560" s="14"/>
      <c r="G560" s="54"/>
    </row>
    <row r="561" spans="1:7" ht="14.5">
      <c r="A561" s="25">
        <v>44396</v>
      </c>
      <c r="B561" s="22">
        <v>29</v>
      </c>
      <c r="C561" s="22"/>
      <c r="D561" s="22"/>
      <c r="E561" s="14"/>
      <c r="F561" s="14"/>
      <c r="G561" s="54"/>
    </row>
    <row r="562" spans="1:7" ht="14.5">
      <c r="A562" s="25">
        <v>44397</v>
      </c>
      <c r="B562" s="22">
        <v>29</v>
      </c>
      <c r="C562" s="22"/>
      <c r="D562" s="22"/>
      <c r="E562" s="14"/>
      <c r="F562" s="14"/>
      <c r="G562" s="54"/>
    </row>
    <row r="563" spans="1:7" ht="14.5">
      <c r="A563" s="28">
        <v>44398</v>
      </c>
      <c r="B563" s="22">
        <v>29</v>
      </c>
      <c r="C563" s="22"/>
      <c r="D563" s="22"/>
      <c r="E563" s="14"/>
      <c r="F563" s="14"/>
      <c r="G563" s="54"/>
    </row>
    <row r="564" spans="1:7" ht="14.5">
      <c r="A564" s="28">
        <v>44399</v>
      </c>
      <c r="B564" s="22">
        <v>29</v>
      </c>
      <c r="C564" s="22"/>
      <c r="D564" s="22"/>
      <c r="E564" s="14"/>
      <c r="F564" s="14"/>
      <c r="G564" s="54"/>
    </row>
    <row r="565" spans="1:7" ht="14.5">
      <c r="A565" s="28">
        <v>44400</v>
      </c>
      <c r="B565" s="22">
        <v>29</v>
      </c>
      <c r="C565" s="22">
        <f>(4/3)</f>
        <v>1.3333333333333333</v>
      </c>
      <c r="D565" s="22"/>
      <c r="E565" s="22"/>
      <c r="F565" s="22"/>
    </row>
    <row r="566" spans="1:7" ht="14.5">
      <c r="A566" s="28">
        <v>44401</v>
      </c>
      <c r="B566" s="22">
        <v>29</v>
      </c>
      <c r="C566" s="22">
        <v>1</v>
      </c>
      <c r="D566" s="22"/>
      <c r="E566" s="22"/>
      <c r="F566" s="22"/>
    </row>
    <row r="567" spans="1:7" ht="14.5">
      <c r="A567" s="28">
        <v>44402</v>
      </c>
      <c r="B567" s="22">
        <v>29</v>
      </c>
      <c r="C567" s="22"/>
      <c r="D567" s="22"/>
      <c r="E567" s="22"/>
      <c r="F567" s="22"/>
    </row>
    <row r="568" spans="1:7" ht="14.5">
      <c r="A568" s="28">
        <v>44403</v>
      </c>
      <c r="B568" s="22">
        <v>30</v>
      </c>
      <c r="C568" s="22"/>
      <c r="D568" s="22"/>
      <c r="E568" s="22"/>
      <c r="F568" s="22"/>
    </row>
    <row r="569" spans="1:7" ht="14.5">
      <c r="A569" s="28">
        <v>44404</v>
      </c>
      <c r="B569" s="22">
        <v>30</v>
      </c>
      <c r="C569" s="32"/>
      <c r="D569" s="32"/>
      <c r="E569" s="32"/>
      <c r="F569" s="32"/>
    </row>
    <row r="570" spans="1:7" ht="14.5">
      <c r="A570" s="28">
        <v>44405</v>
      </c>
      <c r="B570" s="22">
        <v>30</v>
      </c>
      <c r="C570" s="22">
        <v>1.5</v>
      </c>
      <c r="D570" s="32"/>
      <c r="E570" s="32"/>
      <c r="F570" s="32"/>
    </row>
    <row r="571" spans="1:7" ht="14.5">
      <c r="A571" s="28">
        <v>44406</v>
      </c>
      <c r="B571" s="22">
        <v>30</v>
      </c>
      <c r="C571" s="22">
        <v>1.5</v>
      </c>
      <c r="D571" s="32"/>
      <c r="E571" s="32"/>
      <c r="F571" s="32"/>
    </row>
    <row r="572" spans="1:7" ht="14.5">
      <c r="A572" s="28">
        <v>44407</v>
      </c>
      <c r="B572" s="22">
        <v>30</v>
      </c>
      <c r="C572" s="22">
        <f>(4/3)+1</f>
        <v>2.333333333333333</v>
      </c>
      <c r="D572" s="32"/>
      <c r="E572" s="32"/>
      <c r="F572" s="32"/>
    </row>
    <row r="573" spans="1:7" ht="14.5">
      <c r="A573" s="28">
        <v>44408</v>
      </c>
      <c r="B573" s="22">
        <v>30</v>
      </c>
      <c r="C573" s="22">
        <f>(4/3)</f>
        <v>1.3333333333333333</v>
      </c>
      <c r="D573" s="32"/>
      <c r="E573" s="32"/>
      <c r="F573" s="32"/>
    </row>
    <row r="574" spans="1:7" ht="14.5">
      <c r="A574" s="28">
        <v>44409</v>
      </c>
      <c r="B574" s="22">
        <v>30</v>
      </c>
      <c r="C574" s="22"/>
      <c r="D574" s="22"/>
      <c r="E574" s="22"/>
      <c r="F574" s="22"/>
    </row>
    <row r="575" spans="1:7" ht="14.5">
      <c r="A575" s="28">
        <v>44410</v>
      </c>
      <c r="B575" s="22">
        <v>31</v>
      </c>
      <c r="C575" s="22"/>
      <c r="D575" s="22"/>
      <c r="E575" s="22"/>
      <c r="F575" s="22"/>
    </row>
    <row r="576" spans="1:7" ht="14.5">
      <c r="A576" s="28">
        <v>44411</v>
      </c>
      <c r="B576" s="22">
        <v>31</v>
      </c>
      <c r="C576" s="22"/>
      <c r="D576" s="22"/>
      <c r="E576" s="22"/>
      <c r="F576" s="22"/>
    </row>
    <row r="577" spans="1:6" ht="14.5">
      <c r="A577" s="28">
        <v>44412</v>
      </c>
      <c r="B577" s="22">
        <v>31</v>
      </c>
      <c r="C577" s="22">
        <f>1</f>
        <v>1</v>
      </c>
      <c r="D577" s="22"/>
      <c r="E577" s="22"/>
      <c r="F577" s="22"/>
    </row>
    <row r="578" spans="1:6" ht="14.5">
      <c r="A578" s="28">
        <v>44413</v>
      </c>
      <c r="B578" s="22">
        <v>31</v>
      </c>
      <c r="C578" s="22">
        <f>1</f>
        <v>1</v>
      </c>
      <c r="D578" s="22"/>
      <c r="E578" s="22"/>
      <c r="F578" s="22"/>
    </row>
    <row r="579" spans="1:6" ht="14.5">
      <c r="A579" s="28">
        <v>44414</v>
      </c>
      <c r="B579" s="22">
        <v>31</v>
      </c>
      <c r="C579" s="22">
        <f>1+(5/4)</f>
        <v>2.25</v>
      </c>
      <c r="D579" s="22"/>
      <c r="E579" s="22"/>
      <c r="F579" s="22"/>
    </row>
    <row r="580" spans="1:6" ht="14.5">
      <c r="A580" s="28">
        <v>44415</v>
      </c>
      <c r="B580" s="22">
        <v>31</v>
      </c>
      <c r="C580" s="22">
        <f>1+(5/4)</f>
        <v>2.25</v>
      </c>
      <c r="D580" s="22"/>
      <c r="E580" s="22"/>
      <c r="F580" s="22"/>
    </row>
    <row r="581" spans="1:6" ht="14.5">
      <c r="A581" s="28">
        <v>44416</v>
      </c>
      <c r="B581" s="22">
        <v>31</v>
      </c>
      <c r="C581" s="22">
        <f>1+(5/4)</f>
        <v>2.25</v>
      </c>
      <c r="D581" s="22"/>
      <c r="E581" s="22"/>
      <c r="F581" s="22"/>
    </row>
    <row r="582" spans="1:6" ht="14.5">
      <c r="A582" s="28">
        <v>44417</v>
      </c>
      <c r="B582" s="22">
        <v>32</v>
      </c>
      <c r="C582" s="22"/>
      <c r="D582" s="22"/>
      <c r="E582" s="22"/>
      <c r="F582" s="22"/>
    </row>
    <row r="583" spans="1:6" ht="14.5">
      <c r="A583" s="28">
        <v>44418</v>
      </c>
      <c r="B583" s="22">
        <v>32</v>
      </c>
      <c r="C583" s="22">
        <f>(5/4)+1+(5/4)</f>
        <v>3.5</v>
      </c>
      <c r="D583" s="22">
        <f>(1/2)+(1/4)</f>
        <v>0.75</v>
      </c>
      <c r="E583" s="22"/>
      <c r="F583" s="22"/>
    </row>
    <row r="584" spans="1:6" ht="14.5">
      <c r="A584" s="28">
        <v>44419</v>
      </c>
      <c r="B584" s="22">
        <v>32</v>
      </c>
      <c r="C584" s="22"/>
      <c r="D584" s="22"/>
      <c r="E584" s="22"/>
      <c r="F584" s="22"/>
    </row>
    <row r="585" spans="1:6" ht="14.5">
      <c r="A585" s="28">
        <v>44420</v>
      </c>
      <c r="B585" s="22">
        <v>32</v>
      </c>
      <c r="C585" s="22">
        <f>1</f>
        <v>1</v>
      </c>
      <c r="D585" s="22">
        <f>1/2</f>
        <v>0.5</v>
      </c>
      <c r="E585" s="22"/>
      <c r="F585" s="22"/>
    </row>
    <row r="586" spans="1:6" ht="14.5">
      <c r="A586" s="28">
        <v>44421</v>
      </c>
      <c r="B586" s="22">
        <v>32</v>
      </c>
      <c r="C586" s="22">
        <f>(5/4)+(5/3)+(2/4)</f>
        <v>3.416666666666667</v>
      </c>
      <c r="D586" s="22">
        <f>(1/4)+(2/4)</f>
        <v>0.75</v>
      </c>
      <c r="E586" s="22"/>
      <c r="F586" s="22"/>
    </row>
    <row r="587" spans="1:6" ht="14.5">
      <c r="A587" s="28">
        <v>44422</v>
      </c>
      <c r="B587" s="22">
        <v>32</v>
      </c>
      <c r="C587" s="22">
        <f>(5/4)+(5/3)+(3/2)</f>
        <v>4.416666666666667</v>
      </c>
      <c r="D587" s="22">
        <f>(1/4)</f>
        <v>0.25</v>
      </c>
      <c r="E587" s="22"/>
      <c r="F587" s="22"/>
    </row>
    <row r="588" spans="1:6" ht="14.5">
      <c r="A588" s="28">
        <v>44423</v>
      </c>
      <c r="B588" s="22">
        <v>32</v>
      </c>
      <c r="C588" s="22">
        <f>(5/4)</f>
        <v>1.25</v>
      </c>
      <c r="D588" s="22">
        <f>(1/4)</f>
        <v>0.25</v>
      </c>
      <c r="E588" s="22"/>
      <c r="F588" s="22"/>
    </row>
    <row r="589" spans="1:6" ht="14.5">
      <c r="A589" s="28">
        <v>44424</v>
      </c>
      <c r="B589" s="22">
        <v>33</v>
      </c>
      <c r="C589" s="22"/>
      <c r="D589" s="22"/>
      <c r="E589" s="22"/>
      <c r="F589" s="22"/>
    </row>
    <row r="590" spans="1:6" ht="14.5">
      <c r="A590" s="28">
        <v>44425</v>
      </c>
      <c r="B590" s="22">
        <v>33</v>
      </c>
      <c r="C590" s="22"/>
      <c r="D590" s="22"/>
      <c r="E590" s="22"/>
      <c r="F590" s="22"/>
    </row>
    <row r="591" spans="1:6" ht="14.5">
      <c r="A591" s="28">
        <v>44426</v>
      </c>
      <c r="B591" s="22">
        <v>33</v>
      </c>
      <c r="C591" s="22">
        <f>(5/3)+(3/2)</f>
        <v>3.166666666666667</v>
      </c>
      <c r="D591" s="22"/>
      <c r="E591" s="22"/>
      <c r="F591" s="22"/>
    </row>
    <row r="592" spans="1:6" ht="14.5">
      <c r="A592" s="28">
        <v>44427</v>
      </c>
      <c r="B592" s="22">
        <v>33</v>
      </c>
      <c r="C592" s="22">
        <f>(3/2)+(3/2)+(2/4)+1+(1/2)</f>
        <v>5</v>
      </c>
      <c r="D592" s="22">
        <f>(2/4)+(1/2)</f>
        <v>1</v>
      </c>
      <c r="E592" s="22"/>
      <c r="F592" s="22"/>
    </row>
    <row r="593" spans="1:7" ht="14.5">
      <c r="A593" s="28">
        <v>44428</v>
      </c>
      <c r="B593" s="22">
        <v>33</v>
      </c>
      <c r="C593" s="22"/>
      <c r="D593" s="22"/>
      <c r="E593" s="22"/>
      <c r="F593" s="22"/>
    </row>
    <row r="594" spans="1:7" ht="14.5">
      <c r="A594" s="28">
        <v>44429</v>
      </c>
      <c r="B594" s="22">
        <v>33</v>
      </c>
      <c r="C594" s="22"/>
      <c r="D594" s="22"/>
      <c r="E594" s="22"/>
      <c r="F594" s="22"/>
    </row>
    <row r="595" spans="1:7" ht="14.5">
      <c r="A595" s="28">
        <v>44430</v>
      </c>
      <c r="B595" s="22">
        <v>33</v>
      </c>
      <c r="C595" s="22"/>
      <c r="D595" s="22"/>
      <c r="E595" s="22"/>
      <c r="F595" s="22"/>
    </row>
    <row r="596" spans="1:7" ht="14.5">
      <c r="A596" s="28">
        <v>44431</v>
      </c>
      <c r="B596" s="22">
        <v>34</v>
      </c>
      <c r="C596" s="22">
        <f>(2/4)+(5/4)</f>
        <v>1.75</v>
      </c>
      <c r="D596" s="22">
        <f>(2/4)</f>
        <v>0.5</v>
      </c>
      <c r="E596" s="22"/>
      <c r="F596" s="22"/>
    </row>
    <row r="597" spans="1:7" ht="14.5">
      <c r="A597" s="28">
        <v>44432</v>
      </c>
      <c r="B597" s="22">
        <v>34</v>
      </c>
      <c r="C597" s="22">
        <f>(2/4)</f>
        <v>0.5</v>
      </c>
      <c r="D597" s="22">
        <f>(2/4)</f>
        <v>0.5</v>
      </c>
      <c r="E597" s="22"/>
      <c r="F597" s="22"/>
    </row>
    <row r="598" spans="1:7" ht="14.5">
      <c r="A598" s="28">
        <v>44433</v>
      </c>
      <c r="B598" s="22">
        <v>34</v>
      </c>
      <c r="C598" s="22">
        <f>(5/4)</f>
        <v>1.25</v>
      </c>
      <c r="D598" s="22"/>
      <c r="E598" s="22"/>
      <c r="F598" s="22"/>
    </row>
    <row r="599" spans="1:7" ht="14.5">
      <c r="A599" s="28">
        <v>44434</v>
      </c>
      <c r="B599" s="22">
        <v>34</v>
      </c>
      <c r="C599" s="22">
        <f>(5/4)</f>
        <v>1.25</v>
      </c>
      <c r="D599" s="22"/>
      <c r="E599" s="22"/>
      <c r="F599" s="22"/>
    </row>
    <row r="600" spans="1:7" ht="14.5">
      <c r="A600" s="28">
        <v>44435</v>
      </c>
      <c r="B600" s="22">
        <v>34</v>
      </c>
      <c r="C600" s="22">
        <f>(5/4)</f>
        <v>1.25</v>
      </c>
      <c r="D600" s="22"/>
      <c r="E600" s="22"/>
      <c r="F600" s="22"/>
    </row>
    <row r="601" spans="1:7" ht="14.5">
      <c r="A601" s="28">
        <v>44436</v>
      </c>
      <c r="B601" s="22">
        <v>34</v>
      </c>
      <c r="C601" s="22">
        <f>(3/2)</f>
        <v>1.5</v>
      </c>
      <c r="D601" s="22"/>
      <c r="E601" s="22"/>
      <c r="F601" s="22"/>
    </row>
    <row r="602" spans="1:7" ht="14.5">
      <c r="A602" s="28">
        <v>44437</v>
      </c>
      <c r="B602" s="22">
        <v>34</v>
      </c>
      <c r="C602" s="22">
        <f>(4/3)</f>
        <v>1.3333333333333333</v>
      </c>
      <c r="D602" s="22"/>
      <c r="E602" s="22"/>
      <c r="F602" s="22"/>
    </row>
    <row r="603" spans="1:7" ht="14.5">
      <c r="A603" s="28">
        <v>44438</v>
      </c>
      <c r="B603" s="22">
        <v>35</v>
      </c>
      <c r="C603" s="22"/>
      <c r="D603" s="22"/>
      <c r="E603" s="22"/>
      <c r="F603" s="22"/>
    </row>
    <row r="604" spans="1:7" ht="14.5">
      <c r="A604" s="28">
        <v>44439</v>
      </c>
      <c r="B604" s="22">
        <v>35</v>
      </c>
      <c r="C604" s="22">
        <f>13</f>
        <v>13</v>
      </c>
      <c r="D604" s="22"/>
      <c r="E604" s="22"/>
      <c r="F604" s="22"/>
      <c r="G604" s="80" t="s">
        <v>424</v>
      </c>
    </row>
    <row r="605" spans="1:7" ht="14.5">
      <c r="A605" s="28">
        <v>44440</v>
      </c>
      <c r="B605" s="22">
        <v>35</v>
      </c>
      <c r="C605" s="22">
        <f>(3/2)</f>
        <v>1.5</v>
      </c>
      <c r="D605" s="22"/>
      <c r="E605" s="22"/>
      <c r="F605" s="22"/>
    </row>
    <row r="606" spans="1:7" ht="14.5">
      <c r="A606" s="28">
        <v>44441</v>
      </c>
      <c r="B606" s="22">
        <v>35</v>
      </c>
      <c r="C606" s="22"/>
      <c r="D606" s="22"/>
      <c r="E606" s="22"/>
      <c r="F606" s="22"/>
    </row>
    <row r="607" spans="1:7" ht="14.5">
      <c r="A607" s="28">
        <v>44442</v>
      </c>
      <c r="B607" s="22">
        <v>35</v>
      </c>
      <c r="C607" s="22">
        <f>(4/3)</f>
        <v>1.3333333333333333</v>
      </c>
      <c r="D607" s="22"/>
      <c r="E607" s="22"/>
      <c r="F607" s="22"/>
    </row>
    <row r="608" spans="1:7" ht="14.5">
      <c r="A608" s="28">
        <v>44443</v>
      </c>
      <c r="B608" s="22">
        <v>35</v>
      </c>
      <c r="C608" s="22"/>
      <c r="D608" s="22"/>
      <c r="E608" s="22"/>
      <c r="F608" s="22"/>
    </row>
    <row r="609" spans="1:6" ht="14.5">
      <c r="A609" s="28">
        <v>44444</v>
      </c>
      <c r="B609" s="22">
        <v>35</v>
      </c>
      <c r="C609" s="22"/>
      <c r="D609" s="22"/>
      <c r="E609" s="22"/>
      <c r="F609" s="22"/>
    </row>
    <row r="610" spans="1:6" ht="14.5">
      <c r="A610" s="28">
        <v>44445</v>
      </c>
      <c r="B610" s="22">
        <v>36</v>
      </c>
      <c r="C610" s="22"/>
      <c r="D610" s="22"/>
      <c r="E610" s="22"/>
      <c r="F610" s="22"/>
    </row>
    <row r="611" spans="1:6" ht="14.5">
      <c r="A611" s="28">
        <v>44446</v>
      </c>
      <c r="B611" s="22">
        <v>36</v>
      </c>
      <c r="C611" s="22">
        <f>(4/3)</f>
        <v>1.3333333333333333</v>
      </c>
      <c r="D611" s="22"/>
      <c r="E611" s="22"/>
      <c r="F611" s="22"/>
    </row>
    <row r="612" spans="1:6" ht="14.5">
      <c r="A612" s="28">
        <v>44447</v>
      </c>
      <c r="B612" s="22">
        <v>36</v>
      </c>
      <c r="C612" s="22"/>
      <c r="D612" s="22"/>
      <c r="E612" s="22"/>
      <c r="F612" s="22"/>
    </row>
    <row r="613" spans="1:6" ht="14.5">
      <c r="A613" s="28">
        <v>44448</v>
      </c>
      <c r="B613" s="22">
        <v>36</v>
      </c>
      <c r="C613" s="22"/>
      <c r="D613" s="22"/>
      <c r="E613" s="22"/>
      <c r="F613" s="22"/>
    </row>
    <row r="614" spans="1:6" ht="14.5">
      <c r="A614" s="28">
        <v>44449</v>
      </c>
      <c r="B614" s="22">
        <v>36</v>
      </c>
      <c r="C614" s="22"/>
      <c r="D614" s="22"/>
      <c r="E614" s="22"/>
      <c r="F614" s="22"/>
    </row>
    <row r="615" spans="1:6" ht="14.5">
      <c r="A615" s="28">
        <v>44450</v>
      </c>
      <c r="B615" s="22">
        <v>36</v>
      </c>
      <c r="C615" s="22"/>
      <c r="D615" s="22"/>
      <c r="E615" s="22"/>
      <c r="F615" s="22"/>
    </row>
    <row r="616" spans="1:6" ht="14.5">
      <c r="A616" s="28">
        <v>44451</v>
      </c>
      <c r="B616" s="22">
        <v>36</v>
      </c>
      <c r="C616" s="22">
        <f>(1/2)</f>
        <v>0.5</v>
      </c>
      <c r="D616" s="22">
        <f>(1/2)</f>
        <v>0.5</v>
      </c>
      <c r="E616" s="22"/>
      <c r="F616" s="22"/>
    </row>
    <row r="617" spans="1:6" ht="14.5">
      <c r="A617" s="28">
        <v>44452</v>
      </c>
      <c r="B617" s="22">
        <v>37</v>
      </c>
      <c r="C617" s="22"/>
      <c r="D617" s="22"/>
      <c r="E617" s="22"/>
      <c r="F617" s="22"/>
    </row>
    <row r="618" spans="1:6" ht="14.5">
      <c r="A618" s="28">
        <v>44453</v>
      </c>
      <c r="B618" s="22">
        <v>37</v>
      </c>
      <c r="C618" s="22">
        <f>1</f>
        <v>1</v>
      </c>
      <c r="D618" s="22"/>
      <c r="E618" s="22"/>
      <c r="F618" s="22"/>
    </row>
    <row r="619" spans="1:6" ht="14.5">
      <c r="A619" s="28">
        <v>44454</v>
      </c>
      <c r="B619" s="22">
        <v>37</v>
      </c>
      <c r="C619" s="22"/>
      <c r="D619" s="22"/>
      <c r="E619" s="22"/>
      <c r="F619" s="22"/>
    </row>
    <row r="620" spans="1:6" ht="14.5">
      <c r="A620" s="28">
        <v>44455</v>
      </c>
      <c r="B620" s="22">
        <v>37</v>
      </c>
      <c r="C620" s="22"/>
      <c r="D620" s="22"/>
      <c r="E620" s="22"/>
      <c r="F620" s="22"/>
    </row>
    <row r="621" spans="1:6" ht="14.5">
      <c r="A621" s="28">
        <v>44456</v>
      </c>
      <c r="B621" s="22">
        <v>37</v>
      </c>
      <c r="C621" s="22">
        <f>1</f>
        <v>1</v>
      </c>
      <c r="D621" s="22"/>
      <c r="E621" s="22"/>
      <c r="F621" s="22"/>
    </row>
    <row r="622" spans="1:6" ht="14.5">
      <c r="A622" s="28">
        <v>44457</v>
      </c>
      <c r="B622" s="22">
        <v>37</v>
      </c>
      <c r="C622" s="22"/>
      <c r="D622" s="22"/>
      <c r="E622" s="22"/>
      <c r="F622" s="22"/>
    </row>
    <row r="623" spans="1:6" ht="14.5">
      <c r="A623" s="28">
        <v>44458</v>
      </c>
      <c r="B623" s="22">
        <v>37</v>
      </c>
      <c r="C623" s="22"/>
      <c r="D623" s="22"/>
      <c r="E623" s="22"/>
      <c r="F623" s="22"/>
    </row>
    <row r="624" spans="1:6" ht="14.5">
      <c r="A624" s="28">
        <v>44459</v>
      </c>
      <c r="B624" s="22">
        <v>38</v>
      </c>
      <c r="C624" s="22"/>
      <c r="D624" s="22"/>
      <c r="E624" s="22"/>
      <c r="F624" s="22"/>
    </row>
    <row r="625" spans="1:6" ht="14.5">
      <c r="A625" s="28">
        <v>44460</v>
      </c>
      <c r="B625" s="22">
        <v>38</v>
      </c>
      <c r="C625" s="22"/>
      <c r="D625" s="22"/>
      <c r="E625" s="22"/>
      <c r="F625" s="22"/>
    </row>
    <row r="626" spans="1:6" ht="14.5">
      <c r="A626" s="28">
        <v>44461</v>
      </c>
      <c r="B626" s="22">
        <v>38</v>
      </c>
      <c r="C626" s="22"/>
      <c r="D626" s="22"/>
      <c r="E626" s="22"/>
      <c r="F626" s="22"/>
    </row>
    <row r="627" spans="1:6" ht="14.5">
      <c r="A627" s="28">
        <v>44462</v>
      </c>
      <c r="B627" s="22">
        <v>38</v>
      </c>
      <c r="C627" s="22"/>
      <c r="D627" s="22"/>
      <c r="E627" s="22"/>
      <c r="F627" s="22"/>
    </row>
    <row r="628" spans="1:6" ht="14.5">
      <c r="A628" s="28">
        <v>44463</v>
      </c>
      <c r="B628" s="22">
        <v>38</v>
      </c>
      <c r="C628" s="22"/>
      <c r="D628" s="22"/>
      <c r="E628" s="22"/>
      <c r="F628" s="22"/>
    </row>
    <row r="629" spans="1:6" ht="14.5">
      <c r="A629" s="28">
        <v>44464</v>
      </c>
      <c r="B629" s="22">
        <v>38</v>
      </c>
      <c r="C629" s="22"/>
      <c r="D629" s="22"/>
      <c r="E629" s="22"/>
      <c r="F629" s="22"/>
    </row>
    <row r="630" spans="1:6" ht="14.5">
      <c r="A630" s="28">
        <v>44465</v>
      </c>
      <c r="B630" s="22">
        <v>38</v>
      </c>
      <c r="C630" s="22"/>
      <c r="D630" s="22"/>
      <c r="E630" s="22"/>
      <c r="F630" s="22"/>
    </row>
    <row r="631" spans="1:6" ht="14.5">
      <c r="A631" s="28">
        <v>44466</v>
      </c>
      <c r="B631" s="22">
        <v>39</v>
      </c>
      <c r="C631" s="22"/>
      <c r="D631" s="22"/>
      <c r="E631" s="22"/>
      <c r="F631" s="22"/>
    </row>
    <row r="632" spans="1:6" ht="14.5">
      <c r="A632" s="28">
        <v>44467</v>
      </c>
      <c r="B632" s="22">
        <v>39</v>
      </c>
      <c r="C632" s="22"/>
      <c r="D632" s="22"/>
      <c r="E632" s="22"/>
      <c r="F632" s="22"/>
    </row>
    <row r="633" spans="1:6" ht="14.5">
      <c r="A633" s="28">
        <v>44468</v>
      </c>
      <c r="B633" s="22">
        <v>39</v>
      </c>
      <c r="C633" s="22"/>
      <c r="D633" s="22"/>
      <c r="E633" s="22"/>
      <c r="F633" s="22"/>
    </row>
    <row r="634" spans="1:6" ht="14.5">
      <c r="A634" s="28">
        <v>44469</v>
      </c>
      <c r="B634" s="22">
        <v>39</v>
      </c>
      <c r="C634" s="22"/>
      <c r="D634" s="22"/>
      <c r="E634" s="22"/>
      <c r="F634" s="22"/>
    </row>
    <row r="635" spans="1:6" ht="14.5">
      <c r="A635" s="28">
        <v>44470</v>
      </c>
      <c r="B635" s="22">
        <v>39</v>
      </c>
      <c r="C635" s="22"/>
      <c r="D635" s="22"/>
      <c r="E635" s="22"/>
      <c r="F635" s="22"/>
    </row>
    <row r="636" spans="1:6" ht="14.5">
      <c r="A636" s="28">
        <v>44471</v>
      </c>
      <c r="B636" s="22">
        <v>39</v>
      </c>
      <c r="C636" s="22"/>
      <c r="D636" s="22"/>
      <c r="E636" s="22"/>
      <c r="F636" s="22"/>
    </row>
    <row r="637" spans="1:6" ht="14.5">
      <c r="A637" s="28">
        <v>44472</v>
      </c>
      <c r="B637" s="22">
        <v>39</v>
      </c>
      <c r="C637" s="22"/>
      <c r="D637" s="22"/>
      <c r="E637" s="22"/>
      <c r="F637" s="22"/>
    </row>
    <row r="638" spans="1:6" ht="14.5">
      <c r="A638" s="28">
        <v>44473</v>
      </c>
      <c r="B638" s="22">
        <v>40</v>
      </c>
      <c r="C638" s="22"/>
      <c r="D638" s="22"/>
      <c r="E638" s="22"/>
      <c r="F638" s="22"/>
    </row>
    <row r="639" spans="1:6" ht="14.5">
      <c r="A639" s="28">
        <v>44474</v>
      </c>
      <c r="B639" s="22">
        <v>40</v>
      </c>
      <c r="C639" s="22"/>
      <c r="D639" s="22"/>
      <c r="E639" s="22"/>
      <c r="F639" s="22"/>
    </row>
    <row r="640" spans="1:6" ht="14.5">
      <c r="A640" s="28">
        <v>44475</v>
      </c>
      <c r="B640" s="22">
        <v>40</v>
      </c>
      <c r="C640" s="22"/>
      <c r="D640" s="22"/>
      <c r="E640" s="22"/>
      <c r="F640" s="22"/>
    </row>
    <row r="641" spans="1:6" ht="14.5">
      <c r="A641" s="28">
        <v>44476</v>
      </c>
      <c r="B641" s="22">
        <v>40</v>
      </c>
      <c r="C641" s="22"/>
      <c r="D641" s="22"/>
      <c r="E641" s="22"/>
      <c r="F641" s="22"/>
    </row>
    <row r="642" spans="1:6" ht="14.5">
      <c r="A642" s="28">
        <v>44477</v>
      </c>
      <c r="B642" s="22">
        <v>40</v>
      </c>
      <c r="C642" s="22"/>
      <c r="D642" s="22"/>
      <c r="E642" s="22"/>
      <c r="F642" s="22"/>
    </row>
    <row r="643" spans="1:6" ht="14.5">
      <c r="A643" s="28">
        <v>44478</v>
      </c>
      <c r="B643" s="22">
        <v>40</v>
      </c>
      <c r="C643" s="22"/>
      <c r="D643" s="22"/>
      <c r="E643" s="22"/>
      <c r="F643" s="22"/>
    </row>
    <row r="644" spans="1:6" ht="14.5">
      <c r="A644" s="28">
        <v>44479</v>
      </c>
      <c r="B644" s="22">
        <v>40</v>
      </c>
      <c r="C644" s="22"/>
      <c r="D644" s="22"/>
      <c r="E644" s="22"/>
      <c r="F644" s="22"/>
    </row>
    <row r="645" spans="1:6" ht="14.5">
      <c r="A645" s="28">
        <v>44480</v>
      </c>
      <c r="B645" s="22">
        <v>41</v>
      </c>
      <c r="C645" s="22"/>
      <c r="D645" s="22"/>
      <c r="E645" s="22"/>
      <c r="F645" s="22"/>
    </row>
    <row r="646" spans="1:6" ht="14.5">
      <c r="A646" s="28">
        <v>44481</v>
      </c>
      <c r="B646" s="22">
        <v>41</v>
      </c>
      <c r="C646" s="22"/>
      <c r="D646" s="22"/>
      <c r="E646" s="22"/>
      <c r="F646" s="22"/>
    </row>
    <row r="647" spans="1:6" ht="14.5">
      <c r="A647" s="28">
        <v>44482</v>
      </c>
      <c r="B647" s="22">
        <v>41</v>
      </c>
      <c r="C647" s="22"/>
      <c r="D647" s="22"/>
      <c r="E647" s="22"/>
      <c r="F647" s="22"/>
    </row>
    <row r="648" spans="1:6" ht="14.5">
      <c r="A648" s="28">
        <v>44483</v>
      </c>
      <c r="B648" s="22">
        <v>41</v>
      </c>
      <c r="C648" s="22"/>
      <c r="D648" s="22"/>
      <c r="E648" s="22"/>
      <c r="F648" s="22"/>
    </row>
    <row r="649" spans="1:6" ht="14.5">
      <c r="A649" s="28">
        <v>44484</v>
      </c>
      <c r="B649" s="22">
        <v>41</v>
      </c>
      <c r="C649" s="22"/>
      <c r="D649" s="22"/>
      <c r="E649" s="22"/>
      <c r="F649" s="22"/>
    </row>
    <row r="650" spans="1:6" ht="14.5">
      <c r="A650" s="28">
        <v>44485</v>
      </c>
      <c r="B650" s="22">
        <v>41</v>
      </c>
      <c r="C650" s="22"/>
      <c r="D650" s="22"/>
      <c r="E650" s="22"/>
      <c r="F650" s="22"/>
    </row>
    <row r="651" spans="1:6" ht="14.5">
      <c r="A651" s="28">
        <v>44486</v>
      </c>
      <c r="B651" s="22">
        <v>41</v>
      </c>
      <c r="C651" s="22"/>
      <c r="D651" s="22"/>
      <c r="E651" s="22"/>
      <c r="F651" s="22"/>
    </row>
    <row r="652" spans="1:6" ht="14.5">
      <c r="A652" s="28">
        <v>44487</v>
      </c>
      <c r="B652" s="22">
        <v>42</v>
      </c>
      <c r="C652" s="22"/>
      <c r="D652" s="22"/>
      <c r="E652" s="22"/>
      <c r="F652" s="22"/>
    </row>
    <row r="653" spans="1:6" ht="14.5">
      <c r="A653" s="28">
        <v>44488</v>
      </c>
      <c r="B653" s="22">
        <v>42</v>
      </c>
      <c r="C653" s="22"/>
      <c r="D653" s="22"/>
      <c r="E653" s="22"/>
      <c r="F653" s="22"/>
    </row>
    <row r="654" spans="1:6" ht="14.5">
      <c r="A654" s="28">
        <v>44489</v>
      </c>
      <c r="B654" s="22">
        <v>42</v>
      </c>
      <c r="C654" s="22"/>
      <c r="D654" s="22"/>
      <c r="E654" s="22"/>
      <c r="F654" s="22"/>
    </row>
    <row r="655" spans="1:6" ht="14.5">
      <c r="A655" s="28">
        <v>44490</v>
      </c>
      <c r="B655" s="22">
        <v>42</v>
      </c>
      <c r="C655" s="22"/>
      <c r="D655" s="22"/>
      <c r="E655" s="22"/>
      <c r="F655" s="22"/>
    </row>
    <row r="656" spans="1:6" ht="14.5">
      <c r="A656" s="28">
        <v>44491</v>
      </c>
      <c r="B656" s="22">
        <v>42</v>
      </c>
      <c r="C656" s="22"/>
      <c r="D656" s="22"/>
      <c r="E656" s="22"/>
      <c r="F656" s="22"/>
    </row>
    <row r="657" spans="1:6" ht="14.5">
      <c r="A657" s="28">
        <v>44492</v>
      </c>
      <c r="B657" s="22">
        <v>42</v>
      </c>
      <c r="C657" s="22"/>
      <c r="D657" s="22"/>
      <c r="E657" s="22"/>
      <c r="F657" s="22"/>
    </row>
    <row r="658" spans="1:6" ht="14.5">
      <c r="A658" s="28">
        <v>44493</v>
      </c>
      <c r="B658" s="22">
        <v>42</v>
      </c>
      <c r="C658" s="22"/>
      <c r="D658" s="22"/>
      <c r="E658" s="22"/>
      <c r="F658" s="22"/>
    </row>
    <row r="659" spans="1:6" ht="14.5">
      <c r="A659" s="28">
        <v>44494</v>
      </c>
      <c r="B659" s="22">
        <v>43</v>
      </c>
      <c r="C659" s="22"/>
      <c r="D659" s="22"/>
      <c r="E659" s="22"/>
      <c r="F659" s="22"/>
    </row>
    <row r="660" spans="1:6" ht="14.5">
      <c r="A660" s="28">
        <v>44495</v>
      </c>
      <c r="B660" s="22">
        <v>43</v>
      </c>
      <c r="C660" s="22"/>
      <c r="D660" s="22"/>
      <c r="E660" s="22"/>
      <c r="F660" s="22"/>
    </row>
    <row r="661" spans="1:6" ht="14.5">
      <c r="A661" s="28">
        <v>44496</v>
      </c>
      <c r="B661" s="22">
        <v>43</v>
      </c>
      <c r="C661" s="22"/>
      <c r="D661" s="22"/>
      <c r="E661" s="22"/>
      <c r="F661" s="22"/>
    </row>
    <row r="662" spans="1:6" ht="14.5">
      <c r="A662" s="28">
        <v>44497</v>
      </c>
      <c r="B662" s="22">
        <v>43</v>
      </c>
      <c r="C662" s="22"/>
      <c r="D662" s="22"/>
      <c r="E662" s="22"/>
      <c r="F662" s="22"/>
    </row>
    <row r="663" spans="1:6" ht="14.5">
      <c r="A663" s="28">
        <v>44498</v>
      </c>
      <c r="B663" s="22">
        <v>43</v>
      </c>
      <c r="C663" s="22"/>
      <c r="D663" s="22"/>
      <c r="E663" s="22"/>
      <c r="F663" s="22"/>
    </row>
    <row r="664" spans="1:6" ht="14.5">
      <c r="A664" s="28">
        <v>44499</v>
      </c>
      <c r="B664" s="22">
        <v>43</v>
      </c>
      <c r="C664" s="22"/>
      <c r="D664" s="22"/>
      <c r="E664" s="22"/>
      <c r="F664" s="22"/>
    </row>
    <row r="665" spans="1:6" ht="14.5">
      <c r="A665" s="28">
        <v>44500</v>
      </c>
      <c r="B665" s="22">
        <v>43</v>
      </c>
      <c r="C665" s="22"/>
      <c r="D665" s="22"/>
      <c r="E665" s="22"/>
      <c r="F665" s="22"/>
    </row>
    <row r="666" spans="1:6" ht="14.5">
      <c r="A666" s="28">
        <v>44501</v>
      </c>
      <c r="B666" s="22">
        <v>44</v>
      </c>
      <c r="C666" s="22"/>
      <c r="D666" s="22"/>
      <c r="E666" s="22"/>
      <c r="F666" s="22"/>
    </row>
    <row r="667" spans="1:6" ht="14.5">
      <c r="A667" s="28">
        <v>44502</v>
      </c>
      <c r="B667" s="22">
        <v>44</v>
      </c>
      <c r="C667" s="22"/>
      <c r="D667" s="22"/>
      <c r="E667" s="22"/>
      <c r="F667" s="22"/>
    </row>
    <row r="668" spans="1:6" ht="14.5">
      <c r="A668" s="28">
        <v>44503</v>
      </c>
      <c r="B668" s="22">
        <v>44</v>
      </c>
      <c r="C668" s="22"/>
      <c r="D668" s="22"/>
      <c r="E668" s="22"/>
      <c r="F668" s="22"/>
    </row>
    <row r="669" spans="1:6" ht="14.5">
      <c r="A669" s="28">
        <v>44504</v>
      </c>
      <c r="B669" s="22">
        <v>44</v>
      </c>
      <c r="C669" s="22"/>
      <c r="D669" s="22"/>
      <c r="E669" s="22"/>
      <c r="F669" s="22"/>
    </row>
    <row r="670" spans="1:6" ht="14.5">
      <c r="A670" s="28">
        <v>44505</v>
      </c>
      <c r="B670" s="22">
        <v>44</v>
      </c>
      <c r="C670" s="22">
        <v>1</v>
      </c>
      <c r="D670" s="22"/>
      <c r="E670" s="22"/>
      <c r="F670" s="22"/>
    </row>
    <row r="671" spans="1:6" ht="14.5">
      <c r="A671" s="28">
        <v>44506</v>
      </c>
      <c r="B671" s="22">
        <v>44</v>
      </c>
      <c r="C671" s="22">
        <v>1</v>
      </c>
      <c r="D671" s="22"/>
      <c r="E671" s="22"/>
      <c r="F671" s="22"/>
    </row>
    <row r="672" spans="1:6" ht="14.5">
      <c r="A672" s="28">
        <v>44507</v>
      </c>
      <c r="B672" s="22">
        <v>44</v>
      </c>
      <c r="C672" s="22"/>
      <c r="D672" s="22"/>
      <c r="E672" s="22"/>
      <c r="F672" s="22"/>
    </row>
    <row r="673" spans="1:6" ht="14.5">
      <c r="A673" s="28">
        <v>44508</v>
      </c>
      <c r="B673" s="22">
        <v>45</v>
      </c>
      <c r="C673" s="22"/>
      <c r="D673" s="22"/>
      <c r="E673" s="22"/>
      <c r="F673" s="22"/>
    </row>
    <row r="674" spans="1:6" ht="14.5">
      <c r="A674" s="28">
        <v>44509</v>
      </c>
      <c r="B674" s="22">
        <v>45</v>
      </c>
      <c r="C674" s="22"/>
      <c r="D674" s="22"/>
      <c r="E674" s="22"/>
      <c r="F674" s="22"/>
    </row>
    <row r="675" spans="1:6" ht="14.5">
      <c r="A675" s="28">
        <v>44510</v>
      </c>
      <c r="B675" s="22">
        <v>45</v>
      </c>
      <c r="C675" s="22"/>
      <c r="D675" s="22"/>
      <c r="E675" s="22"/>
      <c r="F675" s="22"/>
    </row>
    <row r="676" spans="1:6" ht="14.5">
      <c r="A676" s="28">
        <v>44511</v>
      </c>
      <c r="B676" s="22">
        <v>45</v>
      </c>
      <c r="C676" s="22"/>
      <c r="D676" s="22"/>
      <c r="E676" s="22"/>
      <c r="F676" s="22"/>
    </row>
    <row r="677" spans="1:6" ht="14.5">
      <c r="A677" s="28">
        <v>44512</v>
      </c>
      <c r="B677" s="22">
        <v>45</v>
      </c>
      <c r="C677" s="22"/>
      <c r="D677" s="22"/>
      <c r="E677" s="22"/>
      <c r="F677" s="22"/>
    </row>
    <row r="678" spans="1:6" ht="14.5">
      <c r="A678" s="28">
        <v>44513</v>
      </c>
      <c r="B678" s="22">
        <v>45</v>
      </c>
      <c r="C678" s="22"/>
      <c r="D678" s="22"/>
      <c r="E678" s="22"/>
      <c r="F678" s="22"/>
    </row>
    <row r="679" spans="1:6" ht="14.5">
      <c r="A679" s="28">
        <v>44514</v>
      </c>
      <c r="B679" s="22">
        <v>45</v>
      </c>
      <c r="C679" s="22"/>
      <c r="D679" s="22"/>
      <c r="E679" s="22"/>
      <c r="F679" s="22"/>
    </row>
    <row r="680" spans="1:6" ht="14.5">
      <c r="A680" s="28">
        <v>44515</v>
      </c>
      <c r="B680" s="22">
        <v>46</v>
      </c>
      <c r="C680" s="22"/>
      <c r="D680" s="22"/>
      <c r="E680" s="22"/>
      <c r="F680" s="22"/>
    </row>
    <row r="681" spans="1:6" ht="14.5">
      <c r="A681" s="28">
        <v>44516</v>
      </c>
      <c r="B681" s="22">
        <v>46</v>
      </c>
      <c r="C681" s="22"/>
      <c r="D681" s="22"/>
      <c r="E681" s="22"/>
      <c r="F681" s="22"/>
    </row>
    <row r="682" spans="1:6" ht="14.5">
      <c r="A682" s="28">
        <v>44517</v>
      </c>
      <c r="B682" s="22">
        <v>46</v>
      </c>
      <c r="C682" s="22"/>
      <c r="D682" s="22"/>
      <c r="E682" s="22"/>
      <c r="F682" s="22"/>
    </row>
    <row r="683" spans="1:6" ht="14.5">
      <c r="A683" s="28">
        <v>44518</v>
      </c>
      <c r="B683" s="22">
        <v>46</v>
      </c>
      <c r="C683" s="22"/>
      <c r="D683" s="22"/>
      <c r="E683" s="22"/>
      <c r="F683" s="22"/>
    </row>
    <row r="684" spans="1:6" ht="14.5">
      <c r="A684" s="28">
        <v>44519</v>
      </c>
      <c r="B684" s="22">
        <v>46</v>
      </c>
      <c r="C684" s="22"/>
      <c r="D684" s="22"/>
      <c r="E684" s="22"/>
      <c r="F684" s="22"/>
    </row>
    <row r="685" spans="1:6" ht="14.5">
      <c r="A685" s="28">
        <v>44520</v>
      </c>
      <c r="B685" s="22">
        <v>46</v>
      </c>
      <c r="C685" s="22"/>
      <c r="D685" s="22"/>
      <c r="E685" s="22"/>
      <c r="F685" s="22"/>
    </row>
    <row r="686" spans="1:6" ht="14.5">
      <c r="A686" s="28">
        <v>44521</v>
      </c>
      <c r="B686" s="22">
        <v>46</v>
      </c>
      <c r="C686" s="22"/>
      <c r="D686" s="22"/>
      <c r="E686" s="22"/>
      <c r="F686" s="22"/>
    </row>
    <row r="687" spans="1:6" ht="14.5">
      <c r="A687" s="28">
        <v>44522</v>
      </c>
      <c r="B687" s="22">
        <v>47</v>
      </c>
      <c r="C687" s="22"/>
      <c r="D687" s="22"/>
      <c r="E687" s="22"/>
      <c r="F687" s="22"/>
    </row>
    <row r="688" spans="1:6" ht="14.5">
      <c r="A688" s="28">
        <v>44523</v>
      </c>
      <c r="B688" s="22">
        <v>47</v>
      </c>
      <c r="C688" s="22"/>
      <c r="D688" s="22"/>
      <c r="E688" s="22"/>
      <c r="F688" s="22"/>
    </row>
    <row r="689" spans="1:6" ht="14.5">
      <c r="A689" s="28">
        <v>44524</v>
      </c>
      <c r="B689" s="22">
        <v>47</v>
      </c>
      <c r="C689" s="22"/>
      <c r="D689" s="22"/>
      <c r="E689" s="22"/>
      <c r="F689" s="22"/>
    </row>
    <row r="690" spans="1:6" ht="14.5">
      <c r="A690" s="28">
        <v>44525</v>
      </c>
      <c r="B690" s="22">
        <v>47</v>
      </c>
      <c r="C690" s="22"/>
      <c r="D690" s="22"/>
      <c r="E690" s="22"/>
      <c r="F690" s="22"/>
    </row>
    <row r="691" spans="1:6" ht="14.5">
      <c r="A691" s="28">
        <v>44526</v>
      </c>
      <c r="B691" s="22">
        <v>47</v>
      </c>
      <c r="C691" s="22"/>
      <c r="D691" s="22"/>
      <c r="E691" s="22"/>
      <c r="F691" s="22"/>
    </row>
    <row r="692" spans="1:6" ht="14.5">
      <c r="A692" s="28">
        <v>44527</v>
      </c>
      <c r="B692" s="22">
        <v>47</v>
      </c>
      <c r="C692" s="22"/>
      <c r="D692" s="22"/>
      <c r="E692" s="22"/>
      <c r="F692" s="22"/>
    </row>
    <row r="693" spans="1:6" ht="14.5">
      <c r="A693" s="28">
        <v>44528</v>
      </c>
      <c r="B693" s="22">
        <v>47</v>
      </c>
      <c r="C693" s="22"/>
      <c r="D693" s="22"/>
      <c r="E693" s="22"/>
      <c r="F693" s="22"/>
    </row>
    <row r="694" spans="1:6" ht="14.5">
      <c r="A694" s="28">
        <v>44529</v>
      </c>
      <c r="B694" s="22">
        <v>48</v>
      </c>
      <c r="C694" s="22"/>
      <c r="D694" s="22"/>
      <c r="E694" s="22"/>
      <c r="F694" s="22"/>
    </row>
    <row r="695" spans="1:6" ht="14.5">
      <c r="A695" s="28">
        <v>44530</v>
      </c>
      <c r="B695" s="22">
        <v>48</v>
      </c>
      <c r="C695" s="22"/>
      <c r="D695" s="22"/>
      <c r="E695" s="22"/>
      <c r="F695" s="22"/>
    </row>
    <row r="696" spans="1:6" ht="14.5">
      <c r="A696" s="28">
        <v>44531</v>
      </c>
      <c r="B696" s="22">
        <v>48</v>
      </c>
      <c r="C696" s="22"/>
      <c r="D696" s="22"/>
      <c r="E696" s="22"/>
      <c r="F696" s="22"/>
    </row>
    <row r="697" spans="1:6" ht="14.5">
      <c r="A697" s="28">
        <v>44532</v>
      </c>
      <c r="B697" s="22">
        <v>48</v>
      </c>
      <c r="C697" s="22"/>
      <c r="D697" s="22"/>
      <c r="E697" s="22"/>
      <c r="F697" s="22"/>
    </row>
    <row r="698" spans="1:6" ht="14.5">
      <c r="A698" s="28">
        <v>44533</v>
      </c>
      <c r="B698" s="22">
        <v>48</v>
      </c>
      <c r="C698" s="22"/>
      <c r="D698" s="22"/>
      <c r="E698" s="22"/>
      <c r="F698" s="22"/>
    </row>
    <row r="699" spans="1:6" ht="14.5">
      <c r="A699" s="28">
        <v>44534</v>
      </c>
      <c r="B699" s="22">
        <v>48</v>
      </c>
      <c r="C699" s="22"/>
      <c r="D699" s="22"/>
      <c r="E699" s="22"/>
      <c r="F699" s="22"/>
    </row>
    <row r="700" spans="1:6" ht="14.5">
      <c r="A700" s="28">
        <v>44535</v>
      </c>
      <c r="B700" s="22">
        <v>48</v>
      </c>
      <c r="C700" s="22"/>
      <c r="D700" s="22"/>
      <c r="E700" s="22"/>
      <c r="F700" s="22"/>
    </row>
    <row r="701" spans="1:6" ht="14.5">
      <c r="A701" s="28">
        <v>44536</v>
      </c>
      <c r="B701" s="22">
        <v>49</v>
      </c>
      <c r="C701" s="22"/>
      <c r="D701" s="22"/>
      <c r="E701" s="22"/>
      <c r="F701" s="22"/>
    </row>
    <row r="702" spans="1:6" ht="14.5">
      <c r="A702" s="28">
        <v>44537</v>
      </c>
      <c r="B702" s="22">
        <v>49</v>
      </c>
      <c r="C702" s="22"/>
      <c r="D702" s="22"/>
      <c r="E702" s="22"/>
      <c r="F702" s="22"/>
    </row>
    <row r="703" spans="1:6" ht="14.5">
      <c r="A703" s="28">
        <v>44538</v>
      </c>
      <c r="B703" s="22">
        <v>49</v>
      </c>
      <c r="C703" s="22"/>
      <c r="D703" s="22"/>
      <c r="E703" s="22"/>
      <c r="F703" s="22"/>
    </row>
    <row r="704" spans="1:6" ht="14.5">
      <c r="A704" s="28">
        <v>44539</v>
      </c>
      <c r="B704" s="22">
        <v>49</v>
      </c>
      <c r="C704" s="22"/>
      <c r="D704" s="22"/>
      <c r="E704" s="22"/>
      <c r="F704" s="22"/>
    </row>
    <row r="705" spans="1:6" ht="14.5">
      <c r="A705" s="28">
        <v>44540</v>
      </c>
      <c r="B705" s="22">
        <v>49</v>
      </c>
      <c r="C705" s="22"/>
      <c r="D705" s="22"/>
      <c r="E705" s="22"/>
      <c r="F705" s="22"/>
    </row>
    <row r="706" spans="1:6" ht="14.5">
      <c r="A706" s="28">
        <v>44541</v>
      </c>
      <c r="B706" s="22">
        <v>49</v>
      </c>
      <c r="C706" s="22"/>
      <c r="D706" s="22"/>
      <c r="E706" s="22"/>
      <c r="F706" s="22"/>
    </row>
    <row r="707" spans="1:6" ht="14.5">
      <c r="A707" s="28">
        <v>44542</v>
      </c>
      <c r="B707" s="22">
        <v>49</v>
      </c>
      <c r="C707" s="22"/>
      <c r="D707" s="22"/>
      <c r="E707" s="22"/>
      <c r="F707" s="22"/>
    </row>
    <row r="708" spans="1:6" ht="14.5">
      <c r="A708" s="28">
        <v>44543</v>
      </c>
      <c r="B708" s="22">
        <v>50</v>
      </c>
      <c r="C708" s="22"/>
      <c r="D708" s="22"/>
      <c r="E708" s="22"/>
      <c r="F708" s="22"/>
    </row>
    <row r="709" spans="1:6" ht="14.5">
      <c r="A709" s="28">
        <v>44544</v>
      </c>
      <c r="B709" s="22">
        <v>50</v>
      </c>
      <c r="C709" s="22"/>
      <c r="D709" s="22"/>
      <c r="E709" s="22"/>
      <c r="F709" s="22"/>
    </row>
    <row r="710" spans="1:6" ht="14.5">
      <c r="A710" s="28">
        <v>44545</v>
      </c>
      <c r="B710" s="22">
        <v>50</v>
      </c>
      <c r="C710" s="22"/>
      <c r="D710" s="22"/>
      <c r="E710" s="22"/>
      <c r="F710" s="22"/>
    </row>
    <row r="711" spans="1:6" ht="14.5">
      <c r="A711" s="28">
        <v>44546</v>
      </c>
      <c r="B711" s="22">
        <v>50</v>
      </c>
      <c r="C711" s="22"/>
      <c r="D711" s="22"/>
      <c r="E711" s="22"/>
      <c r="F711" s="22"/>
    </row>
    <row r="712" spans="1:6" ht="14.5">
      <c r="A712" s="28">
        <v>44547</v>
      </c>
      <c r="B712" s="22">
        <v>50</v>
      </c>
      <c r="C712" s="22"/>
      <c r="D712" s="22"/>
      <c r="E712" s="22"/>
      <c r="F712" s="22"/>
    </row>
    <row r="713" spans="1:6" ht="14.5">
      <c r="A713" s="28">
        <v>44548</v>
      </c>
      <c r="B713" s="22">
        <v>50</v>
      </c>
      <c r="C713" s="22"/>
      <c r="D713" s="22"/>
      <c r="E713" s="22"/>
      <c r="F713" s="22"/>
    </row>
    <row r="714" spans="1:6" ht="14.5">
      <c r="A714" s="28">
        <v>44549</v>
      </c>
      <c r="B714" s="22">
        <v>50</v>
      </c>
      <c r="C714" s="22"/>
      <c r="D714" s="22"/>
      <c r="E714" s="22"/>
      <c r="F714" s="22"/>
    </row>
    <row r="715" spans="1:6" ht="14.5">
      <c r="A715" s="28">
        <v>44550</v>
      </c>
      <c r="B715" s="22">
        <v>51</v>
      </c>
      <c r="C715" s="22"/>
      <c r="D715" s="22"/>
      <c r="E715" s="22"/>
      <c r="F715" s="22"/>
    </row>
    <row r="716" spans="1:6" ht="14.5">
      <c r="A716" s="28">
        <v>44551</v>
      </c>
      <c r="B716" s="22">
        <v>51</v>
      </c>
      <c r="C716" s="22"/>
      <c r="D716" s="22"/>
      <c r="E716" s="22"/>
      <c r="F716" s="22"/>
    </row>
    <row r="717" spans="1:6" ht="14.5">
      <c r="A717" s="28">
        <v>44552</v>
      </c>
      <c r="B717" s="22">
        <v>51</v>
      </c>
      <c r="C717" s="22"/>
      <c r="D717" s="22"/>
      <c r="E717" s="22"/>
      <c r="F717" s="22"/>
    </row>
    <row r="718" spans="1:6" ht="14.5">
      <c r="A718" s="28">
        <v>44553</v>
      </c>
      <c r="B718" s="22">
        <v>51</v>
      </c>
      <c r="C718" s="22"/>
      <c r="D718" s="22"/>
      <c r="E718" s="22"/>
      <c r="F718" s="22"/>
    </row>
    <row r="719" spans="1:6" ht="14.5">
      <c r="A719" s="28">
        <v>44554</v>
      </c>
      <c r="B719" s="22">
        <v>51</v>
      </c>
      <c r="C719" s="22"/>
      <c r="D719" s="22"/>
      <c r="E719" s="22"/>
      <c r="F719" s="22"/>
    </row>
    <row r="720" spans="1:6" ht="14.5">
      <c r="A720" s="28">
        <v>44555</v>
      </c>
      <c r="B720" s="22">
        <v>51</v>
      </c>
      <c r="C720" s="22"/>
      <c r="D720" s="22"/>
      <c r="E720" s="22"/>
      <c r="F720" s="22"/>
    </row>
    <row r="721" spans="1:6" ht="14.5">
      <c r="A721" s="28">
        <v>44556</v>
      </c>
      <c r="B721" s="22">
        <v>51</v>
      </c>
      <c r="C721" s="22"/>
      <c r="D721" s="22"/>
      <c r="E721" s="22"/>
      <c r="F721" s="22"/>
    </row>
    <row r="722" spans="1:6" ht="14.5">
      <c r="A722" s="28">
        <v>44557</v>
      </c>
      <c r="B722" s="22">
        <v>52</v>
      </c>
      <c r="C722" s="22"/>
      <c r="D722" s="22"/>
      <c r="E722" s="22"/>
      <c r="F722" s="22"/>
    </row>
    <row r="723" spans="1:6" ht="14.5">
      <c r="A723" s="28">
        <v>44558</v>
      </c>
      <c r="B723" s="22">
        <v>52</v>
      </c>
      <c r="C723" s="22"/>
      <c r="D723" s="22"/>
      <c r="E723" s="22"/>
      <c r="F723" s="22"/>
    </row>
    <row r="724" spans="1:6" ht="14.5">
      <c r="A724" s="28">
        <v>44559</v>
      </c>
      <c r="B724" s="22">
        <v>52</v>
      </c>
      <c r="C724" s="22"/>
      <c r="D724" s="22"/>
      <c r="E724" s="22"/>
      <c r="F724" s="22"/>
    </row>
    <row r="725" spans="1:6" ht="14.5">
      <c r="A725" s="28">
        <v>44560</v>
      </c>
      <c r="B725" s="22">
        <v>52</v>
      </c>
      <c r="C725" s="22"/>
      <c r="D725" s="22"/>
      <c r="E725" s="22"/>
      <c r="F725" s="22"/>
    </row>
    <row r="726" spans="1:6" ht="14.5">
      <c r="A726" s="28">
        <v>44561</v>
      </c>
      <c r="B726" s="22">
        <v>52</v>
      </c>
      <c r="C726" s="22"/>
      <c r="D726" s="22"/>
      <c r="E726" s="22"/>
      <c r="F726" s="22"/>
    </row>
    <row r="727" spans="1:6" ht="14.5">
      <c r="A727" s="28">
        <v>44562</v>
      </c>
      <c r="B727" s="22">
        <v>52</v>
      </c>
      <c r="C727" s="22"/>
      <c r="D727" s="22"/>
      <c r="E727" s="22"/>
      <c r="F727" s="22"/>
    </row>
    <row r="728" spans="1:6" ht="14.5">
      <c r="A728" s="28">
        <v>44563</v>
      </c>
      <c r="B728" s="22">
        <v>52</v>
      </c>
      <c r="C728" s="22"/>
      <c r="D728" s="22"/>
      <c r="E728" s="22"/>
      <c r="F728" s="22"/>
    </row>
    <row r="729" spans="1:6" ht="14.5">
      <c r="A729" s="28">
        <v>44564</v>
      </c>
      <c r="B729" s="22">
        <v>1</v>
      </c>
      <c r="C729" s="22"/>
      <c r="D729" s="22"/>
      <c r="E729" s="22"/>
      <c r="F729" s="22"/>
    </row>
    <row r="730" spans="1:6" ht="14.5">
      <c r="A730" s="28">
        <v>44565</v>
      </c>
      <c r="B730" s="22">
        <v>1</v>
      </c>
      <c r="C730" s="22"/>
      <c r="D730" s="22"/>
      <c r="E730" s="22"/>
      <c r="F730" s="22"/>
    </row>
    <row r="731" spans="1:6" ht="14.5">
      <c r="A731" s="28">
        <v>44566</v>
      </c>
      <c r="B731" s="22">
        <v>1</v>
      </c>
      <c r="C731" s="22"/>
      <c r="D731" s="22"/>
      <c r="E731" s="22"/>
      <c r="F731" s="22"/>
    </row>
    <row r="732" spans="1:6" ht="14.5">
      <c r="A732" s="28">
        <v>44567</v>
      </c>
      <c r="B732" s="22">
        <v>1</v>
      </c>
      <c r="C732" s="22">
        <f>(8/4)</f>
        <v>2</v>
      </c>
      <c r="D732" s="22"/>
      <c r="E732" s="22"/>
      <c r="F732" s="22"/>
    </row>
    <row r="733" spans="1:6" ht="14.5">
      <c r="A733" s="28">
        <v>44568</v>
      </c>
      <c r="B733" s="22">
        <v>1</v>
      </c>
      <c r="C733" s="22">
        <f>(8/4)+(9/5)</f>
        <v>3.8</v>
      </c>
      <c r="D733" s="22">
        <f>1/5</f>
        <v>0.2</v>
      </c>
      <c r="E733" s="22"/>
      <c r="F733" s="22"/>
    </row>
    <row r="734" spans="1:6" ht="14.5">
      <c r="A734" s="28">
        <v>44569</v>
      </c>
      <c r="B734" s="22">
        <v>1</v>
      </c>
      <c r="C734" s="22">
        <f>(8/4)+(9/5)</f>
        <v>3.8</v>
      </c>
      <c r="D734" s="22">
        <f>1/5</f>
        <v>0.2</v>
      </c>
      <c r="E734" s="22"/>
      <c r="F734" s="22"/>
    </row>
    <row r="735" spans="1:6" ht="14.5">
      <c r="A735" s="28">
        <v>44570</v>
      </c>
      <c r="B735" s="22">
        <v>1</v>
      </c>
      <c r="C735" s="22">
        <f>(8/4)</f>
        <v>2</v>
      </c>
      <c r="D735" s="22"/>
      <c r="E735" s="22"/>
      <c r="F735" s="22"/>
    </row>
    <row r="736" spans="1:6" ht="14.5">
      <c r="A736" s="28">
        <v>44571</v>
      </c>
      <c r="B736" s="22">
        <v>2</v>
      </c>
      <c r="C736" s="22">
        <f>(9/5)</f>
        <v>1.8</v>
      </c>
      <c r="D736" s="22">
        <f>1/5</f>
        <v>0.2</v>
      </c>
      <c r="E736" s="22"/>
      <c r="F736" s="22"/>
    </row>
    <row r="737" spans="1:6" ht="14.5">
      <c r="A737" s="28">
        <v>44572</v>
      </c>
      <c r="B737" s="22">
        <v>2</v>
      </c>
      <c r="C737" s="22"/>
      <c r="D737" s="22"/>
      <c r="E737" s="22"/>
      <c r="F737" s="22"/>
    </row>
    <row r="738" spans="1:6" ht="14.5">
      <c r="A738" s="28">
        <v>44573</v>
      </c>
      <c r="B738" s="22">
        <v>2</v>
      </c>
      <c r="C738" s="22">
        <f>(9/5)+(14/4)</f>
        <v>5.3</v>
      </c>
      <c r="D738" s="22">
        <f>(1/5)+(1/4)</f>
        <v>0.45</v>
      </c>
      <c r="E738" s="22"/>
      <c r="F738" s="22"/>
    </row>
    <row r="739" spans="1:6" ht="14.5">
      <c r="A739" s="28">
        <v>44574</v>
      </c>
      <c r="B739" s="22">
        <v>2</v>
      </c>
      <c r="C739" s="22">
        <f>(9/5)+(14/4)</f>
        <v>5.3</v>
      </c>
      <c r="D739" s="22">
        <f>(1/5)+(1/4)</f>
        <v>0.45</v>
      </c>
      <c r="E739" s="22"/>
      <c r="F739" s="22"/>
    </row>
    <row r="740" spans="1:6" ht="14.5">
      <c r="A740" s="28">
        <v>44575</v>
      </c>
      <c r="B740" s="22">
        <v>2</v>
      </c>
      <c r="C740" s="22">
        <f>(14/4)+(10/7)</f>
        <v>4.9285714285714288</v>
      </c>
      <c r="D740" s="22">
        <f>(1/4)</f>
        <v>0.25</v>
      </c>
      <c r="E740" s="22"/>
      <c r="F740" s="22"/>
    </row>
    <row r="741" spans="1:6" ht="14.5">
      <c r="A741" s="28">
        <v>44576</v>
      </c>
      <c r="B741" s="22">
        <v>2</v>
      </c>
      <c r="C741" s="22">
        <f>(14/4)+(10/7)</f>
        <v>4.9285714285714288</v>
      </c>
      <c r="D741" s="22">
        <f>(1/4)</f>
        <v>0.25</v>
      </c>
      <c r="E741" s="22"/>
      <c r="F741" s="22"/>
    </row>
    <row r="742" spans="1:6" ht="14.5">
      <c r="A742" s="28">
        <v>44577</v>
      </c>
      <c r="B742" s="22">
        <v>2</v>
      </c>
      <c r="C742" s="22">
        <f>(10/7)</f>
        <v>1.4285714285714286</v>
      </c>
      <c r="D742" s="22"/>
      <c r="E742" s="22"/>
      <c r="F742" s="22"/>
    </row>
    <row r="743" spans="1:6" ht="14.5">
      <c r="A743" s="28">
        <v>44578</v>
      </c>
      <c r="B743" s="22">
        <v>3</v>
      </c>
      <c r="C743" s="22">
        <f>(10/7)</f>
        <v>1.4285714285714286</v>
      </c>
      <c r="D743" s="22"/>
      <c r="E743" s="22"/>
      <c r="F743" s="22"/>
    </row>
    <row r="744" spans="1:6" ht="14.5">
      <c r="A744" s="28">
        <v>44579</v>
      </c>
      <c r="B744" s="22">
        <v>3</v>
      </c>
      <c r="C744" s="22">
        <f>(10/7)</f>
        <v>1.4285714285714286</v>
      </c>
      <c r="D744" s="22"/>
      <c r="E744" s="22"/>
      <c r="F744" s="22"/>
    </row>
    <row r="745" spans="1:6" ht="14.5">
      <c r="A745" s="28">
        <v>44580</v>
      </c>
      <c r="B745" s="22">
        <v>3</v>
      </c>
      <c r="C745" s="22">
        <f>(10/7)+(16/6)</f>
        <v>4.0952380952380949</v>
      </c>
      <c r="D745" s="22"/>
      <c r="E745" s="22"/>
      <c r="F745" s="22"/>
    </row>
    <row r="746" spans="1:6" ht="14.5">
      <c r="A746" s="28">
        <v>44581</v>
      </c>
      <c r="B746" s="22">
        <v>3</v>
      </c>
      <c r="C746" s="22">
        <f>(10/7)</f>
        <v>1.4285714285714286</v>
      </c>
      <c r="D746" s="22"/>
      <c r="E746" s="22"/>
      <c r="F746" s="22"/>
    </row>
    <row r="747" spans="1:6" ht="14.5">
      <c r="A747" s="28">
        <v>44582</v>
      </c>
      <c r="B747" s="22">
        <v>3</v>
      </c>
      <c r="C747" s="22">
        <f>(16/6)</f>
        <v>2.6666666666666665</v>
      </c>
      <c r="D747" s="22"/>
      <c r="E747" s="22"/>
      <c r="F747" s="22"/>
    </row>
    <row r="748" spans="1:6" ht="14.5">
      <c r="A748" s="28">
        <v>44583</v>
      </c>
      <c r="B748" s="22">
        <v>3</v>
      </c>
      <c r="C748" s="22">
        <f>(16/6)</f>
        <v>2.6666666666666665</v>
      </c>
      <c r="D748" s="22"/>
      <c r="E748" s="22"/>
      <c r="F748" s="22"/>
    </row>
    <row r="749" spans="1:6" ht="14.5">
      <c r="A749" s="28">
        <v>44584</v>
      </c>
      <c r="B749" s="22">
        <v>3</v>
      </c>
      <c r="C749" s="22">
        <f>(16/6)</f>
        <v>2.6666666666666665</v>
      </c>
      <c r="D749" s="22"/>
      <c r="E749" s="22"/>
      <c r="F749" s="22"/>
    </row>
    <row r="750" spans="1:6" ht="14.5">
      <c r="A750" s="28">
        <v>44585</v>
      </c>
      <c r="B750" s="22">
        <v>4</v>
      </c>
      <c r="C750" s="22"/>
      <c r="D750" s="22"/>
      <c r="E750" s="22"/>
      <c r="F750" s="22"/>
    </row>
    <row r="751" spans="1:6" ht="14.5">
      <c r="A751" s="28">
        <v>44586</v>
      </c>
      <c r="B751" s="22">
        <v>4</v>
      </c>
      <c r="C751" s="22">
        <f>(16/6)</f>
        <v>2.6666666666666665</v>
      </c>
      <c r="D751" s="22"/>
      <c r="E751" s="22"/>
      <c r="F751" s="22"/>
    </row>
    <row r="752" spans="1:6" ht="14.5">
      <c r="A752" s="28">
        <v>44587</v>
      </c>
      <c r="B752" s="22">
        <v>4</v>
      </c>
      <c r="C752" s="22">
        <f>(16/6)+(21/8)</f>
        <v>5.2916666666666661</v>
      </c>
      <c r="D752" s="22"/>
      <c r="E752" s="22"/>
      <c r="F752" s="22"/>
    </row>
    <row r="753" spans="1:6" ht="14.5">
      <c r="A753" s="28">
        <v>44588</v>
      </c>
      <c r="B753" s="22">
        <v>4</v>
      </c>
      <c r="C753" s="22">
        <f>(21/8)</f>
        <v>2.625</v>
      </c>
      <c r="D753" s="22"/>
      <c r="E753" s="22"/>
      <c r="F753" s="22"/>
    </row>
    <row r="754" spans="1:6" ht="14.5">
      <c r="A754" s="28">
        <v>44589</v>
      </c>
      <c r="B754" s="22">
        <v>4</v>
      </c>
      <c r="C754" s="22">
        <f>(21/8)</f>
        <v>2.625</v>
      </c>
      <c r="D754" s="22"/>
      <c r="E754" s="22"/>
      <c r="F754" s="22"/>
    </row>
    <row r="755" spans="1:6" ht="14.5">
      <c r="A755" s="28">
        <v>44590</v>
      </c>
      <c r="B755" s="22">
        <v>4</v>
      </c>
      <c r="C755" s="22">
        <f>(21/8)</f>
        <v>2.625</v>
      </c>
      <c r="D755" s="22"/>
      <c r="E755" s="22"/>
      <c r="F755" s="22"/>
    </row>
    <row r="756" spans="1:6" ht="14.5">
      <c r="A756" s="28">
        <v>44591</v>
      </c>
      <c r="B756" s="22">
        <v>4</v>
      </c>
      <c r="C756" s="22">
        <f>(21/8)</f>
        <v>2.625</v>
      </c>
      <c r="D756" s="22"/>
      <c r="E756" s="22"/>
      <c r="F756" s="22"/>
    </row>
    <row r="757" spans="1:6" ht="14.5">
      <c r="A757" s="28">
        <v>44592</v>
      </c>
      <c r="B757" s="22">
        <v>5</v>
      </c>
      <c r="C757" s="22">
        <f>(21/8)</f>
        <v>2.625</v>
      </c>
      <c r="D757" s="22"/>
      <c r="E757" s="22"/>
      <c r="F757" s="22"/>
    </row>
    <row r="758" spans="1:6" ht="14.5">
      <c r="A758" s="49">
        <v>44593</v>
      </c>
      <c r="B758" s="52">
        <v>5</v>
      </c>
      <c r="C758" s="52">
        <f>(15/8)</f>
        <v>1.875</v>
      </c>
      <c r="D758" s="52"/>
      <c r="E758" s="52"/>
      <c r="F758" s="52"/>
    </row>
    <row r="759" spans="1:6" ht="14.5">
      <c r="A759" s="49">
        <v>44594</v>
      </c>
      <c r="B759" s="52">
        <v>5</v>
      </c>
      <c r="C759" s="52">
        <f>(21/8)</f>
        <v>2.625</v>
      </c>
      <c r="D759" s="52"/>
      <c r="E759" s="52"/>
      <c r="F759" s="52"/>
    </row>
    <row r="760" spans="1:6" ht="14.5">
      <c r="A760" s="49">
        <v>44595</v>
      </c>
      <c r="B760" s="52">
        <v>5</v>
      </c>
      <c r="C760" s="52">
        <f>(21/8)</f>
        <v>2.625</v>
      </c>
      <c r="D760" s="52"/>
      <c r="E760" s="52"/>
      <c r="F760" s="52"/>
    </row>
    <row r="761" spans="1:6" ht="14.5">
      <c r="A761" s="49">
        <v>44596</v>
      </c>
      <c r="B761" s="52">
        <v>5</v>
      </c>
      <c r="C761" s="52"/>
      <c r="D761" s="52"/>
      <c r="E761" s="52"/>
      <c r="F761" s="52"/>
    </row>
    <row r="762" spans="1:6" ht="14.5">
      <c r="A762" s="49">
        <v>44597</v>
      </c>
      <c r="B762" s="52">
        <v>5</v>
      </c>
      <c r="C762" s="52"/>
      <c r="D762" s="52"/>
      <c r="E762" s="52"/>
      <c r="F762" s="52"/>
    </row>
    <row r="763" spans="1:6" ht="14.5">
      <c r="A763" s="49">
        <v>44598</v>
      </c>
      <c r="B763" s="52">
        <v>5</v>
      </c>
      <c r="C763" s="52">
        <f>(15/8)</f>
        <v>1.875</v>
      </c>
      <c r="D763" s="52"/>
      <c r="E763" s="52"/>
      <c r="F763" s="52"/>
    </row>
    <row r="764" spans="1:6" ht="14.5">
      <c r="A764" s="49">
        <v>44599</v>
      </c>
      <c r="B764" s="52">
        <v>6</v>
      </c>
      <c r="C764" s="52">
        <f>(15/8)</f>
        <v>1.875</v>
      </c>
      <c r="D764" s="52"/>
      <c r="E764" s="52"/>
      <c r="F764" s="52"/>
    </row>
    <row r="765" spans="1:6" ht="14.5">
      <c r="A765" s="49">
        <v>44600</v>
      </c>
      <c r="B765" s="52">
        <v>6</v>
      </c>
      <c r="C765" s="52"/>
      <c r="D765" s="52"/>
      <c r="E765" s="52"/>
      <c r="F765" s="52"/>
    </row>
    <row r="766" spans="1:6" ht="14.5">
      <c r="A766" s="49">
        <v>44601</v>
      </c>
      <c r="B766" s="52">
        <v>6</v>
      </c>
      <c r="C766" s="52">
        <f>(15/8)</f>
        <v>1.875</v>
      </c>
      <c r="D766" s="52"/>
      <c r="E766" s="52"/>
      <c r="F766" s="52"/>
    </row>
    <row r="767" spans="1:6" ht="14.5">
      <c r="A767" s="49">
        <v>44602</v>
      </c>
      <c r="B767" s="52">
        <v>6</v>
      </c>
      <c r="C767" s="52">
        <f>(15/8)</f>
        <v>1.875</v>
      </c>
      <c r="D767" s="52"/>
      <c r="E767" s="52"/>
      <c r="F767" s="52"/>
    </row>
    <row r="768" spans="1:6" ht="14.5">
      <c r="A768" s="49">
        <v>44603</v>
      </c>
      <c r="B768" s="52">
        <v>6</v>
      </c>
      <c r="C768" s="52">
        <f>(15/8)</f>
        <v>1.875</v>
      </c>
      <c r="D768" s="52"/>
      <c r="E768" s="52"/>
      <c r="F768" s="52"/>
    </row>
    <row r="769" spans="1:6" ht="14.5">
      <c r="A769" s="49">
        <v>44604</v>
      </c>
      <c r="B769" s="52">
        <v>6</v>
      </c>
      <c r="C769" s="52">
        <f>(15/8)</f>
        <v>1.875</v>
      </c>
      <c r="D769" s="52"/>
      <c r="E769" s="52"/>
      <c r="F769" s="52"/>
    </row>
    <row r="770" spans="1:6" ht="14.5">
      <c r="A770" s="49">
        <v>44605</v>
      </c>
      <c r="B770" s="52">
        <v>6</v>
      </c>
      <c r="C770" s="52"/>
      <c r="D770" s="52"/>
      <c r="E770" s="52"/>
      <c r="F770" s="52"/>
    </row>
    <row r="771" spans="1:6" ht="14.5">
      <c r="A771" s="49">
        <v>44606</v>
      </c>
      <c r="B771" s="52">
        <v>7</v>
      </c>
      <c r="C771" s="52">
        <f>(16/10)</f>
        <v>1.6</v>
      </c>
      <c r="D771" s="52">
        <f>(4/10)</f>
        <v>0.4</v>
      </c>
      <c r="E771" s="52"/>
      <c r="F771" s="52"/>
    </row>
    <row r="772" spans="1:6" ht="14.5">
      <c r="A772" s="49">
        <v>44607</v>
      </c>
      <c r="B772" s="52">
        <v>7</v>
      </c>
      <c r="C772" s="52">
        <f>(15/8)</f>
        <v>1.875</v>
      </c>
      <c r="D772" s="52"/>
      <c r="E772" s="52"/>
      <c r="F772" s="52"/>
    </row>
    <row r="773" spans="1:6" ht="14.5">
      <c r="A773" s="49">
        <v>44608</v>
      </c>
      <c r="B773" s="52">
        <v>7</v>
      </c>
      <c r="C773" s="52"/>
      <c r="D773" s="52"/>
      <c r="E773" s="52"/>
      <c r="F773" s="52"/>
    </row>
    <row r="774" spans="1:6" ht="14.5">
      <c r="A774" s="49">
        <v>44609</v>
      </c>
      <c r="B774" s="52">
        <v>7</v>
      </c>
      <c r="C774" s="52">
        <f>(16/10)</f>
        <v>1.6</v>
      </c>
      <c r="D774" s="52">
        <f>(4/10)</f>
        <v>0.4</v>
      </c>
      <c r="E774" s="52"/>
      <c r="F774" s="52"/>
    </row>
    <row r="775" spans="1:6" ht="14.5">
      <c r="A775" s="49">
        <v>44610</v>
      </c>
      <c r="B775" s="52">
        <v>7</v>
      </c>
      <c r="C775" s="52"/>
      <c r="D775" s="52"/>
      <c r="E775" s="52"/>
      <c r="F775" s="52"/>
    </row>
    <row r="776" spans="1:6" ht="14.5">
      <c r="A776" s="49">
        <v>44611</v>
      </c>
      <c r="B776" s="52">
        <v>7</v>
      </c>
      <c r="C776" s="52">
        <f>(16/10)</f>
        <v>1.6</v>
      </c>
      <c r="D776" s="52">
        <f>(4/10)</f>
        <v>0.4</v>
      </c>
      <c r="E776" s="52"/>
      <c r="F776" s="52"/>
    </row>
    <row r="777" spans="1:6" ht="14.5">
      <c r="A777" s="49">
        <v>44612</v>
      </c>
      <c r="B777" s="52">
        <v>7</v>
      </c>
      <c r="C777" s="52"/>
      <c r="D777" s="52"/>
      <c r="E777" s="52"/>
      <c r="F777" s="52"/>
    </row>
    <row r="778" spans="1:6" ht="14.5">
      <c r="A778" s="49">
        <v>44613</v>
      </c>
      <c r="B778" s="52">
        <v>8</v>
      </c>
      <c r="C778" s="52">
        <f>(16/10)</f>
        <v>1.6</v>
      </c>
      <c r="D778" s="52">
        <f>(4/10)</f>
        <v>0.4</v>
      </c>
      <c r="E778" s="52"/>
      <c r="F778" s="52"/>
    </row>
    <row r="779" spans="1:6" ht="14.5">
      <c r="A779" s="49">
        <v>44614</v>
      </c>
      <c r="B779" s="52">
        <v>8</v>
      </c>
      <c r="C779" s="52"/>
      <c r="D779" s="52"/>
      <c r="E779" s="52"/>
      <c r="F779" s="52"/>
    </row>
    <row r="780" spans="1:6" ht="14.5">
      <c r="A780" s="49">
        <v>44615</v>
      </c>
      <c r="B780" s="52">
        <v>8</v>
      </c>
      <c r="C780" s="52"/>
      <c r="D780" s="52"/>
      <c r="E780" s="52"/>
      <c r="F780" s="52"/>
    </row>
    <row r="781" spans="1:6" ht="14.5">
      <c r="A781" s="49">
        <v>44616</v>
      </c>
      <c r="B781" s="52">
        <v>8</v>
      </c>
      <c r="C781" s="52">
        <f>(16/10)</f>
        <v>1.6</v>
      </c>
      <c r="D781" s="52">
        <f>(4/10)</f>
        <v>0.4</v>
      </c>
      <c r="E781" s="52"/>
      <c r="F781" s="52"/>
    </row>
    <row r="782" spans="1:6" ht="14.5">
      <c r="A782" s="49">
        <v>44617</v>
      </c>
      <c r="B782" s="52">
        <v>8</v>
      </c>
      <c r="C782" s="52">
        <f>(16/10)</f>
        <v>1.6</v>
      </c>
      <c r="D782" s="52">
        <f>(4/10)</f>
        <v>0.4</v>
      </c>
      <c r="E782" s="52"/>
      <c r="F782" s="52"/>
    </row>
    <row r="783" spans="1:6" ht="14.5">
      <c r="A783" s="49">
        <v>44618</v>
      </c>
      <c r="B783" s="52">
        <v>8</v>
      </c>
      <c r="C783" s="52"/>
      <c r="D783" s="52"/>
      <c r="E783" s="52"/>
      <c r="F783" s="52"/>
    </row>
    <row r="784" spans="1:6" ht="14.5">
      <c r="A784" s="49">
        <v>44619</v>
      </c>
      <c r="B784" s="52">
        <v>8</v>
      </c>
      <c r="C784" s="52"/>
      <c r="D784" s="52"/>
      <c r="E784" s="52"/>
      <c r="F784" s="52"/>
    </row>
    <row r="785" spans="1:6" ht="14.5">
      <c r="A785" s="50">
        <v>44620</v>
      </c>
      <c r="B785" s="52">
        <v>9</v>
      </c>
      <c r="C785" s="52">
        <f>(16/10)</f>
        <v>1.6</v>
      </c>
      <c r="D785" s="52">
        <f>(4/10)</f>
        <v>0.4</v>
      </c>
      <c r="E785" s="52"/>
      <c r="F785" s="52"/>
    </row>
    <row r="786" spans="1:6" ht="14.5">
      <c r="A786" s="64">
        <v>44621</v>
      </c>
      <c r="B786" s="52">
        <v>9</v>
      </c>
      <c r="C786" s="52">
        <f>(16/10)</f>
        <v>1.6</v>
      </c>
      <c r="D786" s="52">
        <f>(4/10)</f>
        <v>0.4</v>
      </c>
      <c r="E786" s="52"/>
      <c r="F786" s="52"/>
    </row>
    <row r="787" spans="1:6" ht="14.5">
      <c r="A787" s="64">
        <v>44622</v>
      </c>
      <c r="B787" s="52">
        <v>9</v>
      </c>
      <c r="C787" s="52">
        <f>(16/10)</f>
        <v>1.6</v>
      </c>
      <c r="D787" s="52">
        <f>(4/10)</f>
        <v>0.4</v>
      </c>
      <c r="E787" s="52"/>
      <c r="F787" s="52"/>
    </row>
    <row r="788" spans="1:6" ht="14.5">
      <c r="A788" s="64">
        <v>44623</v>
      </c>
      <c r="B788" s="52">
        <v>9</v>
      </c>
      <c r="C788" s="52">
        <f>(16/10)</f>
        <v>1.6</v>
      </c>
      <c r="D788" s="52">
        <f>(4/10)</f>
        <v>0.4</v>
      </c>
      <c r="E788" s="52"/>
      <c r="F788" s="52"/>
    </row>
    <row r="789" spans="1:6" ht="14.5">
      <c r="A789" s="64">
        <v>44624</v>
      </c>
      <c r="B789" s="52">
        <v>9</v>
      </c>
      <c r="C789" s="52">
        <f>2</f>
        <v>2</v>
      </c>
      <c r="D789" s="52"/>
      <c r="E789" s="52"/>
      <c r="F789" s="52"/>
    </row>
    <row r="790" spans="1:6" ht="14.5">
      <c r="C790" s="45"/>
      <c r="D790" s="45"/>
      <c r="E790" s="45"/>
      <c r="F790" s="45"/>
    </row>
    <row r="791" spans="1:6" ht="14.5">
      <c r="C791" s="45"/>
      <c r="D791" s="45"/>
      <c r="E791" s="45"/>
      <c r="F791" s="45"/>
    </row>
    <row r="792" spans="1:6" ht="14.5">
      <c r="C792" s="45"/>
      <c r="D792" s="45"/>
      <c r="E792" s="45"/>
      <c r="F792" s="45"/>
    </row>
    <row r="793" spans="1:6" ht="14.5">
      <c r="C793" s="45"/>
      <c r="D793" s="45"/>
      <c r="E793" s="45"/>
      <c r="F793" s="45"/>
    </row>
    <row r="794" spans="1:6" ht="14.5">
      <c r="C794" s="45"/>
      <c r="D794" s="45"/>
      <c r="E794" s="45"/>
      <c r="F794" s="45"/>
    </row>
    <row r="795" spans="1:6" ht="14.5">
      <c r="C795" s="45"/>
      <c r="D795" s="45"/>
      <c r="E795" s="45"/>
      <c r="F795" s="45"/>
    </row>
    <row r="796" spans="1:6" ht="14.5">
      <c r="C796" s="45"/>
      <c r="D796" s="45"/>
      <c r="E796" s="45"/>
      <c r="F796" s="45"/>
    </row>
    <row r="797" spans="1:6" ht="14.5">
      <c r="C797" s="45"/>
      <c r="D797" s="45"/>
      <c r="E797" s="45"/>
      <c r="F797" s="45"/>
    </row>
    <row r="798" spans="1:6" ht="14.5">
      <c r="C798" s="45"/>
      <c r="D798" s="45"/>
      <c r="E798" s="45"/>
      <c r="F798" s="45"/>
    </row>
    <row r="799" spans="1:6" ht="14.5">
      <c r="C799" s="45"/>
      <c r="D799" s="45"/>
      <c r="E799" s="45"/>
      <c r="F799" s="45"/>
    </row>
    <row r="800" spans="1:6" ht="14.5">
      <c r="C800" s="45"/>
      <c r="D800" s="45"/>
      <c r="E800" s="45"/>
      <c r="F800" s="45"/>
    </row>
    <row r="801" spans="3:6" ht="14.5">
      <c r="C801" s="45"/>
      <c r="D801" s="45"/>
      <c r="E801" s="45"/>
      <c r="F801" s="45"/>
    </row>
    <row r="802" spans="3:6" ht="14.5">
      <c r="C802" s="45"/>
      <c r="D802" s="45"/>
      <c r="E802" s="45"/>
      <c r="F802" s="45"/>
    </row>
    <row r="803" spans="3:6" ht="14.5">
      <c r="C803" s="45"/>
      <c r="D803" s="45"/>
      <c r="E803" s="45"/>
      <c r="F803" s="45"/>
    </row>
    <row r="804" spans="3:6" ht="14.5">
      <c r="C804" s="45"/>
      <c r="D804" s="45"/>
      <c r="E804" s="45"/>
      <c r="F804" s="45"/>
    </row>
    <row r="805" spans="3:6" ht="14.5">
      <c r="C805" s="45"/>
      <c r="D805" s="45"/>
      <c r="E805" s="45"/>
      <c r="F805" s="45"/>
    </row>
    <row r="806" spans="3:6" ht="14.5">
      <c r="C806" s="45"/>
      <c r="D806" s="45"/>
      <c r="E806" s="45"/>
      <c r="F806" s="45"/>
    </row>
    <row r="807" spans="3:6" ht="14.5">
      <c r="C807" s="45"/>
      <c r="D807" s="45"/>
      <c r="E807" s="45"/>
      <c r="F807" s="45"/>
    </row>
    <row r="808" spans="3:6" ht="14.5">
      <c r="C808" s="45"/>
      <c r="D808" s="45"/>
      <c r="E808" s="45"/>
      <c r="F808" s="45"/>
    </row>
    <row r="809" spans="3:6" ht="14.5">
      <c r="C809" s="45"/>
      <c r="D809" s="45"/>
      <c r="E809" s="45"/>
      <c r="F809" s="45"/>
    </row>
    <row r="810" spans="3:6" ht="14.5">
      <c r="C810" s="45"/>
      <c r="D810" s="45"/>
      <c r="E810" s="45"/>
      <c r="F810" s="45"/>
    </row>
    <row r="811" spans="3:6" ht="14.5">
      <c r="C811" s="45"/>
      <c r="D811" s="45"/>
      <c r="E811" s="45"/>
      <c r="F811" s="45"/>
    </row>
    <row r="812" spans="3:6" ht="14.5">
      <c r="C812" s="45"/>
      <c r="D812" s="45"/>
      <c r="E812" s="45"/>
      <c r="F812" s="45"/>
    </row>
    <row r="813" spans="3:6" ht="14.5">
      <c r="C813" s="45"/>
      <c r="D813" s="45"/>
      <c r="E813" s="45"/>
      <c r="F813" s="45"/>
    </row>
    <row r="814" spans="3:6" ht="14.5">
      <c r="C814" s="45"/>
      <c r="D814" s="45"/>
      <c r="E814" s="45"/>
      <c r="F814" s="45"/>
    </row>
    <row r="815" spans="3:6" ht="14.5">
      <c r="C815" s="45"/>
      <c r="D815" s="45"/>
      <c r="E815" s="45"/>
      <c r="F815" s="45"/>
    </row>
    <row r="816" spans="3:6" ht="14.5">
      <c r="C816" s="45"/>
      <c r="D816" s="45"/>
      <c r="E816" s="45"/>
      <c r="F816" s="45"/>
    </row>
    <row r="817" spans="3:6" ht="14.5">
      <c r="C817" s="45"/>
      <c r="D817" s="45"/>
      <c r="E817" s="45"/>
      <c r="F817" s="45"/>
    </row>
    <row r="818" spans="3:6" ht="14.5">
      <c r="C818" s="45"/>
      <c r="D818" s="45"/>
      <c r="E818" s="45"/>
      <c r="F818" s="45"/>
    </row>
    <row r="819" spans="3:6" ht="14.5">
      <c r="C819" s="45"/>
      <c r="D819" s="45"/>
      <c r="E819" s="45"/>
      <c r="F819" s="45"/>
    </row>
    <row r="820" spans="3:6" ht="14.5">
      <c r="C820" s="45"/>
      <c r="D820" s="45"/>
      <c r="E820" s="45"/>
      <c r="F820" s="45"/>
    </row>
    <row r="821" spans="3:6" ht="14.5">
      <c r="C821" s="45"/>
      <c r="D821" s="45"/>
      <c r="E821" s="45"/>
      <c r="F821" s="45"/>
    </row>
    <row r="822" spans="3:6" ht="14.5">
      <c r="C822" s="45"/>
      <c r="D822" s="45"/>
      <c r="E822" s="45"/>
      <c r="F822" s="45"/>
    </row>
    <row r="823" spans="3:6" ht="14.5">
      <c r="C823" s="45"/>
      <c r="D823" s="45"/>
      <c r="E823" s="45"/>
      <c r="F823" s="45"/>
    </row>
    <row r="824" spans="3:6" ht="14.5">
      <c r="C824" s="45"/>
      <c r="D824" s="45"/>
      <c r="E824" s="45"/>
      <c r="F824" s="45"/>
    </row>
    <row r="825" spans="3:6" ht="14.5">
      <c r="C825" s="45"/>
      <c r="D825" s="45"/>
      <c r="E825" s="45"/>
      <c r="F825" s="45"/>
    </row>
    <row r="826" spans="3:6" ht="14.5">
      <c r="C826" s="45"/>
      <c r="D826" s="45"/>
      <c r="E826" s="45"/>
      <c r="F826" s="45"/>
    </row>
    <row r="827" spans="3:6" ht="14.5">
      <c r="C827" s="45"/>
      <c r="D827" s="45"/>
      <c r="E827" s="45"/>
      <c r="F827" s="45"/>
    </row>
    <row r="828" spans="3:6" ht="14.5">
      <c r="C828" s="45"/>
      <c r="D828" s="45"/>
      <c r="E828" s="45"/>
      <c r="F828" s="45"/>
    </row>
    <row r="829" spans="3:6" ht="14.5">
      <c r="C829" s="45"/>
      <c r="D829" s="45"/>
      <c r="E829" s="45"/>
      <c r="F829" s="45"/>
    </row>
    <row r="830" spans="3:6" ht="14.5">
      <c r="C830" s="45"/>
      <c r="D830" s="45"/>
      <c r="E830" s="45"/>
      <c r="F830" s="45"/>
    </row>
    <row r="831" spans="3:6" ht="14.5">
      <c r="C831" s="45"/>
      <c r="D831" s="45"/>
      <c r="E831" s="45"/>
      <c r="F831" s="45"/>
    </row>
    <row r="832" spans="3:6" ht="14.5">
      <c r="C832" s="45"/>
      <c r="D832" s="45"/>
      <c r="E832" s="45"/>
      <c r="F832" s="45"/>
    </row>
    <row r="833" spans="3:6" ht="14.5">
      <c r="C833" s="45"/>
      <c r="D833" s="45"/>
      <c r="E833" s="45"/>
      <c r="F833" s="45"/>
    </row>
    <row r="834" spans="3:6" ht="14.5">
      <c r="C834" s="45"/>
      <c r="D834" s="45"/>
      <c r="E834" s="45"/>
      <c r="F834" s="45"/>
    </row>
    <row r="835" spans="3:6" ht="14.5">
      <c r="C835" s="45"/>
      <c r="D835" s="45"/>
      <c r="E835" s="45"/>
      <c r="F835" s="45"/>
    </row>
    <row r="836" spans="3:6" ht="14.5">
      <c r="C836" s="45"/>
      <c r="D836" s="45"/>
      <c r="E836" s="45"/>
      <c r="F836" s="45"/>
    </row>
    <row r="837" spans="3:6" ht="14.5">
      <c r="C837" s="45"/>
      <c r="D837" s="45"/>
      <c r="E837" s="45"/>
      <c r="F837" s="45"/>
    </row>
    <row r="838" spans="3:6" ht="14.5">
      <c r="C838" s="45"/>
      <c r="D838" s="45"/>
      <c r="E838" s="45"/>
      <c r="F838" s="45"/>
    </row>
    <row r="839" spans="3:6" ht="14.5">
      <c r="C839" s="45"/>
      <c r="D839" s="45"/>
      <c r="E839" s="45"/>
      <c r="F839" s="45"/>
    </row>
    <row r="840" spans="3:6" ht="14.5">
      <c r="C840" s="45"/>
      <c r="D840" s="45"/>
      <c r="E840" s="45"/>
      <c r="F840" s="45"/>
    </row>
    <row r="841" spans="3:6" ht="14.5">
      <c r="C841" s="45"/>
      <c r="D841" s="45"/>
      <c r="E841" s="45"/>
      <c r="F841" s="45"/>
    </row>
    <row r="842" spans="3:6" ht="14.5">
      <c r="C842" s="45"/>
      <c r="D842" s="45"/>
      <c r="E842" s="45"/>
      <c r="F842" s="45"/>
    </row>
    <row r="843" spans="3:6" ht="14.5">
      <c r="C843" s="45"/>
      <c r="D843" s="45"/>
      <c r="E843" s="45"/>
      <c r="F843" s="45"/>
    </row>
    <row r="844" spans="3:6" ht="14.5">
      <c r="C844" s="45"/>
      <c r="D844" s="45"/>
      <c r="E844" s="45"/>
      <c r="F844" s="45"/>
    </row>
    <row r="845" spans="3:6" ht="14.5">
      <c r="C845" s="45"/>
      <c r="D845" s="45"/>
      <c r="E845" s="45"/>
      <c r="F845" s="45"/>
    </row>
    <row r="846" spans="3:6" ht="14.5">
      <c r="C846" s="45"/>
      <c r="D846" s="45"/>
      <c r="E846" s="45"/>
      <c r="F846" s="45"/>
    </row>
    <row r="847" spans="3:6" ht="14.5">
      <c r="C847" s="45"/>
      <c r="D847" s="45"/>
      <c r="E847" s="45"/>
      <c r="F847" s="45"/>
    </row>
    <row r="848" spans="3:6" ht="14.5">
      <c r="C848" s="45"/>
      <c r="D848" s="45"/>
      <c r="E848" s="45"/>
      <c r="F848" s="45"/>
    </row>
    <row r="849" spans="3:6" ht="14.5">
      <c r="C849" s="45"/>
      <c r="D849" s="45"/>
      <c r="E849" s="45"/>
      <c r="F849" s="45"/>
    </row>
    <row r="850" spans="3:6" ht="14.5">
      <c r="C850" s="45"/>
      <c r="D850" s="45"/>
      <c r="E850" s="45"/>
      <c r="F850" s="45"/>
    </row>
    <row r="851" spans="3:6" ht="14.5">
      <c r="C851" s="45"/>
      <c r="D851" s="45"/>
      <c r="E851" s="45"/>
      <c r="F851" s="45"/>
    </row>
    <row r="852" spans="3:6" ht="14.5">
      <c r="C852" s="45"/>
      <c r="D852" s="45"/>
      <c r="E852" s="45"/>
      <c r="F852" s="45"/>
    </row>
    <row r="853" spans="3:6" ht="14.5">
      <c r="C853" s="45"/>
      <c r="D853" s="45"/>
      <c r="E853" s="45"/>
      <c r="F853" s="45"/>
    </row>
    <row r="854" spans="3:6" ht="14.5">
      <c r="C854" s="45"/>
      <c r="D854" s="45"/>
      <c r="E854" s="45"/>
      <c r="F854" s="45"/>
    </row>
    <row r="855" spans="3:6" ht="14.5">
      <c r="C855" s="45"/>
      <c r="D855" s="45"/>
      <c r="E855" s="45"/>
      <c r="F855" s="45"/>
    </row>
  </sheetData>
  <mergeCells count="10">
    <mergeCell ref="G370:G371"/>
    <mergeCell ref="G376:G377"/>
    <mergeCell ref="G471:G472"/>
    <mergeCell ref="A1:F1"/>
    <mergeCell ref="A2:F2"/>
    <mergeCell ref="A3:F3"/>
    <mergeCell ref="A4:F4"/>
    <mergeCell ref="A5:F5"/>
    <mergeCell ref="A6:F6"/>
    <mergeCell ref="G366:G368"/>
  </mergeCells>
  <phoneticPr fontId="13"/>
  <hyperlinks>
    <hyperlink ref="A2" r:id="rId1" xr:uid="{3B04965E-B8D7-4206-BB75-42A63C730B51}"/>
  </hyperlinks>
  <pageMargins left="0.7" right="0.7" top="0.75" bottom="0.75" header="0.3" footer="0.3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42</vt:i4>
      </vt:variant>
    </vt:vector>
  </HeadingPairs>
  <TitlesOfParts>
    <vt:vector size="42" baseType="lpstr">
      <vt:lpstr>note</vt:lpstr>
      <vt:lpstr>Calendar with week numbers</vt:lpstr>
      <vt:lpstr>No. of students</vt:lpstr>
      <vt:lpstr>No. of infected (integrated)</vt:lpstr>
      <vt:lpstr>Kyoto</vt:lpstr>
      <vt:lpstr>Kyushu</vt:lpstr>
      <vt:lpstr>Tohoku</vt:lpstr>
      <vt:lpstr>Hokkaio</vt:lpstr>
      <vt:lpstr>Nagoya</vt:lpstr>
      <vt:lpstr>Hiroshima</vt:lpstr>
      <vt:lpstr>Chiba</vt:lpstr>
      <vt:lpstr>Niigata</vt:lpstr>
      <vt:lpstr>Kanazawa</vt:lpstr>
      <vt:lpstr>Shizuoka</vt:lpstr>
      <vt:lpstr>Kumamoto</vt:lpstr>
      <vt:lpstr>Tokyo Metropolitan</vt:lpstr>
      <vt:lpstr>Saitama</vt:lpstr>
      <vt:lpstr>Ryukyus</vt:lpstr>
      <vt:lpstr>Mie</vt:lpstr>
      <vt:lpstr>Meiji</vt:lpstr>
      <vt:lpstr>Doshisha</vt:lpstr>
      <vt:lpstr>Ryukoku</vt:lpstr>
      <vt:lpstr>Senshu</vt:lpstr>
      <vt:lpstr>Meijo</vt:lpstr>
      <vt:lpstr>Chukyo</vt:lpstr>
      <vt:lpstr>Kyoto Sangyo</vt:lpstr>
      <vt:lpstr>Tohoku Gakuin</vt:lpstr>
      <vt:lpstr>Chubu</vt:lpstr>
      <vt:lpstr>Kobe Gakuin</vt:lpstr>
      <vt:lpstr>Rissho</vt:lpstr>
      <vt:lpstr>Aichi</vt:lpstr>
      <vt:lpstr>Chiba Tech</vt:lpstr>
      <vt:lpstr>Nanzan</vt:lpstr>
      <vt:lpstr>Konan</vt:lpstr>
      <vt:lpstr>Aichi Shukutoku</vt:lpstr>
      <vt:lpstr>Tokkyo</vt:lpstr>
      <vt:lpstr>Mukogawa Women</vt:lpstr>
      <vt:lpstr>Hokkai-Gakuen</vt:lpstr>
      <vt:lpstr>Shibaura </vt:lpstr>
      <vt:lpstr>Osaka Sangyo</vt:lpstr>
      <vt:lpstr>Seinan Gakuin</vt:lpstr>
      <vt:lpstr>Soka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michn</dc:creator>
  <cp:lastModifiedBy>Michinao Okachi</cp:lastModifiedBy>
  <cp:lastPrinted>2022-01-28T04:30:45Z</cp:lastPrinted>
  <dcterms:created xsi:type="dcterms:W3CDTF">2021-06-15T03:31:12Z</dcterms:created>
  <dcterms:modified xsi:type="dcterms:W3CDTF">2022-07-08T06:52:25Z</dcterms:modified>
</cp:coreProperties>
</file>