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KiCost!$J$5:$O$30</definedName>
    <definedName name="global_part_data">KiCost!$A$5:$I$30</definedName>
    <definedName name="mouser_part_data">KiCost!$P$5:$U$30</definedName>
    <definedName name="newark_part_data">KiCost!$V$5:$AA$30</definedName>
    <definedName name="TotalCost">KiCost!$I$2</definedName>
  </definedNames>
  <calcPr calcId="145621"/>
</workbook>
</file>

<file path=xl/calcChain.xml><?xml version="1.0" encoding="utf-8"?>
<calcChain xmlns="http://schemas.openxmlformats.org/spreadsheetml/2006/main">
  <c r="Y55" i="1" l="1" a="1"/>
  <c r="Y55" i="1" s="1"/>
  <c r="X55" i="1" a="1"/>
  <c r="X55" i="1" s="1"/>
  <c r="W55" i="1" a="1"/>
  <c r="W55" i="1" s="1"/>
  <c r="S55" i="1" a="1"/>
  <c r="S55" i="1" s="1"/>
  <c r="R55" i="1" a="1"/>
  <c r="R55" i="1" s="1"/>
  <c r="Q55" i="1" a="1"/>
  <c r="Q55" i="1" s="1"/>
  <c r="M55" i="1" a="1"/>
  <c r="M55" i="1" s="1"/>
  <c r="L55" i="1" a="1"/>
  <c r="L55" i="1" s="1"/>
  <c r="K55" i="1" a="1"/>
  <c r="K55" i="1" s="1"/>
  <c r="Y54" i="1" a="1"/>
  <c r="Y54" i="1" s="1"/>
  <c r="X54" i="1" a="1"/>
  <c r="X54" i="1" s="1"/>
  <c r="W54" i="1" a="1"/>
  <c r="W54" i="1" s="1"/>
  <c r="S54" i="1" a="1"/>
  <c r="S54" i="1" s="1"/>
  <c r="R54" i="1" a="1"/>
  <c r="R54" i="1" s="1"/>
  <c r="Q54" i="1" a="1"/>
  <c r="Q54" i="1" s="1"/>
  <c r="M54" i="1" a="1"/>
  <c r="M54" i="1" s="1"/>
  <c r="L54" i="1" a="1"/>
  <c r="L54" i="1" s="1"/>
  <c r="K54" i="1" a="1"/>
  <c r="K54" i="1" s="1"/>
  <c r="Y53" i="1" a="1"/>
  <c r="Y53" i="1" s="1"/>
  <c r="X53" i="1" a="1"/>
  <c r="X53" i="1" s="1"/>
  <c r="W53" i="1" a="1"/>
  <c r="W53" i="1" s="1"/>
  <c r="S53" i="1" a="1"/>
  <c r="S53" i="1" s="1"/>
  <c r="R53" i="1" a="1"/>
  <c r="R53" i="1" s="1"/>
  <c r="Q53" i="1" a="1"/>
  <c r="Q53" i="1" s="1"/>
  <c r="M53" i="1" a="1"/>
  <c r="M53" i="1" s="1"/>
  <c r="L53" i="1" a="1"/>
  <c r="L53" i="1" s="1"/>
  <c r="K53" i="1" a="1"/>
  <c r="K53" i="1" s="1"/>
  <c r="Y52" i="1" a="1"/>
  <c r="Y52" i="1" s="1"/>
  <c r="X52" i="1" a="1"/>
  <c r="X52" i="1" s="1"/>
  <c r="W52" i="1" a="1"/>
  <c r="W52" i="1" s="1"/>
  <c r="S52" i="1" a="1"/>
  <c r="S52" i="1" s="1"/>
  <c r="R52" i="1" a="1"/>
  <c r="R52" i="1" s="1"/>
  <c r="Q52" i="1" a="1"/>
  <c r="Q52" i="1" s="1"/>
  <c r="M52" i="1" a="1"/>
  <c r="M52" i="1" s="1"/>
  <c r="L52" i="1" a="1"/>
  <c r="L52" i="1" s="1"/>
  <c r="K52" i="1" a="1"/>
  <c r="K52" i="1" s="1"/>
  <c r="Y51" i="1" a="1"/>
  <c r="Y51" i="1" s="1"/>
  <c r="X51" i="1" a="1"/>
  <c r="X51" i="1" s="1"/>
  <c r="W51" i="1" a="1"/>
  <c r="W51" i="1" s="1"/>
  <c r="S51" i="1" a="1"/>
  <c r="S51" i="1" s="1"/>
  <c r="R51" i="1" a="1"/>
  <c r="R51" i="1" s="1"/>
  <c r="Q51" i="1" a="1"/>
  <c r="Q51" i="1" s="1"/>
  <c r="M51" i="1" a="1"/>
  <c r="M51" i="1" s="1"/>
  <c r="L51" i="1" a="1"/>
  <c r="L51" i="1" s="1"/>
  <c r="K51" i="1" a="1"/>
  <c r="K51" i="1" s="1"/>
  <c r="Y50" i="1" a="1"/>
  <c r="Y50" i="1" s="1"/>
  <c r="X50" i="1" a="1"/>
  <c r="X50" i="1" s="1"/>
  <c r="W50" i="1" a="1"/>
  <c r="W50" i="1" s="1"/>
  <c r="S50" i="1" a="1"/>
  <c r="S50" i="1" s="1"/>
  <c r="R50" i="1" a="1"/>
  <c r="R50" i="1" s="1"/>
  <c r="Q50" i="1" a="1"/>
  <c r="Q50" i="1" s="1"/>
  <c r="M50" i="1" a="1"/>
  <c r="M50" i="1" s="1"/>
  <c r="L50" i="1" a="1"/>
  <c r="L50" i="1" s="1"/>
  <c r="K50" i="1" a="1"/>
  <c r="K50" i="1" s="1"/>
  <c r="Y49" i="1" a="1"/>
  <c r="Y49" i="1" s="1"/>
  <c r="X49" i="1" a="1"/>
  <c r="X49" i="1" s="1"/>
  <c r="W49" i="1" a="1"/>
  <c r="W49" i="1" s="1"/>
  <c r="S49" i="1" a="1"/>
  <c r="S49" i="1" s="1"/>
  <c r="R49" i="1" a="1"/>
  <c r="R49" i="1" s="1"/>
  <c r="Q49" i="1" a="1"/>
  <c r="Q49" i="1" s="1"/>
  <c r="M49" i="1" a="1"/>
  <c r="M49" i="1" s="1"/>
  <c r="L49" i="1" a="1"/>
  <c r="L49" i="1" s="1"/>
  <c r="K49" i="1" a="1"/>
  <c r="K49" i="1" s="1"/>
  <c r="Y48" i="1" a="1"/>
  <c r="Y48" i="1" s="1"/>
  <c r="X48" i="1" a="1"/>
  <c r="X48" i="1" s="1"/>
  <c r="W48" i="1" a="1"/>
  <c r="W48" i="1" s="1"/>
  <c r="S48" i="1" a="1"/>
  <c r="S48" i="1" s="1"/>
  <c r="R48" i="1" a="1"/>
  <c r="R48" i="1" s="1"/>
  <c r="Q48" i="1" a="1"/>
  <c r="Q48" i="1" s="1"/>
  <c r="M48" i="1" a="1"/>
  <c r="M48" i="1" s="1"/>
  <c r="L48" i="1" a="1"/>
  <c r="L48" i="1" s="1"/>
  <c r="K48" i="1" a="1"/>
  <c r="K48" i="1" s="1"/>
  <c r="Y47" i="1" a="1"/>
  <c r="Y47" i="1" s="1"/>
  <c r="X47" i="1" a="1"/>
  <c r="X47" i="1" s="1"/>
  <c r="W47" i="1" a="1"/>
  <c r="W47" i="1" s="1"/>
  <c r="S47" i="1" a="1"/>
  <c r="S47" i="1" s="1"/>
  <c r="R47" i="1" a="1"/>
  <c r="R47" i="1" s="1"/>
  <c r="Q47" i="1" a="1"/>
  <c r="Q47" i="1" s="1"/>
  <c r="M47" i="1" a="1"/>
  <c r="M47" i="1" s="1"/>
  <c r="L47" i="1" a="1"/>
  <c r="L47" i="1" s="1"/>
  <c r="K47" i="1" a="1"/>
  <c r="K47" i="1" s="1"/>
  <c r="Y46" i="1" a="1"/>
  <c r="Y46" i="1" s="1"/>
  <c r="X46" i="1" a="1"/>
  <c r="X46" i="1" s="1"/>
  <c r="W46" i="1" a="1"/>
  <c r="W46" i="1" s="1"/>
  <c r="S46" i="1" a="1"/>
  <c r="S46" i="1" s="1"/>
  <c r="R46" i="1" a="1"/>
  <c r="R46" i="1" s="1"/>
  <c r="Q46" i="1" a="1"/>
  <c r="Q46" i="1" s="1"/>
  <c r="M46" i="1" a="1"/>
  <c r="M46" i="1" s="1"/>
  <c r="L46" i="1" a="1"/>
  <c r="L46" i="1" s="1"/>
  <c r="K46" i="1" a="1"/>
  <c r="K46" i="1" s="1"/>
  <c r="Y45" i="1" a="1"/>
  <c r="Y45" i="1" s="1"/>
  <c r="X45" i="1" a="1"/>
  <c r="X45" i="1" s="1"/>
  <c r="W45" i="1" a="1"/>
  <c r="W45" i="1" s="1"/>
  <c r="S45" i="1" a="1"/>
  <c r="S45" i="1" s="1"/>
  <c r="R45" i="1" a="1"/>
  <c r="R45" i="1" s="1"/>
  <c r="Q45" i="1" a="1"/>
  <c r="Q45" i="1" s="1"/>
  <c r="M45" i="1" a="1"/>
  <c r="M45" i="1" s="1"/>
  <c r="L45" i="1" a="1"/>
  <c r="L45" i="1" s="1"/>
  <c r="K45" i="1" a="1"/>
  <c r="K45" i="1" s="1"/>
  <c r="Y44" i="1" a="1"/>
  <c r="Y44" i="1" s="1"/>
  <c r="X44" i="1" a="1"/>
  <c r="X44" i="1" s="1"/>
  <c r="W44" i="1" a="1"/>
  <c r="W44" i="1" s="1"/>
  <c r="S44" i="1" a="1"/>
  <c r="S44" i="1" s="1"/>
  <c r="R44" i="1" a="1"/>
  <c r="R44" i="1" s="1"/>
  <c r="Q44" i="1" a="1"/>
  <c r="Q44" i="1" s="1"/>
  <c r="M44" i="1" a="1"/>
  <c r="M44" i="1" s="1"/>
  <c r="L44" i="1" a="1"/>
  <c r="L44" i="1" s="1"/>
  <c r="K44" i="1" a="1"/>
  <c r="K44" i="1" s="1"/>
  <c r="Y43" i="1" a="1"/>
  <c r="Y43" i="1" s="1"/>
  <c r="X43" i="1" a="1"/>
  <c r="X43" i="1" s="1"/>
  <c r="W43" i="1" a="1"/>
  <c r="W43" i="1" s="1"/>
  <c r="S43" i="1" a="1"/>
  <c r="S43" i="1" s="1"/>
  <c r="R43" i="1" a="1"/>
  <c r="R43" i="1" s="1"/>
  <c r="Q43" i="1" a="1"/>
  <c r="Q43" i="1" s="1"/>
  <c r="M43" i="1" a="1"/>
  <c r="M43" i="1" s="1"/>
  <c r="L43" i="1" a="1"/>
  <c r="L43" i="1" s="1"/>
  <c r="K43" i="1" a="1"/>
  <c r="K43" i="1" s="1"/>
  <c r="Y42" i="1" a="1"/>
  <c r="Y42" i="1" s="1"/>
  <c r="X42" i="1" a="1"/>
  <c r="X42" i="1" s="1"/>
  <c r="W42" i="1" a="1"/>
  <c r="W42" i="1" s="1"/>
  <c r="S42" i="1" a="1"/>
  <c r="S42" i="1" s="1"/>
  <c r="R42" i="1" a="1"/>
  <c r="R42" i="1" s="1"/>
  <c r="Q42" i="1" a="1"/>
  <c r="Q42" i="1" s="1"/>
  <c r="M42" i="1" a="1"/>
  <c r="M42" i="1" s="1"/>
  <c r="L42" i="1" a="1"/>
  <c r="L42" i="1" s="1"/>
  <c r="K42" i="1" a="1"/>
  <c r="K42" i="1" s="1"/>
  <c r="Y41" i="1" a="1"/>
  <c r="Y41" i="1" s="1"/>
  <c r="X41" i="1" a="1"/>
  <c r="X41" i="1" s="1"/>
  <c r="W41" i="1" a="1"/>
  <c r="W41" i="1" s="1"/>
  <c r="S41" i="1" a="1"/>
  <c r="S41" i="1" s="1"/>
  <c r="R41" i="1" a="1"/>
  <c r="R41" i="1" s="1"/>
  <c r="Q41" i="1" a="1"/>
  <c r="Q41" i="1" s="1"/>
  <c r="M41" i="1" a="1"/>
  <c r="M41" i="1" s="1"/>
  <c r="L41" i="1" a="1"/>
  <c r="L41" i="1" s="1"/>
  <c r="K41" i="1" a="1"/>
  <c r="K41" i="1" s="1"/>
  <c r="Y40" i="1" a="1"/>
  <c r="Y40" i="1" s="1"/>
  <c r="X40" i="1" a="1"/>
  <c r="X40" i="1" s="1"/>
  <c r="W40" i="1" a="1"/>
  <c r="W40" i="1" s="1"/>
  <c r="S40" i="1" a="1"/>
  <c r="S40" i="1" s="1"/>
  <c r="R40" i="1" a="1"/>
  <c r="R40" i="1" s="1"/>
  <c r="Q40" i="1" a="1"/>
  <c r="Q40" i="1" s="1"/>
  <c r="M40" i="1" a="1"/>
  <c r="M40" i="1" s="1"/>
  <c r="L40" i="1" a="1"/>
  <c r="L40" i="1" s="1"/>
  <c r="K40" i="1" a="1"/>
  <c r="K40" i="1" s="1"/>
  <c r="Y39" i="1" a="1"/>
  <c r="Y39" i="1" s="1"/>
  <c r="X39" i="1" a="1"/>
  <c r="X39" i="1" s="1"/>
  <c r="W39" i="1" a="1"/>
  <c r="W39" i="1" s="1"/>
  <c r="S39" i="1" a="1"/>
  <c r="S39" i="1" s="1"/>
  <c r="R39" i="1" a="1"/>
  <c r="R39" i="1" s="1"/>
  <c r="Q39" i="1" a="1"/>
  <c r="Q39" i="1" s="1"/>
  <c r="M39" i="1" a="1"/>
  <c r="M39" i="1" s="1"/>
  <c r="L39" i="1" a="1"/>
  <c r="L39" i="1" s="1"/>
  <c r="K39" i="1" a="1"/>
  <c r="K39" i="1" s="1"/>
  <c r="Y38" i="1" a="1"/>
  <c r="Y38" i="1" s="1"/>
  <c r="X38" i="1" a="1"/>
  <c r="X38" i="1" s="1"/>
  <c r="W38" i="1" a="1"/>
  <c r="W38" i="1" s="1"/>
  <c r="S38" i="1" a="1"/>
  <c r="S38" i="1" s="1"/>
  <c r="R38" i="1" a="1"/>
  <c r="R38" i="1" s="1"/>
  <c r="Q38" i="1" a="1"/>
  <c r="Q38" i="1" s="1"/>
  <c r="M38" i="1" a="1"/>
  <c r="M38" i="1" s="1"/>
  <c r="L38" i="1" a="1"/>
  <c r="L38" i="1" s="1"/>
  <c r="K38" i="1" a="1"/>
  <c r="K38" i="1" s="1"/>
  <c r="Y37" i="1" a="1"/>
  <c r="Y37" i="1" s="1"/>
  <c r="X37" i="1" a="1"/>
  <c r="X37" i="1" s="1"/>
  <c r="W37" i="1" a="1"/>
  <c r="W37" i="1" s="1"/>
  <c r="S37" i="1" a="1"/>
  <c r="S37" i="1" s="1"/>
  <c r="R37" i="1" a="1"/>
  <c r="R37" i="1" s="1"/>
  <c r="Q37" i="1" a="1"/>
  <c r="Q37" i="1" s="1"/>
  <c r="M37" i="1" a="1"/>
  <c r="M37" i="1" s="1"/>
  <c r="L37" i="1" a="1"/>
  <c r="L37" i="1" s="1"/>
  <c r="K37" i="1" a="1"/>
  <c r="K37" i="1" s="1"/>
  <c r="Y36" i="1" a="1"/>
  <c r="Y36" i="1" s="1"/>
  <c r="X36" i="1" a="1"/>
  <c r="X36" i="1" s="1"/>
  <c r="W36" i="1" a="1"/>
  <c r="W36" i="1" s="1"/>
  <c r="S36" i="1" a="1"/>
  <c r="S36" i="1" s="1"/>
  <c r="R36" i="1" a="1"/>
  <c r="R36" i="1" s="1"/>
  <c r="Q36" i="1" a="1"/>
  <c r="Q36" i="1" s="1"/>
  <c r="M36" i="1" a="1"/>
  <c r="M36" i="1" s="1"/>
  <c r="L36" i="1" a="1"/>
  <c r="L36" i="1" s="1"/>
  <c r="K36" i="1" a="1"/>
  <c r="K36" i="1" s="1"/>
  <c r="Y35" i="1" a="1"/>
  <c r="Y35" i="1" s="1"/>
  <c r="X35" i="1" a="1"/>
  <c r="X35" i="1" s="1"/>
  <c r="W35" i="1" a="1"/>
  <c r="W35" i="1" s="1"/>
  <c r="S35" i="1" a="1"/>
  <c r="S35" i="1" s="1"/>
  <c r="R35" i="1" a="1"/>
  <c r="R35" i="1" s="1"/>
  <c r="Q35" i="1" a="1"/>
  <c r="Q35" i="1" s="1"/>
  <c r="M35" i="1" a="1"/>
  <c r="M35" i="1" s="1"/>
  <c r="L35" i="1" a="1"/>
  <c r="L35" i="1" s="1"/>
  <c r="K35" i="1" a="1"/>
  <c r="K35" i="1" s="1"/>
  <c r="Y34" i="1" a="1"/>
  <c r="Y34" i="1" s="1"/>
  <c r="X34" i="1" a="1"/>
  <c r="X34" i="1" s="1"/>
  <c r="W34" i="1" a="1"/>
  <c r="W34" i="1" s="1"/>
  <c r="S34" i="1" a="1"/>
  <c r="S34" i="1" s="1"/>
  <c r="R34" i="1" a="1"/>
  <c r="R34" i="1" s="1"/>
  <c r="Q34" i="1" a="1"/>
  <c r="Q34" i="1" s="1"/>
  <c r="M34" i="1" a="1"/>
  <c r="M34" i="1" s="1"/>
  <c r="L34" i="1" a="1"/>
  <c r="L34" i="1" s="1"/>
  <c r="K34" i="1" a="1"/>
  <c r="K34" i="1" s="1"/>
  <c r="Y33" i="1" a="1"/>
  <c r="Y33" i="1" s="1"/>
  <c r="X33" i="1" a="1"/>
  <c r="X33" i="1" s="1"/>
  <c r="W33" i="1" a="1"/>
  <c r="W33" i="1" s="1"/>
  <c r="S33" i="1" a="1"/>
  <c r="S33" i="1" s="1"/>
  <c r="R33" i="1" a="1"/>
  <c r="R33" i="1" s="1"/>
  <c r="Q33" i="1" a="1"/>
  <c r="Q33" i="1" s="1"/>
  <c r="M33" i="1" a="1"/>
  <c r="M33" i="1" s="1"/>
  <c r="L33" i="1" a="1"/>
  <c r="L33" i="1" s="1"/>
  <c r="K33" i="1" a="1"/>
  <c r="K33" i="1" s="1"/>
  <c r="Y32" i="1" a="1"/>
  <c r="Y32" i="1" s="1"/>
  <c r="X32" i="1" a="1"/>
  <c r="X32" i="1" s="1"/>
  <c r="W32" i="1" a="1"/>
  <c r="W32" i="1" s="1"/>
  <c r="S32" i="1" a="1"/>
  <c r="S32" i="1" s="1"/>
  <c r="R32" i="1" a="1"/>
  <c r="R32" i="1" s="1"/>
  <c r="Q32" i="1" a="1"/>
  <c r="Q32" i="1" s="1"/>
  <c r="M32" i="1" a="1"/>
  <c r="M32" i="1" s="1"/>
  <c r="L32" i="1" a="1"/>
  <c r="L32" i="1" s="1"/>
  <c r="K32" i="1" a="1"/>
  <c r="K32" i="1" s="1"/>
  <c r="G30" i="1"/>
  <c r="G29" i="1"/>
  <c r="X29" i="1" s="1"/>
  <c r="Y29" i="1" s="1"/>
  <c r="G28" i="1"/>
  <c r="X28" i="1" s="1"/>
  <c r="Y28" i="1" s="1"/>
  <c r="L27" i="1"/>
  <c r="M27" i="1" s="1"/>
  <c r="G27" i="1"/>
  <c r="G26" i="1"/>
  <c r="G25" i="1"/>
  <c r="X25" i="1" s="1"/>
  <c r="Y25" i="1" s="1"/>
  <c r="G24" i="1"/>
  <c r="X24" i="1" s="1"/>
  <c r="Y24" i="1" s="1"/>
  <c r="G23" i="1"/>
  <c r="G22" i="1"/>
  <c r="X21" i="1"/>
  <c r="Y21" i="1" s="1"/>
  <c r="L21" i="1"/>
  <c r="M21" i="1" s="1"/>
  <c r="G21" i="1"/>
  <c r="R21" i="1" s="1"/>
  <c r="S21" i="1" s="1"/>
  <c r="G20" i="1"/>
  <c r="G19" i="1"/>
  <c r="R19" i="1" s="1"/>
  <c r="S19" i="1" s="1"/>
  <c r="G18" i="1"/>
  <c r="X18" i="1" s="1"/>
  <c r="Y18" i="1" s="1"/>
  <c r="G17" i="1"/>
  <c r="L17" i="1" s="1"/>
  <c r="M17" i="1" s="1"/>
  <c r="G16" i="1"/>
  <c r="X15" i="1"/>
  <c r="Y15" i="1" s="1"/>
  <c r="L15" i="1"/>
  <c r="M15" i="1" s="1"/>
  <c r="G15" i="1"/>
  <c r="R15" i="1" s="1"/>
  <c r="S15" i="1" s="1"/>
  <c r="G14" i="1"/>
  <c r="G13" i="1"/>
  <c r="X13" i="1" s="1"/>
  <c r="Y13" i="1" s="1"/>
  <c r="G12" i="1"/>
  <c r="X11" i="1"/>
  <c r="Y11" i="1" s="1"/>
  <c r="L11" i="1"/>
  <c r="M11" i="1" s="1"/>
  <c r="G11" i="1"/>
  <c r="R11" i="1" s="1"/>
  <c r="S11" i="1" s="1"/>
  <c r="G10" i="1"/>
  <c r="X10" i="1" s="1"/>
  <c r="Y10" i="1" s="1"/>
  <c r="G9" i="1"/>
  <c r="X9" i="1" s="1"/>
  <c r="Y9" i="1" s="1"/>
  <c r="G8" i="1"/>
  <c r="X8" i="1" s="1"/>
  <c r="Y8" i="1" s="1"/>
  <c r="X7" i="1"/>
  <c r="Y7" i="1" s="1"/>
  <c r="L7" i="1"/>
  <c r="M7" i="1" s="1"/>
  <c r="G7" i="1"/>
  <c r="R7" i="1" s="1"/>
  <c r="S7" i="1" s="1"/>
  <c r="H19" i="1"/>
  <c r="H15" i="1"/>
  <c r="H11" i="1"/>
  <c r="H7" i="1"/>
  <c r="H26" i="1"/>
  <c r="H20" i="1"/>
  <c r="H16" i="1"/>
  <c r="H12" i="1"/>
  <c r="H27" i="1"/>
  <c r="H23" i="1"/>
  <c r="H21" i="1"/>
  <c r="R9" i="1" l="1"/>
  <c r="S9" i="1" s="1"/>
  <c r="R29" i="1"/>
  <c r="S29" i="1" s="1"/>
  <c r="R13" i="1"/>
  <c r="S13" i="1" s="1"/>
  <c r="R17" i="1"/>
  <c r="R25" i="1"/>
  <c r="S25" i="1" s="1"/>
  <c r="L9" i="1"/>
  <c r="L13" i="1"/>
  <c r="L25" i="1"/>
  <c r="L29" i="1"/>
  <c r="I15" i="1"/>
  <c r="I16" i="1"/>
  <c r="I19" i="1"/>
  <c r="I20" i="1"/>
  <c r="I23" i="1"/>
  <c r="I26" i="1"/>
  <c r="I7" i="1"/>
  <c r="I11" i="1"/>
  <c r="I12" i="1"/>
  <c r="I21" i="1"/>
  <c r="I27" i="1"/>
  <c r="L8" i="1"/>
  <c r="R8" i="1"/>
  <c r="S8" i="1" s="1"/>
  <c r="L10" i="1"/>
  <c r="R10" i="1"/>
  <c r="S10" i="1" s="1"/>
  <c r="L14" i="1"/>
  <c r="M14" i="1" s="1"/>
  <c r="R14" i="1"/>
  <c r="S14" i="1" s="1"/>
  <c r="X14" i="1"/>
  <c r="L18" i="1"/>
  <c r="R18" i="1"/>
  <c r="S18" i="1" s="1"/>
  <c r="L22" i="1"/>
  <c r="R22" i="1"/>
  <c r="S22" i="1" s="1"/>
  <c r="L24" i="1"/>
  <c r="R24" i="1"/>
  <c r="S24" i="1" s="1"/>
  <c r="L28" i="1"/>
  <c r="R28" i="1"/>
  <c r="S28" i="1" s="1"/>
  <c r="L30" i="1"/>
  <c r="M30" i="1" s="1"/>
  <c r="R30" i="1"/>
  <c r="S30" i="1" s="1"/>
  <c r="X30" i="1"/>
  <c r="H13" i="1"/>
  <c r="H29" i="1"/>
  <c r="H17" i="1"/>
  <c r="H9" i="1"/>
  <c r="H25" i="1"/>
  <c r="H18" i="1"/>
  <c r="H22" i="1"/>
  <c r="H24" i="1"/>
  <c r="H28" i="1"/>
  <c r="H30" i="1"/>
  <c r="H8" i="1"/>
  <c r="H10" i="1"/>
  <c r="H14" i="1"/>
  <c r="I25" i="1" l="1"/>
  <c r="I9" i="1"/>
  <c r="I17" i="1"/>
  <c r="I29" i="1"/>
  <c r="I13" i="1"/>
  <c r="M25" i="1"/>
  <c r="M9" i="1"/>
  <c r="S17" i="1"/>
  <c r="S2" i="1"/>
  <c r="M29" i="1"/>
  <c r="M13" i="1"/>
  <c r="I14" i="1"/>
  <c r="I10" i="1"/>
  <c r="I8" i="1"/>
  <c r="I30" i="1"/>
  <c r="I28" i="1"/>
  <c r="I24" i="1"/>
  <c r="I22" i="1"/>
  <c r="I18" i="1"/>
  <c r="Y14" i="1"/>
  <c r="M10" i="1"/>
  <c r="M8" i="1"/>
  <c r="Y30" i="1"/>
  <c r="M28" i="1"/>
  <c r="M24" i="1"/>
  <c r="M22" i="1"/>
  <c r="M18" i="1"/>
  <c r="I2" i="1" l="1"/>
  <c r="I3" i="1" s="1"/>
  <c r="M2" i="1"/>
  <c r="Y2" i="1"/>
</calcChain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<sst xmlns="http://schemas.openxmlformats.org/spreadsheetml/2006/main" count="229" uniqueCount="158">
  <si>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</si>
  <si>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</si>
  <si>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</si>
  <si>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</si>
  <si>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</si>
  <si>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</si>
  <si>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</si>
  <si>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</si>
  <si>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</si>
  <si>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</si>
  <si>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C3,C4</t>
  </si>
  <si>
    <t>10uF</t>
  </si>
  <si>
    <t>hack-footprints:c_elec_3x5.3</t>
  </si>
  <si>
    <t>UWX1C100MCL2GB</t>
  </si>
  <si>
    <t>D1</t>
  </si>
  <si>
    <t>RED</t>
  </si>
  <si>
    <t>hack-footprints:LED_0603_HandSoldering</t>
  </si>
  <si>
    <t>LTST-C190KRKT</t>
  </si>
  <si>
    <t>U2</t>
  </si>
  <si>
    <t>STF202</t>
  </si>
  <si>
    <t>hack-footprints:TSOP-6</t>
  </si>
  <si>
    <t>STF202-22T1G</t>
  </si>
  <si>
    <t>C5</t>
  </si>
  <si>
    <t>4.7nF</t>
  </si>
  <si>
    <t>hack-footprints:C_0603_HandSoldering</t>
  </si>
  <si>
    <t>CC0603KRX7R9BB472</t>
  </si>
  <si>
    <t>L2</t>
  </si>
  <si>
    <t>10uH</t>
  </si>
  <si>
    <t>hack-footprints:ELLVFG</t>
  </si>
  <si>
    <t>ELL-VFG100MC</t>
  </si>
  <si>
    <t>JP1</t>
  </si>
  <si>
    <t>Jumper_NO_Small</t>
  </si>
  <si>
    <t>hack-footprints:SMD_Jumper</t>
  </si>
  <si>
    <t>U3</t>
  </si>
  <si>
    <t>ATSAMD21E</t>
  </si>
  <si>
    <t>hack-footprints:QFN-32-1EP_5x5mm_Pitch0.5mm</t>
  </si>
  <si>
    <t>ATSAMD21E18A-MU</t>
  </si>
  <si>
    <t>L1</t>
  </si>
  <si>
    <t>BLM18EG221</t>
  </si>
  <si>
    <t>hack-footprints:L_0603_HandSoldering</t>
  </si>
  <si>
    <t>BLM18EG221SN1D</t>
  </si>
  <si>
    <t>R3</t>
  </si>
  <si>
    <t>10k</t>
  </si>
  <si>
    <t>hack-footprints:R_0603_HandSoldering</t>
  </si>
  <si>
    <t>RC0603FR-0710KL</t>
  </si>
  <si>
    <t>FID1-FID3</t>
  </si>
  <si>
    <t>FIDUCIAL</t>
  </si>
  <si>
    <t>hack-footprints:FIDUCIAL</t>
  </si>
  <si>
    <t>S1</t>
  </si>
  <si>
    <t>RST</t>
  </si>
  <si>
    <t>hack-footprints:SPST-PTS_810</t>
  </si>
  <si>
    <t>PTS810 SJM 250 SMTR LFS</t>
  </si>
  <si>
    <t>P1</t>
  </si>
  <si>
    <t>USB_micro</t>
  </si>
  <si>
    <t>hack-footprints:ST-USB-001G</t>
  </si>
  <si>
    <t>10118193-0001LF</t>
  </si>
  <si>
    <t>LOGO3</t>
  </si>
  <si>
    <t>HACK</t>
  </si>
  <si>
    <t>hack-footprints:HACK-LOGO</t>
  </si>
  <si>
    <t>P4</t>
  </si>
  <si>
    <t>CONN_01X01</t>
  </si>
  <si>
    <t>hack-footprints:Pin_Castellated_1x01</t>
  </si>
  <si>
    <t>C1,C2</t>
  </si>
  <si>
    <t>2.2uF</t>
  </si>
  <si>
    <t>CC0603MRX5R5BB225</t>
  </si>
  <si>
    <t>U1</t>
  </si>
  <si>
    <t>MIC5528</t>
  </si>
  <si>
    <t>hack-footprints:DFN-6-1EP_1.2x1.2mm_Pitch0.4mm</t>
  </si>
  <si>
    <t>MIC5528-3.3YMT-TR</t>
  </si>
  <si>
    <t>LOGO2</t>
  </si>
  <si>
    <t>HACKADAY</t>
  </si>
  <si>
    <t>hack-footprints:HACKADAY-LOGO</t>
  </si>
  <si>
    <t>mfr_pn</t>
  </si>
  <si>
    <t>C8-C11</t>
  </si>
  <si>
    <t>100nF</t>
  </si>
  <si>
    <t>CC0603KRX7R9BB104</t>
  </si>
  <si>
    <t>R1</t>
  </si>
  <si>
    <t>1M</t>
  </si>
  <si>
    <t>RC0603FR-071ML</t>
  </si>
  <si>
    <t>LOGO1</t>
  </si>
  <si>
    <t>OSHW</t>
  </si>
  <si>
    <t>hack-footprints:OSHW-LOGO</t>
  </si>
  <si>
    <t>P2,P3</t>
  </si>
  <si>
    <t>CONN_01X13</t>
  </si>
  <si>
    <t>hack-footprints:Pin_Castellated_1x13</t>
  </si>
  <si>
    <t>PREC014SACN-RC</t>
  </si>
  <si>
    <t>R2,R4</t>
  </si>
  <si>
    <t>330</t>
  </si>
  <si>
    <t>RC0603FR-07330RL</t>
  </si>
  <si>
    <t>X1</t>
  </si>
  <si>
    <t>ABS07</t>
  </si>
  <si>
    <t>hack-footprints:xtal_3.2x1.5mm</t>
  </si>
  <si>
    <t>ABS07-32.768KHZ-7-T</t>
  </si>
  <si>
    <t>C6,C7</t>
  </si>
  <si>
    <t>10pF</t>
  </si>
  <si>
    <t>CC0603JRNPO9BN100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</si>
  <si>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</si>
  <si>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</si>
  <si>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</si>
  <si>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</si>
  <si>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</si>
  <si>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</si>
  <si>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</si>
  <si>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</si>
  <si>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493-2099-1-ND</t>
  </si>
  <si>
    <t>Link</t>
  </si>
  <si>
    <t>160-1436-1-ND</t>
  </si>
  <si>
    <t>STF202-22T1GOSCT-ND</t>
  </si>
  <si>
    <t>311-1083-1-ND</t>
  </si>
  <si>
    <t>PCD2293CT-ND</t>
  </si>
  <si>
    <t>ATSAMD21E18A-MU-ND</t>
  </si>
  <si>
    <t>490-3992-1-ND</t>
  </si>
  <si>
    <t>311-10.0KHRCT-ND</t>
  </si>
  <si>
    <t>CKN10502CT-ND</t>
  </si>
  <si>
    <t>609-4616-1-ND</t>
  </si>
  <si>
    <t>311-1814-1-ND</t>
  </si>
  <si>
    <t>576-4766-1-ND</t>
  </si>
  <si>
    <t>311-1344-1-ND</t>
  </si>
  <si>
    <t>311-1.00MHRCT-ND</t>
  </si>
  <si>
    <t>S1032EC-14-ND</t>
  </si>
  <si>
    <t>311-330HRCT-ND</t>
  </si>
  <si>
    <t>535-9543-1-ND</t>
  </si>
  <si>
    <t>311-1058-1-ND</t>
  </si>
  <si>
    <t>Mouser</t>
  </si>
  <si>
    <t>647-UWX1C100MCL2</t>
  </si>
  <si>
    <t>859-LTST-C190KRKT</t>
  </si>
  <si>
    <t>863-STF202-22T1G</t>
  </si>
  <si>
    <t>603-C0603KRX7R9BB472</t>
  </si>
  <si>
    <t>667-ELL-VFG100MC</t>
  </si>
  <si>
    <t>556-ATSAMD21E18A-MU</t>
  </si>
  <si>
    <t>81-BLM18EG221SN1D</t>
  </si>
  <si>
    <t>603-RC0603FR-0710KL</t>
  </si>
  <si>
    <t>611-PTS810SJM250SMTR</t>
  </si>
  <si>
    <t>649-10118193-0001LF</t>
  </si>
  <si>
    <t>653-VAL</t>
  </si>
  <si>
    <t>603-CC603MRX5R5BB225</t>
  </si>
  <si>
    <t>998-MIC5528-3.3YMTTR</t>
  </si>
  <si>
    <t>603-CC603KRX7R9BB104</t>
  </si>
  <si>
    <t>603-RC0603FR-071ML</t>
  </si>
  <si>
    <t>603-RC0603FR-07330RL</t>
  </si>
  <si>
    <t>815-ABS07-32.768K7T</t>
  </si>
  <si>
    <t>603-C0603JRNPO9BN100</t>
  </si>
  <si>
    <t>Newark</t>
  </si>
  <si>
    <t>58R3619</t>
  </si>
  <si>
    <t>09J9435</t>
  </si>
  <si>
    <t>45J2271</t>
  </si>
  <si>
    <t>68R4808</t>
  </si>
  <si>
    <t>15R1033</t>
  </si>
  <si>
    <t>45X9914</t>
  </si>
  <si>
    <t>73M9090</t>
  </si>
  <si>
    <t>68R0049</t>
  </si>
  <si>
    <t>67T2259</t>
  </si>
  <si>
    <t>90R7669</t>
  </si>
  <si>
    <t>68R4788</t>
  </si>
  <si>
    <t>68R0047</t>
  </si>
  <si>
    <t>75X0150</t>
  </si>
  <si>
    <t>14N8750</t>
  </si>
  <si>
    <t>68R4712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</si>
</sst>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Normal" xfId="0" builtinId="0"/>
  </cellStyles>
  <dxfs count="102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ELL-VFG100MC/PCD2293CT-ND/1938502" TargetMode="External"/><Relationship Id="rId18" Type="http://schemas.openxmlformats.org/officeDocument/2006/relationships/hyperlink" Target="http://www.newark.com/atmel/atsamd21e18a-mu/cortex-m0-64kb-flash-8kb-sram/dp/45X9914" TargetMode="External"/><Relationship Id="rId26" Type="http://schemas.openxmlformats.org/officeDocument/2006/relationships/hyperlink" Target="http://www.mouser.com/ProductDetail/CK-Components/PTS810-SJM-250-SMTR-LFS/?qs=sGAEpiMZZMsgGjVA3toVBAOa31dqKfOf5%2fuMDhoi36E%3d" TargetMode="External"/><Relationship Id="rId39" Type="http://schemas.openxmlformats.org/officeDocument/2006/relationships/hyperlink" Target="http://www.digikey.com/product-detail/en/RC0603FR-071ML/311-1.00MHRCT-ND/729791" TargetMode="External"/><Relationship Id="rId3" Type="http://schemas.openxmlformats.org/officeDocument/2006/relationships/hyperlink" Target="http://www.newark.com/nichicon/uwx1c100mcl2gb/aluminum-electrolytic-capacitor/dp/58R3619" TargetMode="External"/><Relationship Id="rId21" Type="http://schemas.openxmlformats.org/officeDocument/2006/relationships/hyperlink" Target="http://www.newark.com/murata/blm18eg221sn1d/ferrite-bead-0-05ohm-2a-0603/dp/73M9090" TargetMode="External"/><Relationship Id="rId34" Type="http://schemas.openxmlformats.org/officeDocument/2006/relationships/hyperlink" Target="http://www.digikey.com/product-detail/en/MIC5528-3.3YMT-TR/576-4766-1-ND/4864030" TargetMode="External"/><Relationship Id="rId42" Type="http://schemas.openxmlformats.org/officeDocument/2006/relationships/hyperlink" Target="http://www.digikey.com/scripts/DkSearch/dksus.dll?WT.z_header=search_go&amp;lang=en&amp;keywords=PREC014SACN-RC" TargetMode="External"/><Relationship Id="rId47" Type="http://schemas.openxmlformats.org/officeDocument/2006/relationships/hyperlink" Target="http://www.mouser.com/Search/Refine.aspx?Keyword=ABS07-32.768KHZ-7-T" TargetMode="External"/><Relationship Id="rId50" Type="http://schemas.openxmlformats.org/officeDocument/2006/relationships/hyperlink" Target="http://www.mouser.com/Search/Refine.aspx?Keyword=CC0603JRNPO9BN100" TargetMode="External"/><Relationship Id="rId7" Type="http://schemas.openxmlformats.org/officeDocument/2006/relationships/hyperlink" Target="http://www.digikey.com/product-detail/en/STF202-22T1G/STF202-22T1GOSCT-ND/720944" TargetMode="External"/><Relationship Id="rId12" Type="http://schemas.openxmlformats.org/officeDocument/2006/relationships/hyperlink" Target="http://www.newark.com/yageo/cc0603krx7r9bb472/ceramic-capacitor-4700pf-50v-x7r/dp/68R4808" TargetMode="External"/><Relationship Id="rId17" Type="http://schemas.openxmlformats.org/officeDocument/2006/relationships/hyperlink" Target="http://www.mouser.com/ProductDetail/Atmel/ATSAMD21E18A-MU/?qs=sGAEpiMZZMuoKKEcg8mMKHVqFrYvdykFyyXa6Kfju1rM9GkwryGRIw%3d%3d" TargetMode="External"/><Relationship Id="rId25" Type="http://schemas.openxmlformats.org/officeDocument/2006/relationships/hyperlink" Target="http://www.digikey.com/product-detail/en/PTS810%20SJM%20250%20SMTR%20LFS/CKN10502CT-ND/4176673" TargetMode="External"/><Relationship Id="rId33" Type="http://schemas.openxmlformats.org/officeDocument/2006/relationships/hyperlink" Target="http://www.newark.com/tdk/c1608x5r0j225m080ab/ceramic-capacitor-2-2uf-6-3v-x5r/dp/90R7669" TargetMode="External"/><Relationship Id="rId38" Type="http://schemas.openxmlformats.org/officeDocument/2006/relationships/hyperlink" Target="http://www.newark.com/yageo/cc0603krx7r9bb104/ceramic-capacitor-0-1uf-50v-x7r/dp/68R4788" TargetMode="External"/><Relationship Id="rId46" Type="http://schemas.openxmlformats.org/officeDocument/2006/relationships/hyperlink" Target="http://www.digikey.com/product-detail/en/ABS07-32.768KHZ-7-T/535-9543-1-ND/1237010" TargetMode="External"/><Relationship Id="rId2" Type="http://schemas.openxmlformats.org/officeDocument/2006/relationships/hyperlink" Target="http://www.mouser.com/Search/Refine.aspx?Keyword=UWX1C100MCL2GB" TargetMode="External"/><Relationship Id="rId16" Type="http://schemas.openxmlformats.org/officeDocument/2006/relationships/hyperlink" Target="http://www.digikey.com/product-detail/en/ATSAMD21E18A-MU/ATSAMD21E18A-MU-ND/4935887" TargetMode="External"/><Relationship Id="rId20" Type="http://schemas.openxmlformats.org/officeDocument/2006/relationships/hyperlink" Target="http://www.mouser.com/Search/Refine.aspx?Keyword=BLM18EG221SN1D" TargetMode="External"/><Relationship Id="rId29" Type="http://schemas.openxmlformats.org/officeDocument/2006/relationships/hyperlink" Target="http://www.newark.com/webapp/wcs/stores/servlet/Search?catalogId=15003&amp;langId=-1&amp;storeId=10194&amp;gs=true&amp;st=10118193-0001LF" TargetMode="External"/><Relationship Id="rId41" Type="http://schemas.openxmlformats.org/officeDocument/2006/relationships/hyperlink" Target="http://www.newark.com/yageo/rc0603fr-071ml/res-thick-film-1m-1-0-1w-0603/dp/68R0047" TargetMode="External"/><Relationship Id="rId1" Type="http://schemas.openxmlformats.org/officeDocument/2006/relationships/hyperlink" Target="http://www.digikey.com/product-detail/en/UWX1C100MCL2GB/493-2099-1-ND/590074" TargetMode="External"/><Relationship Id="rId6" Type="http://schemas.openxmlformats.org/officeDocument/2006/relationships/hyperlink" Target="http://www.newark.com/lumex/sml-lx0603siw-tr/led-red-0-8mm-x-1mm-60mcd-636nm/dp/09J9435" TargetMode="External"/><Relationship Id="rId11" Type="http://schemas.openxmlformats.org/officeDocument/2006/relationships/hyperlink" Target="http://www.mouser.com/Search/Refine.aspx?Keyword=CC0603KRX7R9BB472" TargetMode="External"/><Relationship Id="rId24" Type="http://schemas.openxmlformats.org/officeDocument/2006/relationships/hyperlink" Target="http://www.newark.com/yageo/rc0603fr-0710kl/res-thick-film-10k-1-0-1w-0603/dp/68R0049" TargetMode="External"/><Relationship Id="rId32" Type="http://schemas.openxmlformats.org/officeDocument/2006/relationships/hyperlink" Target="http://www.mouser.com/Search/Refine.aspx?Keyword=CC0603MRX5R5BB225" TargetMode="External"/><Relationship Id="rId37" Type="http://schemas.openxmlformats.org/officeDocument/2006/relationships/hyperlink" Target="http://www.mouser.com/Search/Refine.aspx?Keyword=CC0603KRX7R9BB104" TargetMode="External"/><Relationship Id="rId40" Type="http://schemas.openxmlformats.org/officeDocument/2006/relationships/hyperlink" Target="http://www.mouser.com/Search/Refine.aspx?Keyword=RC0603FR-071ML" TargetMode="External"/><Relationship Id="rId45" Type="http://schemas.openxmlformats.org/officeDocument/2006/relationships/hyperlink" Target="http://www.newark.com/yageo-phycomp/rc0603fr-07330rl/surface-mount-chip-resistor-thick/dp/75X0150" TargetMode="External"/><Relationship Id="rId53" Type="http://schemas.openxmlformats.org/officeDocument/2006/relationships/comments" Target="../comments1.xml"/><Relationship Id="rId5" Type="http://schemas.openxmlformats.org/officeDocument/2006/relationships/hyperlink" Target="http://www.mouser.com/Search/Refine.aspx?Keyword=LTST-C190KRKT" TargetMode="External"/><Relationship Id="rId15" Type="http://schemas.openxmlformats.org/officeDocument/2006/relationships/hyperlink" Target="http://www.newark.com/webapp/wcs/stores/servlet/Search?catalogId=15003&amp;langId=-1&amp;storeId=10194&amp;gs=true&amp;st=ELL-VFG100MC" TargetMode="External"/><Relationship Id="rId23" Type="http://schemas.openxmlformats.org/officeDocument/2006/relationships/hyperlink" Target="http://www.mouser.com/Search/Refine.aspx?Keyword=RC0603FR-0710KL" TargetMode="External"/><Relationship Id="rId28" Type="http://schemas.openxmlformats.org/officeDocument/2006/relationships/hyperlink" Target="http://www.mouser.com/Search/Refine.aspx?Keyword=10118193-0001LF" TargetMode="External"/><Relationship Id="rId36" Type="http://schemas.openxmlformats.org/officeDocument/2006/relationships/hyperlink" Target="http://www.digikey.com/product-detail/en/CC0603KRX7R9BB104/311-1344-1-ND/2103128" TargetMode="External"/><Relationship Id="rId49" Type="http://schemas.openxmlformats.org/officeDocument/2006/relationships/hyperlink" Target="http://www.digikey.com/product-detail/en/CC0603JRNPO9BN100/311-1058-1-ND/302968" TargetMode="External"/><Relationship Id="rId10" Type="http://schemas.openxmlformats.org/officeDocument/2006/relationships/hyperlink" Target="http://www.digikey.com/product-detail/en/CC0603KRX7R9BB472/311-1083-1-ND/302993" TargetMode="External"/><Relationship Id="rId19" Type="http://schemas.openxmlformats.org/officeDocument/2006/relationships/hyperlink" Target="http://www.digikey.com/product-detail/en/BLM18EG221SN1D/490-3992-1-ND/1016252" TargetMode="External"/><Relationship Id="rId31" Type="http://schemas.openxmlformats.org/officeDocument/2006/relationships/hyperlink" Target="http://www.digikey.com/product-detail/en/CC0603MRX5R5BB225/311-1814-1-ND/5195716" TargetMode="External"/><Relationship Id="rId44" Type="http://schemas.openxmlformats.org/officeDocument/2006/relationships/hyperlink" Target="http://www.mouser.com/Search/Refine.aspx?Keyword=RC0603FR-07330RL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://www.digikey.com/product-detail/en/LTST-C190KRKT/160-1436-1-ND/386816" TargetMode="External"/><Relationship Id="rId9" Type="http://schemas.openxmlformats.org/officeDocument/2006/relationships/hyperlink" Target="http://www.newark.com/on-semiconductor/stf202-22t1g/rc-n-w-filter-22-ohm-68pf-tsop/dp/45J2271" TargetMode="External"/><Relationship Id="rId14" Type="http://schemas.openxmlformats.org/officeDocument/2006/relationships/hyperlink" Target="http://www.mouser.com/Search/Refine.aspx?Keyword=ELL-VFG100MC" TargetMode="External"/><Relationship Id="rId22" Type="http://schemas.openxmlformats.org/officeDocument/2006/relationships/hyperlink" Target="http://www.digikey.com/product-detail/en/RC0603FR-0710KL/311-10.0KHRCT-ND/729827" TargetMode="External"/><Relationship Id="rId27" Type="http://schemas.openxmlformats.org/officeDocument/2006/relationships/hyperlink" Target="http://www.digikey.com/product-detail/en/10118193-0001LF/609-4616-1-ND/2785380" TargetMode="External"/><Relationship Id="rId30" Type="http://schemas.openxmlformats.org/officeDocument/2006/relationships/hyperlink" Target="http://www.mouser.com/ProductDetail/Omron-Electronics/VAL/?qs=sGAEpiMZZMtzFpQ%252bfsc2VG9FapavGxSS" TargetMode="External"/><Relationship Id="rId35" Type="http://schemas.openxmlformats.org/officeDocument/2006/relationships/hyperlink" Target="http://www.mouser.com/Search/Refine.aspx?Keyword=MIC5528-3.3YMT-TR" TargetMode="External"/><Relationship Id="rId43" Type="http://schemas.openxmlformats.org/officeDocument/2006/relationships/hyperlink" Target="http://www.digikey.com/product-detail/en/RC0603FR-07330RL/311-330HRCT-ND/730109" TargetMode="External"/><Relationship Id="rId48" Type="http://schemas.openxmlformats.org/officeDocument/2006/relationships/hyperlink" Target="http://www.newark.com/abracon/abs07-32-768khz-7-t/crystal-32-768khz-7pf-3-2-x-1/dp/14N8750" TargetMode="External"/><Relationship Id="rId8" Type="http://schemas.openxmlformats.org/officeDocument/2006/relationships/hyperlink" Target="http://www.mouser.com/Search/Refine.aspx?Keyword=STF202-22T1G" TargetMode="External"/><Relationship Id="rId51" Type="http://schemas.openxmlformats.org/officeDocument/2006/relationships/hyperlink" Target="http://www.newark.com/yageo/cc0603jrnpo9bn100/ceramic-capacitor-10pf-50v-c0g/dp/68R4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M32" sqref="M32"/>
    </sheetView>
  </sheetViews>
  <sheetFormatPr defaultRowHeight="15" outlineLevelCol="2" x14ac:dyDescent="0.25"/>
  <cols>
    <col min="9" max="9" width="15.7109375" customWidth="1"/>
    <col min="10" max="10" width="9.140625" outlineLevel="1"/>
    <col min="11" max="12" width="9.140625" outlineLevel="2"/>
    <col min="13" max="13" width="15.7109375" customWidth="1"/>
    <col min="14" max="15" width="9.140625" outlineLevel="2"/>
    <col min="16" max="16" width="9.140625" outlineLevel="1"/>
    <col min="17" max="18" width="9.140625" outlineLevel="2"/>
    <col min="19" max="19" width="15.7109375" customWidth="1"/>
    <col min="20" max="21" width="9.140625" outlineLevel="2"/>
    <col min="22" max="22" width="9.140625" outlineLevel="1"/>
    <col min="23" max="24" width="9.140625" outlineLevel="2"/>
    <col min="25" max="25" width="15.7109375" customWidth="1"/>
    <col min="26" max="27" width="9.140625" outlineLevel="2"/>
  </cols>
  <sheetData>
    <row r="1" spans="1:27" ht="17.25" x14ac:dyDescent="0.3">
      <c r="H1" s="1" t="s">
        <v>96</v>
      </c>
      <c r="I1" s="1">
        <v>20</v>
      </c>
    </row>
    <row r="2" spans="1:27" ht="17.25" x14ac:dyDescent="0.25">
      <c r="H2" s="2" t="s">
        <v>97</v>
      </c>
      <c r="I2" s="3">
        <f ca="1">SUM(I7:I30)</f>
        <v>152.54400000000001</v>
      </c>
      <c r="M2" s="3">
        <f>SUM(M7:M30)</f>
        <v>173.17600000000004</v>
      </c>
      <c r="S2" s="3">
        <f>SUM(S7:S30)</f>
        <v>175.38000000000002</v>
      </c>
      <c r="Y2" s="3">
        <f>SUM(Y7:Y30)</f>
        <v>131.04</v>
      </c>
    </row>
    <row r="3" spans="1:27" ht="17.25" x14ac:dyDescent="0.25">
      <c r="H3" s="2" t="s">
        <v>98</v>
      </c>
      <c r="I3" s="4">
        <f ca="1">TotalCost/BoardQty</f>
        <v>7.6272000000000002</v>
      </c>
    </row>
    <row r="5" spans="1:27" ht="18.75" x14ac:dyDescent="0.25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99</v>
      </c>
      <c r="K5" s="9"/>
      <c r="L5" s="9"/>
      <c r="M5" s="9"/>
      <c r="N5" s="9"/>
      <c r="O5" s="9"/>
      <c r="P5" s="10" t="s">
        <v>123</v>
      </c>
      <c r="Q5" s="10"/>
      <c r="R5" s="10"/>
      <c r="S5" s="10"/>
      <c r="T5" s="10"/>
      <c r="U5" s="10"/>
      <c r="V5" s="11" t="s">
        <v>142</v>
      </c>
      <c r="W5" s="11"/>
      <c r="X5" s="11"/>
      <c r="Y5" s="11"/>
      <c r="Z5" s="11"/>
      <c r="AA5" s="11"/>
    </row>
    <row r="6" spans="1:27" ht="31.5" x14ac:dyDescent="0.25">
      <c r="A6" s="5" t="s">
        <v>6</v>
      </c>
      <c r="B6" s="5" t="s">
        <v>8</v>
      </c>
      <c r="C6" s="5" t="s">
        <v>9</v>
      </c>
      <c r="D6" s="5" t="s">
        <v>5</v>
      </c>
      <c r="E6" s="5" t="s">
        <v>4</v>
      </c>
      <c r="F6" s="5" t="s">
        <v>1</v>
      </c>
      <c r="G6" s="5" t="s">
        <v>7</v>
      </c>
      <c r="H6" s="5" t="s">
        <v>3</v>
      </c>
      <c r="I6" s="5" t="s">
        <v>2</v>
      </c>
      <c r="J6" s="5" t="s">
        <v>101</v>
      </c>
      <c r="K6" s="5" t="s">
        <v>102</v>
      </c>
      <c r="L6" s="5" t="s">
        <v>3</v>
      </c>
      <c r="M6" s="5" t="s">
        <v>2</v>
      </c>
      <c r="N6" s="5" t="s">
        <v>103</v>
      </c>
      <c r="O6" s="5" t="s">
        <v>100</v>
      </c>
      <c r="P6" s="5" t="s">
        <v>101</v>
      </c>
      <c r="Q6" s="5" t="s">
        <v>102</v>
      </c>
      <c r="R6" s="5" t="s">
        <v>3</v>
      </c>
      <c r="S6" s="5" t="s">
        <v>2</v>
      </c>
      <c r="T6" s="5" t="s">
        <v>103</v>
      </c>
      <c r="U6" s="5" t="s">
        <v>100</v>
      </c>
      <c r="V6" s="5" t="s">
        <v>101</v>
      </c>
      <c r="W6" s="5" t="s">
        <v>102</v>
      </c>
      <c r="X6" s="5" t="s">
        <v>3</v>
      </c>
      <c r="Y6" s="5" t="s">
        <v>2</v>
      </c>
      <c r="Z6" s="5" t="s">
        <v>103</v>
      </c>
      <c r="AA6" s="5" t="s">
        <v>100</v>
      </c>
    </row>
    <row r="7" spans="1:27" x14ac:dyDescent="0.25">
      <c r="A7" t="s">
        <v>10</v>
      </c>
      <c r="B7" t="s">
        <v>11</v>
      </c>
      <c r="D7" t="s">
        <v>12</v>
      </c>
      <c r="F7" t="s">
        <v>13</v>
      </c>
      <c r="G7">
        <f>BoardQty*2</f>
        <v>40</v>
      </c>
      <c r="H7" s="6">
        <f t="shared" ref="H7:H30" ca="1" si="0">MINA(INDIRECT(ADDRESS(ROW(),COLUMN(newark_part_data)+2)),INDIRECT(ADDRESS(ROW(),COLUMN(digikey_part_data)+2)),INDIRECT(ADDRESS(ROW(),COLUMN(mouser_part_data)+2)))</f>
        <v>0.13400000000000001</v>
      </c>
      <c r="I7" s="6">
        <f t="shared" ref="I7:I30" ca="1" si="1">IFERROR(G7*H7,"")</f>
        <v>5.36</v>
      </c>
      <c r="J7">
        <v>147875</v>
      </c>
      <c r="L7" s="6">
        <f>IFERROR(LOOKUP(IF(K7="",G7,K7),{0,1,10,25,50,100,250,500,1000,2000,4000,10000,14000,50000,100000},{0,0.28,0.237,0.1628,0.1332,0.1184,0.0888,0.07844,0.06956,0.0592,0.05476,0.0518,0.04914,0.0444,0.03922}),"")</f>
        <v>0.1628</v>
      </c>
      <c r="M7" s="6">
        <f>IFERROR(IF(K7="",G7,K7)*L7,"")</f>
        <v>6.5120000000000005</v>
      </c>
      <c r="N7" t="s">
        <v>104</v>
      </c>
      <c r="O7" s="7" t="s">
        <v>105</v>
      </c>
      <c r="P7">
        <v>23090</v>
      </c>
      <c r="R7" s="6">
        <f>IFERROR(LOOKUP(IF(Q7="",G7,Q7),{0,1,10,100,1000,2000,10000,24000,50000,100000},{0,0.279,0.134,0.078,0.07,0.055,0.05,0.048,0.045,0.04}),"")</f>
        <v>0.13400000000000001</v>
      </c>
      <c r="S7" s="6">
        <f>IFERROR(IF(Q7="",G7,Q7)*R7,"")</f>
        <v>5.36</v>
      </c>
      <c r="T7" t="s">
        <v>124</v>
      </c>
      <c r="U7" s="7" t="s">
        <v>105</v>
      </c>
      <c r="V7">
        <v>1079</v>
      </c>
      <c r="X7" s="6">
        <f>IFERROR(LOOKUP(IF(W7="",G7,W7),{0,1,10,25,50,100,250,500,1000},{0,0.318,0.296,0.195,0.162,0.138,0.111,0.098,0.087}),"")</f>
        <v>0.19500000000000001</v>
      </c>
      <c r="Y7" s="6">
        <f>IFERROR(IF(W7="",G7,W7)*X7,"")</f>
        <v>7.8000000000000007</v>
      </c>
      <c r="Z7" t="s">
        <v>143</v>
      </c>
      <c r="AA7" s="7" t="s">
        <v>105</v>
      </c>
    </row>
    <row r="8" spans="1:27" x14ac:dyDescent="0.25">
      <c r="A8" t="s">
        <v>14</v>
      </c>
      <c r="B8" t="s">
        <v>15</v>
      </c>
      <c r="D8" t="s">
        <v>16</v>
      </c>
      <c r="F8" t="s">
        <v>17</v>
      </c>
      <c r="G8">
        <f t="shared" ref="G8:G15" si="2">BoardQty*1</f>
        <v>20</v>
      </c>
      <c r="H8" s="6">
        <f t="shared" ca="1" si="0"/>
        <v>0.186</v>
      </c>
      <c r="I8" s="6">
        <f t="shared" ca="1" si="1"/>
        <v>3.7199999999999998</v>
      </c>
      <c r="J8">
        <v>324049</v>
      </c>
      <c r="L8" s="6">
        <f>IFERROR(LOOKUP(IF(K8="",G8,K8),{0,1,10,100,250,500,1000,3000,6000,15000,30000,75000,150000},{0,0.24,0.186,0.1015,0.06768,0.05752,0.04399,0.03892,0.03384,0.03046,0.02707,0.02453,0.02284}),"")</f>
        <v>0.186</v>
      </c>
      <c r="M8" s="6">
        <f>IFERROR(IF(K8="",G8,K8)*L8,"")</f>
        <v>3.7199999999999998</v>
      </c>
      <c r="N8" t="s">
        <v>106</v>
      </c>
      <c r="O8" s="7" t="s">
        <v>105</v>
      </c>
      <c r="P8">
        <v>54863</v>
      </c>
      <c r="R8" s="6">
        <f>IFERROR(LOOKUP(IF(Q8="",G8,Q8),{0,1,10,100,1000,3000,9000,24000,45000,99000},{0,0.299,0.232,0.073,0.056,0.043,0.038,0.034,0.031,0.028}),"")</f>
        <v>0.23200000000000001</v>
      </c>
      <c r="S8" s="6">
        <f>IFERROR(IF(Q8="",G8,Q8)*R8,"")</f>
        <v>4.6400000000000006</v>
      </c>
      <c r="T8" t="s">
        <v>125</v>
      </c>
      <c r="U8" s="7" t="s">
        <v>105</v>
      </c>
      <c r="V8">
        <v>1969</v>
      </c>
      <c r="X8" s="6">
        <f>IFERROR(LOOKUP(IF(W8="",G8,W8),{0,1,10,100,500},{0,0.522,0.434,0.347,0.324}),"")</f>
        <v>0.434</v>
      </c>
      <c r="Y8" s="6">
        <f>IFERROR(IF(W8="",G8,W8)*X8,"")</f>
        <v>8.68</v>
      </c>
      <c r="Z8" t="s">
        <v>144</v>
      </c>
      <c r="AA8" s="7" t="s">
        <v>105</v>
      </c>
    </row>
    <row r="9" spans="1:27" x14ac:dyDescent="0.25">
      <c r="A9" t="s">
        <v>18</v>
      </c>
      <c r="B9" t="s">
        <v>19</v>
      </c>
      <c r="D9" t="s">
        <v>20</v>
      </c>
      <c r="F9" t="s">
        <v>21</v>
      </c>
      <c r="G9">
        <f t="shared" si="2"/>
        <v>20</v>
      </c>
      <c r="H9" s="6">
        <f t="shared" ca="1" si="0"/>
        <v>0.49199999999999999</v>
      </c>
      <c r="I9" s="6">
        <f t="shared" ca="1" si="1"/>
        <v>9.84</v>
      </c>
      <c r="J9">
        <v>10888</v>
      </c>
      <c r="L9" s="6">
        <f>IFERROR(LOOKUP(IF(K9="",G9,K9),{0,1,10,25,100,250,500,1000,3000,6000,15000,30000,75000,150000},{0,0.67,0.569,0.498,0.4264,0.36984,0.31326,0.2415,0.2139,0.2001,0.1863,0.17664,0.1725,0.1656}),"")</f>
        <v>0.56899999999999995</v>
      </c>
      <c r="M9" s="6">
        <f>IFERROR(IF(K9="",G9,K9)*L9,"")</f>
        <v>11.379999999999999</v>
      </c>
      <c r="N9" t="s">
        <v>107</v>
      </c>
      <c r="O9" s="7" t="s">
        <v>105</v>
      </c>
      <c r="P9">
        <v>13021</v>
      </c>
      <c r="R9" s="6">
        <f>IFERROR(LOOKUP(IF(Q9="",G9,Q9),{0,1,10,100,1000,3000,9000,24000},{0,0.651,0.492,0.308,0.232,0.197,0.183,0.18}),"")</f>
        <v>0.49199999999999999</v>
      </c>
      <c r="S9" s="6">
        <f>IFERROR(IF(Q9="",G9,Q9)*R9,"")</f>
        <v>9.84</v>
      </c>
      <c r="T9" t="s">
        <v>126</v>
      </c>
      <c r="U9" s="7" t="s">
        <v>105</v>
      </c>
      <c r="V9">
        <v>7937</v>
      </c>
      <c r="X9" s="6">
        <f>IFERROR(LOOKUP(IF(W9="",G9,W9),{0,1,25,100,250,500,1000,3000,9000},{0,0.66,0.483,0.304,0.294,0.286,0.235,0.201,0.187}),"")</f>
        <v>0.66</v>
      </c>
      <c r="Y9" s="6">
        <f>IFERROR(IF(W9="",G9,W9)*X9,"")</f>
        <v>13.200000000000001</v>
      </c>
      <c r="Z9" t="s">
        <v>145</v>
      </c>
      <c r="AA9" s="7" t="s">
        <v>105</v>
      </c>
    </row>
    <row r="10" spans="1:27" x14ac:dyDescent="0.25">
      <c r="A10" t="s">
        <v>22</v>
      </c>
      <c r="B10" t="s">
        <v>23</v>
      </c>
      <c r="D10" t="s">
        <v>24</v>
      </c>
      <c r="F10" t="s">
        <v>25</v>
      </c>
      <c r="G10">
        <f t="shared" si="2"/>
        <v>20</v>
      </c>
      <c r="H10" s="6">
        <f t="shared" ca="1" si="0"/>
        <v>1.9E-2</v>
      </c>
      <c r="I10" s="6">
        <f t="shared" ca="1" si="1"/>
        <v>0.38</v>
      </c>
      <c r="J10">
        <v>45701</v>
      </c>
      <c r="L10" s="6">
        <f>IFERROR(LOOKUP(IF(K10="",G10,K10),{0,1,10,25,100,250,500,1000,4000,8000,12000,28000,100000},{0,0.1,0.024,0.0172,0.0112,0.0092,0.00786,0.00612,0.00469,0.00428,0.00408,0.00388,0.00281}),"")</f>
        <v>2.4E-2</v>
      </c>
      <c r="M10" s="6">
        <f>IFERROR(IF(K10="",G10,K10)*L10,"")</f>
        <v>0.48</v>
      </c>
      <c r="N10" t="s">
        <v>108</v>
      </c>
      <c r="O10" s="7" t="s">
        <v>105</v>
      </c>
      <c r="P10">
        <v>48853</v>
      </c>
      <c r="R10" s="6">
        <f>IFERROR(LOOKUP(IF(Q10="",G10,Q10),{0,1,10,100,1000,4000,8000,100000},{0,0.099,0.019,0.009,0.007,0.005,0.004,0.003}),"")</f>
        <v>1.9E-2</v>
      </c>
      <c r="S10" s="6">
        <f>IFERROR(IF(Q10="",G10,Q10)*R10,"")</f>
        <v>0.38</v>
      </c>
      <c r="T10" t="s">
        <v>127</v>
      </c>
      <c r="U10" s="7" t="s">
        <v>105</v>
      </c>
      <c r="V10">
        <v>4690</v>
      </c>
      <c r="X10" s="6">
        <f>IFERROR(LOOKUP(IF(W10="",G10,W10),{0,1,10,25,100,250,500,1000},{0,0.103,0.046,0.033,0.021,0.017,0.015,0.012}),"")</f>
        <v>4.5999999999999999E-2</v>
      </c>
      <c r="Y10" s="6">
        <f>IFERROR(IF(W10="",G10,W10)*X10,"")</f>
        <v>0.91999999999999993</v>
      </c>
      <c r="Z10" t="s">
        <v>146</v>
      </c>
      <c r="AA10" s="7" t="s">
        <v>105</v>
      </c>
    </row>
    <row r="11" spans="1:27" x14ac:dyDescent="0.25">
      <c r="A11" t="s">
        <v>26</v>
      </c>
      <c r="B11" t="s">
        <v>27</v>
      </c>
      <c r="D11" t="s">
        <v>28</v>
      </c>
      <c r="F11" t="s">
        <v>29</v>
      </c>
      <c r="G11">
        <f t="shared" si="2"/>
        <v>20</v>
      </c>
      <c r="H11" s="6">
        <f t="shared" ca="1" si="0"/>
        <v>0.21199999999999999</v>
      </c>
      <c r="I11" s="6">
        <f t="shared" ca="1" si="1"/>
        <v>4.24</v>
      </c>
      <c r="J11">
        <v>4526</v>
      </c>
      <c r="L11" s="6">
        <f>IFERROR(LOOKUP(IF(K11="",G11,K11),{0,1,10,50,100,500,2000,4000,6000,10000,20000},{0,0.54,0.51,0.4786,0.4466,0.3509,0.1914,0.18502,0.17864,0.17226,0.16397}),"")</f>
        <v>0.51</v>
      </c>
      <c r="M11" s="6">
        <f>IFERROR(IF(K11="",G11,K11)*L11,"")</f>
        <v>10.199999999999999</v>
      </c>
      <c r="N11" t="s">
        <v>109</v>
      </c>
      <c r="O11" s="7" t="s">
        <v>105</v>
      </c>
      <c r="P11">
        <v>1767</v>
      </c>
      <c r="R11" s="6">
        <f>IFERROR(LOOKUP(IF(Q11="",G11,Q11),{0,1,10,100,1000,2000,10000,24000,50000},{0,0.533,0.472,0.347,0.283,0.182,0.177,0.17,0.167}),"")</f>
        <v>0.47199999999999998</v>
      </c>
      <c r="S11" s="6">
        <f>IFERROR(IF(Q11="",G11,Q11)*R11,"")</f>
        <v>9.44</v>
      </c>
      <c r="T11" t="s">
        <v>128</v>
      </c>
      <c r="U11" s="7" t="s">
        <v>105</v>
      </c>
      <c r="V11">
        <v>0</v>
      </c>
      <c r="X11" s="6">
        <f>IFERROR(LOOKUP(IF(W11="",G11,W11),{0,1,2000,4000,10000,20000,40000},{0,0.212,0.212,0.203,0.191,0.179,0.166}),"")</f>
        <v>0.21199999999999999</v>
      </c>
      <c r="Y11" s="6">
        <f>IFERROR(IF(W11="",G11,W11)*X11,"")</f>
        <v>4.24</v>
      </c>
      <c r="Z11" t="s">
        <v>147</v>
      </c>
      <c r="AA11" s="7" t="s">
        <v>105</v>
      </c>
    </row>
    <row r="12" spans="1:27" hidden="1" x14ac:dyDescent="0.25">
      <c r="A12" t="s">
        <v>30</v>
      </c>
      <c r="B12" t="s">
        <v>31</v>
      </c>
      <c r="D12" t="s">
        <v>32</v>
      </c>
      <c r="G12">
        <f t="shared" si="2"/>
        <v>20</v>
      </c>
      <c r="H12" s="6">
        <f t="shared" ca="1" si="0"/>
        <v>0</v>
      </c>
      <c r="I12" s="6">
        <f t="shared" ca="1" si="1"/>
        <v>0</v>
      </c>
    </row>
    <row r="13" spans="1:27" x14ac:dyDescent="0.25">
      <c r="A13" t="s">
        <v>33</v>
      </c>
      <c r="B13" t="s">
        <v>34</v>
      </c>
      <c r="D13" t="s">
        <v>35</v>
      </c>
      <c r="F13" t="s">
        <v>36</v>
      </c>
      <c r="G13">
        <f t="shared" si="2"/>
        <v>20</v>
      </c>
      <c r="H13" s="6">
        <f t="shared" ca="1" si="0"/>
        <v>3.04</v>
      </c>
      <c r="I13" s="6">
        <f t="shared" ca="1" si="1"/>
        <v>60.8</v>
      </c>
      <c r="J13">
        <v>911</v>
      </c>
      <c r="L13" s="6">
        <f>IFERROR(LOOKUP(IF(K13="",G13,K13),{0,1,10,100,250,500,1000},{0,5.03,4.493,3.6845,3.325,2.98352,2.51622}),"")</f>
        <v>4.4930000000000003</v>
      </c>
      <c r="M13" s="6">
        <f>IFERROR(IF(K13="",G13,K13)*L13,"")</f>
        <v>89.860000000000014</v>
      </c>
      <c r="N13" t="s">
        <v>110</v>
      </c>
      <c r="O13" s="7" t="s">
        <v>105</v>
      </c>
      <c r="P13">
        <v>328</v>
      </c>
      <c r="R13" s="6">
        <f>IFERROR(LOOKUP(IF(Q13="",G13,Q13),{0,1,10,25,50,100,250,500,1000},{0,4.96,4.43,3.99,3.74,3.63,3.27,2.92,2.61}),"")</f>
        <v>4.43</v>
      </c>
      <c r="S13" s="6">
        <f>IFERROR(IF(Q13="",G13,Q13)*R13,"")</f>
        <v>88.6</v>
      </c>
      <c r="T13" t="s">
        <v>129</v>
      </c>
      <c r="U13" s="7" t="s">
        <v>105</v>
      </c>
      <c r="V13">
        <v>0</v>
      </c>
      <c r="X13" s="6">
        <f>IFERROR(LOOKUP(IF(W13="",G13,W13),{0,1,500,1000},{0,3.04,3.04,2.68}),"")</f>
        <v>3.04</v>
      </c>
      <c r="Y13" s="6">
        <f>IFERROR(IF(W13="",G13,W13)*X13,"")</f>
        <v>60.8</v>
      </c>
      <c r="Z13" t="s">
        <v>148</v>
      </c>
      <c r="AA13" s="7" t="s">
        <v>105</v>
      </c>
    </row>
    <row r="14" spans="1:27" x14ac:dyDescent="0.25">
      <c r="A14" t="s">
        <v>37</v>
      </c>
      <c r="B14" t="s">
        <v>38</v>
      </c>
      <c r="D14" t="s">
        <v>39</v>
      </c>
      <c r="F14" t="s">
        <v>40</v>
      </c>
      <c r="G14">
        <f t="shared" si="2"/>
        <v>20</v>
      </c>
      <c r="H14" s="6">
        <f t="shared" ca="1" si="0"/>
        <v>0.10299999999999999</v>
      </c>
      <c r="I14" s="6">
        <f t="shared" ca="1" si="1"/>
        <v>2.06</v>
      </c>
      <c r="J14">
        <v>315669</v>
      </c>
      <c r="L14" s="6">
        <f>IFERROR(LOOKUP(IF(K14="",G14,K14),{0,1,10,50,100,250,500,1000,4000,8000,12000},{0,0.23,0.175,0.1252,0.1126,0.09508,0.08508,0.07257,0.0637,0.05847,0.05688}),"")</f>
        <v>0.17499999999999999</v>
      </c>
      <c r="M14" s="6">
        <f>IFERROR(IF(K14="",G14,K14)*L14,"")</f>
        <v>3.5</v>
      </c>
      <c r="N14" t="s">
        <v>111</v>
      </c>
      <c r="O14" s="7" t="s">
        <v>105</v>
      </c>
      <c r="P14">
        <v>82453</v>
      </c>
      <c r="R14" s="6">
        <f>IFERROR(LOOKUP(IF(Q14="",G14,Q14),{0,1,10,100,500,1000,4000,8000},{0,0.227,0.124,0.095,0.085,0.072,0.063,0.06}),"")</f>
        <v>0.124</v>
      </c>
      <c r="S14" s="6">
        <f>IFERROR(IF(Q14="",G14,Q14)*R14,"")</f>
        <v>2.48</v>
      </c>
      <c r="T14" t="s">
        <v>130</v>
      </c>
      <c r="U14" s="7" t="s">
        <v>105</v>
      </c>
      <c r="V14">
        <v>6460</v>
      </c>
      <c r="X14" s="6">
        <f>IFERROR(LOOKUP(IF(W14="",G14,W14),{0,1,50,100,500,1000,2500,5000,10000},{0,0.103,0.093,0.075,0.067,0.061,0.056,0.053,0.05}),"")</f>
        <v>0.10299999999999999</v>
      </c>
      <c r="Y14" s="6">
        <f>IFERROR(IF(W14="",G14,W14)*X14,"")</f>
        <v>2.06</v>
      </c>
      <c r="Z14" t="s">
        <v>149</v>
      </c>
      <c r="AA14" s="7" t="s">
        <v>105</v>
      </c>
    </row>
    <row r="15" spans="1:27" x14ac:dyDescent="0.25">
      <c r="A15" t="s">
        <v>41</v>
      </c>
      <c r="B15" t="s">
        <v>42</v>
      </c>
      <c r="D15" t="s">
        <v>43</v>
      </c>
      <c r="F15" t="s">
        <v>44</v>
      </c>
      <c r="G15">
        <f t="shared" si="2"/>
        <v>20</v>
      </c>
      <c r="H15" s="6">
        <f t="shared" ca="1" si="0"/>
        <v>0.01</v>
      </c>
      <c r="I15" s="6">
        <f t="shared" ca="1" si="1"/>
        <v>0.2</v>
      </c>
      <c r="J15">
        <v>10581313</v>
      </c>
      <c r="L15" s="6">
        <f>IFERROR(LOOKUP(IF(K15="",G15,K15),{0,1,10,25,100,250,500,1000,2500,5000,10000,25000,50000,125000},{0,0.1,0.014,0.01,0.0057,0.00436,0.00348,0.00257,0.00223,0.00167,0.00145,0.00128,0.00117,0.00115}),"")</f>
        <v>1.4E-2</v>
      </c>
      <c r="M15" s="6">
        <f>IFERROR(IF(K15="",G15,K15)*L15,"")</f>
        <v>0.28000000000000003</v>
      </c>
      <c r="N15" t="s">
        <v>112</v>
      </c>
      <c r="O15" s="7" t="s">
        <v>105</v>
      </c>
      <c r="P15">
        <v>1902372</v>
      </c>
      <c r="R15" s="6">
        <f>IFERROR(LOOKUP(IF(Q15="",G15,Q15),{0,1,10,100,1000,5000,10000},{0,0.099,0.01,0.003,0.002,0.002,0.001}),"")</f>
        <v>0.01</v>
      </c>
      <c r="S15" s="6">
        <f>IFERROR(IF(Q15="",G15,Q15)*R15,"")</f>
        <v>0.2</v>
      </c>
      <c r="T15" t="s">
        <v>131</v>
      </c>
      <c r="U15" s="7" t="s">
        <v>105</v>
      </c>
      <c r="V15">
        <v>64</v>
      </c>
      <c r="X15" s="6">
        <f>IFERROR(LOOKUP(IF(W15="",G15,W15),{0,1,10,25,100,250,1000},{0,0.09,0.015,0.011,0.006,0.004,0.003}),"")</f>
        <v>1.4999999999999999E-2</v>
      </c>
      <c r="Y15" s="6">
        <f>IFERROR(IF(W15="",G15,W15)*X15,"")</f>
        <v>0.3</v>
      </c>
      <c r="Z15" t="s">
        <v>150</v>
      </c>
      <c r="AA15" s="7" t="s">
        <v>105</v>
      </c>
    </row>
    <row r="16" spans="1:27" hidden="1" x14ac:dyDescent="0.25">
      <c r="A16" t="s">
        <v>45</v>
      </c>
      <c r="B16" t="s">
        <v>46</v>
      </c>
      <c r="D16" t="s">
        <v>47</v>
      </c>
      <c r="G16">
        <f>BoardQty*3</f>
        <v>60</v>
      </c>
      <c r="H16" s="6">
        <f t="shared" ca="1" si="0"/>
        <v>0</v>
      </c>
      <c r="I16" s="6">
        <f t="shared" ca="1" si="1"/>
        <v>0</v>
      </c>
    </row>
    <row r="17" spans="1:27" x14ac:dyDescent="0.25">
      <c r="A17" t="s">
        <v>48</v>
      </c>
      <c r="B17" t="s">
        <v>49</v>
      </c>
      <c r="D17" t="s">
        <v>50</v>
      </c>
      <c r="F17" t="s">
        <v>51</v>
      </c>
      <c r="G17">
        <f>BoardQty*1</f>
        <v>20</v>
      </c>
      <c r="H17" s="6">
        <f t="shared" ca="1" si="0"/>
        <v>0.26800000000000002</v>
      </c>
      <c r="I17" s="6">
        <f t="shared" ca="1" si="1"/>
        <v>5.36</v>
      </c>
      <c r="J17">
        <v>41300</v>
      </c>
      <c r="L17" s="6">
        <f>IFERROR(LOOKUP(IF(K17="",G17,K17),{0,1,10,25,50,100,250,500,1000,2900,5800},{0,0.28,0.268,0.2588,0.2494,0.2356,0.22176,0.21252,0.1617,0.147,0.1218}),"")</f>
        <v>0.26800000000000002</v>
      </c>
      <c r="M17" s="6">
        <f>IFERROR(IF(K17="",G17,K17)*L17,"")</f>
        <v>5.36</v>
      </c>
      <c r="N17" t="s">
        <v>113</v>
      </c>
      <c r="O17" s="7" t="s">
        <v>105</v>
      </c>
      <c r="P17">
        <v>6271</v>
      </c>
      <c r="R17" s="6">
        <f>IFERROR(LOOKUP(IF(Q17="",G17,Q17),{0,1,25,50,100,250,500,1000,2900,5800},{0,0.279,0.257,0.249,0.234,0.22,0.211,0.191,0.171,0.128}),"")</f>
        <v>0.27900000000000003</v>
      </c>
      <c r="S17" s="6">
        <f>IFERROR(IF(Q17="",G17,Q17)*R17,"")</f>
        <v>5.58</v>
      </c>
      <c r="T17" t="s">
        <v>132</v>
      </c>
      <c r="U17" s="7" t="s">
        <v>105</v>
      </c>
    </row>
    <row r="18" spans="1:27" x14ac:dyDescent="0.25">
      <c r="A18" t="s">
        <v>52</v>
      </c>
      <c r="B18" t="s">
        <v>53</v>
      </c>
      <c r="D18" t="s">
        <v>54</v>
      </c>
      <c r="F18" t="s">
        <v>55</v>
      </c>
      <c r="G18">
        <f>BoardQty*1</f>
        <v>20</v>
      </c>
      <c r="H18" s="6">
        <f t="shared" ca="1" si="0"/>
        <v>0.311</v>
      </c>
      <c r="I18" s="6">
        <f t="shared" ca="1" si="1"/>
        <v>6.22</v>
      </c>
      <c r="J18">
        <v>150329</v>
      </c>
      <c r="L18" s="6">
        <f>IFERROR(LOOKUP(IF(K18="",G18,K18),{0,1,10,25,50,100,250,500,1200,2400,6000,8400,12000,30000,60000},{0,0.46,0.433,0.3712,0.3156,0.3032,0.27224,0.25988,0.19688,0.18,0.16875,0.1575,0.15188,0.14963,0.14625}),"")</f>
        <v>0.433</v>
      </c>
      <c r="M18" s="6">
        <f>IFERROR(IF(K18="",G18,K18)*L18,"")</f>
        <v>8.66</v>
      </c>
      <c r="N18" t="s">
        <v>114</v>
      </c>
      <c r="O18" s="7" t="s">
        <v>105</v>
      </c>
      <c r="P18">
        <v>21362</v>
      </c>
      <c r="R18" s="6">
        <f>IFERROR(LOOKUP(IF(Q18="",G18,Q18),{0,1,10,100,500,1200,2400,4800,9600},{0,0.468,0.322,0.277,0.264,0.201,0.183,0.162,0.158}),"")</f>
        <v>0.32200000000000001</v>
      </c>
      <c r="S18" s="6">
        <f>IFERROR(IF(Q18="",G18,Q18)*R18,"")</f>
        <v>6.44</v>
      </c>
      <c r="T18" t="s">
        <v>133</v>
      </c>
      <c r="U18" s="7" t="s">
        <v>105</v>
      </c>
      <c r="V18">
        <v>9471</v>
      </c>
      <c r="X18" s="6">
        <f>IFERROR(LOOKUP(IF(W18="",G18,W18),{0,1,10,25,50,100,250,500,1000},{0,0.345,0.311,0.276,0.265,0.242,0.23,0.191,0.173}),"")</f>
        <v>0.311</v>
      </c>
      <c r="Y18" s="6">
        <f>IFERROR(IF(W18="",G18,W18)*X18,"")</f>
        <v>6.22</v>
      </c>
      <c r="Z18" t="s">
        <v>151</v>
      </c>
      <c r="AA18" s="7" t="s">
        <v>105</v>
      </c>
    </row>
    <row r="19" spans="1:27" hidden="1" x14ac:dyDescent="0.25">
      <c r="A19" t="s">
        <v>56</v>
      </c>
      <c r="B19" t="s">
        <v>57</v>
      </c>
      <c r="D19" t="s">
        <v>58</v>
      </c>
      <c r="F19" t="s">
        <v>8</v>
      </c>
      <c r="G19">
        <f>BoardQty*1</f>
        <v>20</v>
      </c>
      <c r="H19" s="6">
        <f t="shared" ca="1" si="0"/>
        <v>1.1000000000000001</v>
      </c>
      <c r="I19" s="6">
        <f t="shared" ca="1" si="1"/>
        <v>22</v>
      </c>
      <c r="P19">
        <v>149</v>
      </c>
      <c r="R19" s="6">
        <f>IFERROR(LOOKUP(IF(Q19="",G19,Q19),{0,1,25,50,100,200,500},{0,1.1,1.02,0.937,0.859,0.799,0.749}),"")</f>
        <v>1.1000000000000001</v>
      </c>
      <c r="S19" s="6">
        <f>IFERROR(IF(Q19="",G19,Q19)*R19,"")</f>
        <v>22</v>
      </c>
      <c r="T19" t="s">
        <v>134</v>
      </c>
      <c r="U19" s="7" t="s">
        <v>105</v>
      </c>
    </row>
    <row r="20" spans="1:27" hidden="1" x14ac:dyDescent="0.25">
      <c r="A20" t="s">
        <v>59</v>
      </c>
      <c r="B20" t="s">
        <v>60</v>
      </c>
      <c r="D20" t="s">
        <v>61</v>
      </c>
      <c r="G20">
        <f>BoardQty*1</f>
        <v>20</v>
      </c>
      <c r="H20" s="6">
        <f t="shared" ca="1" si="0"/>
        <v>0</v>
      </c>
      <c r="I20" s="6">
        <f t="shared" ca="1" si="1"/>
        <v>0</v>
      </c>
    </row>
    <row r="21" spans="1:27" x14ac:dyDescent="0.25">
      <c r="A21" t="s">
        <v>62</v>
      </c>
      <c r="B21" t="s">
        <v>63</v>
      </c>
      <c r="D21" t="s">
        <v>24</v>
      </c>
      <c r="F21" t="s">
        <v>64</v>
      </c>
      <c r="G21">
        <f>BoardQty*2</f>
        <v>40</v>
      </c>
      <c r="H21" s="6">
        <f t="shared" ca="1" si="0"/>
        <v>5.0799999999999998E-2</v>
      </c>
      <c r="I21" s="6">
        <f t="shared" ca="1" si="1"/>
        <v>2.032</v>
      </c>
      <c r="J21">
        <v>6084</v>
      </c>
      <c r="L21" s="6">
        <f>IFERROR(LOOKUP(IF(K21="",G21,K21),{0,1,10,25,100,250,500,1000,4000,8000,12000,28000,100000},{0,0.1,0.072,0.0508,0.0329,0.02692,0.02302,0.01794,0.01376,0.01256,0.01196,0.01136,0.00822}),"")</f>
        <v>5.0799999999999998E-2</v>
      </c>
      <c r="M21" s="6">
        <f>IFERROR(IF(K21="",G21,K21)*L21,"")</f>
        <v>2.032</v>
      </c>
      <c r="N21" t="s">
        <v>115</v>
      </c>
      <c r="O21" s="7" t="s">
        <v>105</v>
      </c>
      <c r="P21">
        <v>4215</v>
      </c>
      <c r="R21" s="6">
        <f>IFERROR(LOOKUP(IF(Q21="",G21,Q21),{0,1,10,100,1000,4000,24000,48000,100000},{0,0.099,0.052,0.024,0.019,0.013,0.012,0.011,0.009}),"")</f>
        <v>5.1999999999999998E-2</v>
      </c>
      <c r="S21" s="6">
        <f>IFERROR(IF(Q21="",G21,Q21)*R21,"")</f>
        <v>2.08</v>
      </c>
      <c r="T21" t="s">
        <v>135</v>
      </c>
      <c r="U21" s="7" t="s">
        <v>105</v>
      </c>
      <c r="V21">
        <v>3335</v>
      </c>
      <c r="X21" s="6">
        <f>IFERROR(LOOKUP(IF(W21="",G21,W21),{0,1,10,100,250,500,1000},{0,0.16,0.11,0.053,0.044,0.037,0.03}),"")</f>
        <v>0.11</v>
      </c>
      <c r="Y21" s="6">
        <f>IFERROR(IF(W21="",G21,W21)*X21,"")</f>
        <v>4.4000000000000004</v>
      </c>
      <c r="Z21" t="s">
        <v>152</v>
      </c>
      <c r="AA21" s="7" t="s">
        <v>105</v>
      </c>
    </row>
    <row r="22" spans="1:27" x14ac:dyDescent="0.25">
      <c r="A22" t="s">
        <v>65</v>
      </c>
      <c r="B22" t="s">
        <v>66</v>
      </c>
      <c r="D22" t="s">
        <v>67</v>
      </c>
      <c r="F22" t="s">
        <v>68</v>
      </c>
      <c r="G22">
        <f>BoardQty*1</f>
        <v>20</v>
      </c>
      <c r="H22" s="6">
        <f t="shared" ca="1" si="0"/>
        <v>0.187</v>
      </c>
      <c r="I22" s="6">
        <f t="shared" ca="1" si="1"/>
        <v>3.74</v>
      </c>
      <c r="J22">
        <v>5000</v>
      </c>
      <c r="L22" s="6">
        <f>IFERROR(LOOKUP(IF(K22="",G22,K22),{0,1,25,100,4500,5000},{0,0.19,0.16,0.14,0.24,0.14}),"")</f>
        <v>0.19</v>
      </c>
      <c r="M22" s="6">
        <f>IFERROR(IF(K22="",G22,K22)*L22,"")</f>
        <v>3.8</v>
      </c>
      <c r="N22" t="s">
        <v>116</v>
      </c>
      <c r="O22" s="7" t="s">
        <v>105</v>
      </c>
      <c r="P22">
        <v>4797</v>
      </c>
      <c r="R22" s="6">
        <f>IFERROR(LOOKUP(IF(Q22="",G22,Q22),{0,1,10,25,100,5000},{0,0.197,0.187,0.158,0.138,0.138}),"")</f>
        <v>0.187</v>
      </c>
      <c r="S22" s="6">
        <f>IFERROR(IF(Q22="",G22,Q22)*R22,"")</f>
        <v>3.74</v>
      </c>
      <c r="T22" t="s">
        <v>136</v>
      </c>
      <c r="U22" s="7" t="s">
        <v>105</v>
      </c>
    </row>
    <row r="23" spans="1:27" hidden="1" x14ac:dyDescent="0.25">
      <c r="A23" t="s">
        <v>69</v>
      </c>
      <c r="B23" t="s">
        <v>70</v>
      </c>
      <c r="D23" t="s">
        <v>71</v>
      </c>
      <c r="F23" t="s">
        <v>72</v>
      </c>
      <c r="G23">
        <f>BoardQty*1</f>
        <v>20</v>
      </c>
      <c r="H23" s="6">
        <f t="shared" ca="1" si="0"/>
        <v>0</v>
      </c>
      <c r="I23" s="6">
        <f t="shared" ca="1" si="1"/>
        <v>0</v>
      </c>
    </row>
    <row r="24" spans="1:27" x14ac:dyDescent="0.25">
      <c r="A24" t="s">
        <v>73</v>
      </c>
      <c r="B24" t="s">
        <v>74</v>
      </c>
      <c r="D24" t="s">
        <v>24</v>
      </c>
      <c r="F24" t="s">
        <v>75</v>
      </c>
      <c r="G24">
        <f>BoardQty*4</f>
        <v>80</v>
      </c>
      <c r="H24" s="6">
        <f t="shared" ca="1" si="0"/>
        <v>1.9199999999999998E-2</v>
      </c>
      <c r="I24" s="6">
        <f t="shared" ca="1" si="1"/>
        <v>1.5359999999999998</v>
      </c>
      <c r="J24">
        <v>1823681</v>
      </c>
      <c r="L24" s="6">
        <f>IFERROR(LOOKUP(IF(K24="",G24,K24),{0,1,10,25,100,250,500,1000,4000,8000,12000,28000,100000},{0,0.1,0.027,0.0192,0.0125,0.0102,0.00874,0.00681,0.00522,0.00477,0.00454,0.00431,0.00312}),"")</f>
        <v>1.9199999999999998E-2</v>
      </c>
      <c r="M24" s="6">
        <f>IFERROR(IF(K24="",G24,K24)*L24,"")</f>
        <v>1.5359999999999998</v>
      </c>
      <c r="N24" t="s">
        <v>117</v>
      </c>
      <c r="O24" s="7" t="s">
        <v>105</v>
      </c>
      <c r="P24">
        <v>696803</v>
      </c>
      <c r="R24" s="6">
        <f>IFERROR(LOOKUP(IF(Q24="",G24,Q24),{0,1,10,100,1000,4000,48000},{0,0.099,0.02,0.009,0.007,0.005,0.004}),"")</f>
        <v>0.02</v>
      </c>
      <c r="S24" s="6">
        <f>IFERROR(IF(Q24="",G24,Q24)*R24,"")</f>
        <v>1.6</v>
      </c>
      <c r="T24" t="s">
        <v>137</v>
      </c>
      <c r="U24" s="7" t="s">
        <v>105</v>
      </c>
      <c r="V24">
        <v>4188</v>
      </c>
      <c r="X24" s="6">
        <f>IFERROR(LOOKUP(IF(W24="",G24,W24),{0,1,10,25,100,250,500,1000},{0,0.1,0.036,0.026,0.014,0.011,0.008,0.006}),"")</f>
        <v>2.5999999999999999E-2</v>
      </c>
      <c r="Y24" s="6">
        <f>IFERROR(IF(W24="",G24,W24)*X24,"")</f>
        <v>2.08</v>
      </c>
      <c r="Z24" t="s">
        <v>153</v>
      </c>
      <c r="AA24" s="7" t="s">
        <v>105</v>
      </c>
    </row>
    <row r="25" spans="1:27" x14ac:dyDescent="0.25">
      <c r="A25" t="s">
        <v>76</v>
      </c>
      <c r="B25" t="s">
        <v>77</v>
      </c>
      <c r="D25" t="s">
        <v>43</v>
      </c>
      <c r="F25" t="s">
        <v>78</v>
      </c>
      <c r="G25">
        <f>BoardQty*1</f>
        <v>20</v>
      </c>
      <c r="H25" s="6">
        <f t="shared" ca="1" si="0"/>
        <v>0.01</v>
      </c>
      <c r="I25" s="6">
        <f t="shared" ca="1" si="1"/>
        <v>0.2</v>
      </c>
      <c r="J25">
        <v>1441547</v>
      </c>
      <c r="L25" s="6">
        <f>IFERROR(LOOKUP(IF(K25="",G25,K25),{0,1,10,25,100,250,500,1000,2500,5000,10000,25000,50000,125000},{0,0.1,0.014,0.01,0.0057,0.00436,0.00348,0.00257,0.00223,0.00167,0.00145,0.00128,0.00117,0.00115}),"")</f>
        <v>1.4E-2</v>
      </c>
      <c r="M25" s="6">
        <f>IFERROR(IF(K25="",G25,K25)*L25,"")</f>
        <v>0.28000000000000003</v>
      </c>
      <c r="N25" t="s">
        <v>118</v>
      </c>
      <c r="O25" s="7" t="s">
        <v>105</v>
      </c>
      <c r="P25">
        <v>220770</v>
      </c>
      <c r="R25" s="6">
        <f>IFERROR(LOOKUP(IF(Q25="",G25,Q25),{0,1,10,100,1000,5000,10000},{0,0.099,0.01,0.003,0.002,0.002,0.001}),"")</f>
        <v>0.01</v>
      </c>
      <c r="S25" s="6">
        <f>IFERROR(IF(Q25="",G25,Q25)*R25,"")</f>
        <v>0.2</v>
      </c>
      <c r="T25" t="s">
        <v>138</v>
      </c>
      <c r="U25" s="7" t="s">
        <v>105</v>
      </c>
      <c r="V25">
        <v>3513</v>
      </c>
      <c r="X25" s="6">
        <f>IFERROR(LOOKUP(IF(W25="",G25,W25),{0,1,10,25,100,250,1000},{0,0.09,0.015,0.011,0.006,0.004,0.003}),"")</f>
        <v>1.4999999999999999E-2</v>
      </c>
      <c r="Y25" s="6">
        <f>IFERROR(IF(W25="",G25,W25)*X25,"")</f>
        <v>0.3</v>
      </c>
      <c r="Z25" t="s">
        <v>154</v>
      </c>
      <c r="AA25" s="7" t="s">
        <v>105</v>
      </c>
    </row>
    <row r="26" spans="1:27" ht="15" hidden="1" customHeight="1" x14ac:dyDescent="0.25">
      <c r="A26" t="s">
        <v>79</v>
      </c>
      <c r="B26" t="s">
        <v>80</v>
      </c>
      <c r="D26" t="s">
        <v>81</v>
      </c>
      <c r="F26" t="s">
        <v>72</v>
      </c>
      <c r="G26">
        <f>BoardQty*1</f>
        <v>20</v>
      </c>
      <c r="H26" s="6">
        <f t="shared" ca="1" si="0"/>
        <v>0</v>
      </c>
      <c r="I26" s="6">
        <f t="shared" ca="1" si="1"/>
        <v>0</v>
      </c>
    </row>
    <row r="27" spans="1:27" x14ac:dyDescent="0.25">
      <c r="A27" t="s">
        <v>82</v>
      </c>
      <c r="B27" t="s">
        <v>83</v>
      </c>
      <c r="D27" t="s">
        <v>84</v>
      </c>
      <c r="F27" t="s">
        <v>85</v>
      </c>
      <c r="G27">
        <f>BoardQty*2</f>
        <v>40</v>
      </c>
      <c r="H27" s="6">
        <f t="shared" ca="1" si="0"/>
        <v>0.311</v>
      </c>
      <c r="I27" s="6">
        <f t="shared" ca="1" si="1"/>
        <v>12.44</v>
      </c>
      <c r="J27">
        <v>0</v>
      </c>
      <c r="L27" s="6">
        <f>IFERROR(LOOKUP(IF(K27="",G27,K27),{0,1,10,100,500,1000,5000,10000},{0,0.35,0.311,0.2558,0.20222,0.17359,0.15837,0.15228}),"")</f>
        <v>0.311</v>
      </c>
      <c r="M27" s="6">
        <f>IFERROR(IF(K27="",G27,K27)*L27,"")</f>
        <v>12.44</v>
      </c>
      <c r="N27" t="s">
        <v>119</v>
      </c>
      <c r="O27" s="7" t="s">
        <v>105</v>
      </c>
    </row>
    <row r="28" spans="1:27" x14ac:dyDescent="0.25">
      <c r="A28" t="s">
        <v>86</v>
      </c>
      <c r="B28" t="s">
        <v>87</v>
      </c>
      <c r="D28" t="s">
        <v>43</v>
      </c>
      <c r="F28" t="s">
        <v>88</v>
      </c>
      <c r="G28">
        <f>BoardQty*2</f>
        <v>40</v>
      </c>
      <c r="H28" s="6">
        <f t="shared" ca="1" si="0"/>
        <v>2E-3</v>
      </c>
      <c r="I28" s="6">
        <f t="shared" ca="1" si="1"/>
        <v>0.08</v>
      </c>
      <c r="J28">
        <v>634473</v>
      </c>
      <c r="L28" s="6">
        <f>IFERROR(LOOKUP(IF(K28="",G28,K28),{0,1,10,25,100,250,500,1000,2500,5000,10000,25000,50000,125000},{0,0.1,0.014,0.01,0.0057,0.00436,0.00348,0.00257,0.00223,0.00167,0.00145,0.00128,0.00117,0.00115}),"")</f>
        <v>0.01</v>
      </c>
      <c r="M28" s="6">
        <f>IFERROR(IF(K28="",G28,K28)*L28,"")</f>
        <v>0.4</v>
      </c>
      <c r="N28" t="s">
        <v>120</v>
      </c>
      <c r="O28" s="7" t="s">
        <v>105</v>
      </c>
      <c r="P28">
        <v>2084</v>
      </c>
      <c r="R28" s="6">
        <f>IFERROR(LOOKUP(IF(Q28="",G28,Q28),{0,1,10,100,1000,5000,10000},{0,0.099,0.01,0.003,0.002,0.002,0.001}),"")</f>
        <v>0.01</v>
      </c>
      <c r="S28" s="6">
        <f>IFERROR(IF(Q28="",G28,Q28)*R28,"")</f>
        <v>0.4</v>
      </c>
      <c r="T28" t="s">
        <v>139</v>
      </c>
      <c r="U28" s="7" t="s">
        <v>105</v>
      </c>
      <c r="V28">
        <v>10000</v>
      </c>
      <c r="X28" s="6">
        <f>IFERROR(LOOKUP(IF(W28="",G28,W28),{0,1,5000,10000,25000},{0,0.002,0.002,0.001,0.001}),"")</f>
        <v>2E-3</v>
      </c>
      <c r="Y28" s="6">
        <f>IFERROR(IF(W28="",G28,W28)*X28,"")</f>
        <v>0.08</v>
      </c>
      <c r="Z28" t="s">
        <v>155</v>
      </c>
      <c r="AA28" s="7" t="s">
        <v>105</v>
      </c>
    </row>
    <row r="29" spans="1:27" x14ac:dyDescent="0.25">
      <c r="A29" t="s">
        <v>89</v>
      </c>
      <c r="B29" t="s">
        <v>90</v>
      </c>
      <c r="D29" t="s">
        <v>91</v>
      </c>
      <c r="F29" t="s">
        <v>92</v>
      </c>
      <c r="G29">
        <f>BoardQty*1</f>
        <v>20</v>
      </c>
      <c r="H29" s="6">
        <f t="shared" ca="1" si="0"/>
        <v>0.57199999999999995</v>
      </c>
      <c r="I29" s="6">
        <f t="shared" ca="1" si="1"/>
        <v>11.44</v>
      </c>
      <c r="J29">
        <v>26765</v>
      </c>
      <c r="L29" s="6">
        <f>IFERROR(LOOKUP(IF(K29="",G29,K29),{0,1,10,50,100,500,1000,3000,6000,15000},{0,0.71,0.592,0.531,0.4725,0.45,0.378,0.3375,0.32625,0.315}),"")</f>
        <v>0.59199999999999997</v>
      </c>
      <c r="M29" s="6">
        <f>IFERROR(IF(K29="",G29,K29)*L29,"")</f>
        <v>11.84</v>
      </c>
      <c r="N29" t="s">
        <v>121</v>
      </c>
      <c r="O29" s="7" t="s">
        <v>105</v>
      </c>
      <c r="P29">
        <v>25232</v>
      </c>
      <c r="R29" s="6">
        <f>IFERROR(LOOKUP(IF(Q29="",G29,Q29),{0,1,10,50,100,500,1500,3000,6000,9000},{0,0.643,0.572,0.535,0.473,0.374,0.359,0.343,0.331,0.325}),"")</f>
        <v>0.57199999999999995</v>
      </c>
      <c r="S29" s="6">
        <f>IFERROR(IF(Q29="",G29,Q29)*R29,"")</f>
        <v>11.44</v>
      </c>
      <c r="T29" t="s">
        <v>140</v>
      </c>
      <c r="U29" s="7" t="s">
        <v>105</v>
      </c>
      <c r="V29">
        <v>7896</v>
      </c>
      <c r="X29" s="6">
        <f>IFERROR(LOOKUP(IF(W29="",G29,W29),{0,1,10,50,100,500,750,1000},{0,1.05,0.92,0.859,0.76,0.719,0.681,0.601}),"")</f>
        <v>0.92</v>
      </c>
      <c r="Y29" s="6">
        <f>IFERROR(IF(W29="",G29,W29)*X29,"")</f>
        <v>18.400000000000002</v>
      </c>
      <c r="Z29" t="s">
        <v>156</v>
      </c>
      <c r="AA29" s="7" t="s">
        <v>105</v>
      </c>
    </row>
    <row r="30" spans="1:27" x14ac:dyDescent="0.25">
      <c r="A30" t="s">
        <v>93</v>
      </c>
      <c r="B30" t="s">
        <v>94</v>
      </c>
      <c r="D30" t="s">
        <v>24</v>
      </c>
      <c r="F30" t="s">
        <v>95</v>
      </c>
      <c r="G30">
        <f>BoardQty*2</f>
        <v>40</v>
      </c>
      <c r="H30" s="6">
        <f t="shared" ca="1" si="0"/>
        <v>2.24E-2</v>
      </c>
      <c r="I30" s="6">
        <f t="shared" ca="1" si="1"/>
        <v>0.89600000000000002</v>
      </c>
      <c r="J30">
        <v>38067</v>
      </c>
      <c r="L30" s="6">
        <f>IFERROR(LOOKUP(IF(K30="",G30,K30),{0,1,10,25,100,250,500,1000,4000,8000,12000,28000,100000},{0,0.1,0.032,0.0224,0.0145,0.01188,0.01016,0.00792,0.00607,0.00554,0.00528,0.00502,0.00363}),"")</f>
        <v>2.24E-2</v>
      </c>
      <c r="M30" s="6">
        <f>IFERROR(IF(K30="",G30,K30)*L30,"")</f>
        <v>0.89600000000000002</v>
      </c>
      <c r="N30" t="s">
        <v>122</v>
      </c>
      <c r="O30" s="7" t="s">
        <v>105</v>
      </c>
      <c r="P30">
        <v>23130</v>
      </c>
      <c r="R30" s="6">
        <f>IFERROR(LOOKUP(IF(Q30="",G30,Q30),{0,1,10,100,1000,4000,100000},{0,0.099,0.024,0.011,0.008,0.005,0.004}),"")</f>
        <v>2.4E-2</v>
      </c>
      <c r="S30" s="6">
        <f>IFERROR(IF(Q30="",G30,Q30)*R30,"")</f>
        <v>0.96</v>
      </c>
      <c r="T30" t="s">
        <v>141</v>
      </c>
      <c r="U30" s="7" t="s">
        <v>105</v>
      </c>
      <c r="V30">
        <v>830</v>
      </c>
      <c r="X30" s="6">
        <f>IFERROR(LOOKUP(IF(W30="",G30,W30),{0,1,10,25,100,250,500,1000},{0,0.078,0.055,0.039,0.025,0.021,0.018,0.014}),"")</f>
        <v>3.9E-2</v>
      </c>
      <c r="Y30" s="6">
        <f>IFERROR(IF(W30="",G30,W30)*X30,"")</f>
        <v>1.56</v>
      </c>
      <c r="Z30" t="s">
        <v>157</v>
      </c>
      <c r="AA30" s="7" t="s">
        <v>105</v>
      </c>
    </row>
    <row r="31" spans="1:27" x14ac:dyDescent="0.25">
      <c r="M31" s="6"/>
    </row>
    <row r="32" spans="1:27" x14ac:dyDescent="0.25">
      <c r="K32" t="str">
        <f t="array" ref="K32">IFERROR(CONCATENATE(TEXT(INDEX($K$7:$K$30,SMALL(IF($N$7:$N$30&lt;&gt;"",IF($K$7:$K$30&lt;&gt;"",ROW($K$7:$K$30)-MIN(ROW($K$7:$K$30))+1,""),""),ROW()-ROW(A$32)+1)),"##0"),","),"")</f>
        <v/>
      </c>
      <c r="L32" t="str">
        <f t="array" ref="L32">IFERROR(CONCATENATE((INDEX($N$7:$N$30,SMALL(IF($N$7:$N$30&lt;&gt;"",IF($K$7:$K$30&lt;&gt;"",ROW($K$7:$K$30)-MIN(ROW($K$7:$K$30))+1,""),""),ROW()-ROW(A$32)+1))),","),"")</f>
        <v/>
      </c>
      <c r="M32" t="str">
        <f t="array" ref="M32">IFERROR(CONCATENATE((INDEX($A$7:$A$30,SMALL(IF($N$7:$N$30&lt;&gt;"",IF($K$7:$K$30&lt;&gt;"",ROW($K$7:$K$30)-MIN(ROW($K$7:$K$30))+1,""),""),ROW()-ROW(A$32)+1))),),"")</f>
        <v/>
      </c>
      <c r="Q32" t="str">
        <f t="array" ref="Q32">IFERROR(CONCATENATE((INDEX($T$7:$T$30,SMALL(IF($T$7:$T$30&lt;&gt;"",IF($Q$7:$Q$30&lt;&gt;"",ROW($Q$7:$Q$30)-MIN(ROW($Q$7:$Q$30))+1,""),""),ROW()-ROW(A$32)+1)))," "),"")</f>
        <v/>
      </c>
      <c r="R32" t="str">
        <f t="array" ref="R32">IFERROR(CONCATENATE(TEXT(INDEX($Q$7:$Q$30,SMALL(IF($T$7:$T$30&lt;&gt;"",IF($Q$7:$Q$30&lt;&gt;"",ROW($Q$7:$Q$30)-MIN(ROW($Q$7:$Q$30))+1,""),""),ROW()-ROW(A$32)+1)),"##0")," "),"")</f>
        <v/>
      </c>
      <c r="S32" t="str">
        <f t="array" ref="S32">IFERROR(CONCATENATE((INDEX($A$7:$A$30,SMALL(IF($T$7:$T$30&lt;&gt;"",IF($Q$7:$Q$30&lt;&gt;"",ROW($Q$7:$Q$30)-MIN(ROW($Q$7:$Q$30))+1,""),""),ROW()-ROW(A$32)+1))),),"")</f>
        <v/>
      </c>
      <c r="W32" t="str">
        <f t="array" ref="W32">IFERROR(CONCATENATE((INDEX($Z$7:$Z$30,SMALL(IF($Z$7:$Z$30&lt;&gt;"",IF($W$7:$W$30&lt;&gt;"",ROW($W$7:$W$30)-MIN(ROW($W$7:$W$30))+1,""),""),ROW()-ROW(A$32)+1))),","),"")</f>
        <v/>
      </c>
      <c r="X32" t="str">
        <f t="array" ref="X32">IFERROR(CONCATENATE(TEXT(INDEX($W$7:$W$30,SMALL(IF($Z$7:$Z$30&lt;&gt;"",IF($W$7:$W$30&lt;&gt;"",ROW($W$7:$W$30)-MIN(ROW($W$7:$W$30))+1,""),""),ROW()-ROW(A$32)+1)),"##0"),","),"")</f>
        <v/>
      </c>
      <c r="Y32" t="str">
        <f t="array" ref="Y32">IFERROR(CONCATENATE((INDEX($A$7:$A$30,SMALL(IF($Z$7:$Z$30&lt;&gt;"",IF($W$7:$W$30&lt;&gt;"",ROW($W$7:$W$30)-MIN(ROW($W$7:$W$30))+1,""),""),ROW()-ROW(A$32)+1))),),"")</f>
        <v/>
      </c>
    </row>
    <row r="33" spans="11:25" x14ac:dyDescent="0.25">
      <c r="K33" t="str">
        <f t="array" ref="K33">IFERROR(CONCATENATE(TEXT(INDEX($K$7:$K$30,SMALL(IF($N$7:$N$30&lt;&gt;"",IF($K$7:$K$30&lt;&gt;"",ROW($K$7:$K$30)-MIN(ROW($K$7:$K$30))+1,""),""),ROW()-ROW(A$32)+1)),"##0"),","),"")</f>
        <v/>
      </c>
      <c r="L33" t="str">
        <f t="array" ref="L33">IFERROR(CONCATENATE((INDEX($N$7:$N$30,SMALL(IF($N$7:$N$30&lt;&gt;"",IF($K$7:$K$30&lt;&gt;"",ROW($K$7:$K$30)-MIN(ROW($K$7:$K$30))+1,""),""),ROW()-ROW(A$32)+1))),","),"")</f>
        <v/>
      </c>
      <c r="M33" t="str">
        <f t="array" ref="M33">IFERROR(CONCATENATE((INDEX($A$7:$A$30,SMALL(IF($N$7:$N$30&lt;&gt;"",IF($K$7:$K$30&lt;&gt;"",ROW($K$7:$K$30)-MIN(ROW($K$7:$K$30))+1,""),""),ROW()-ROW(A$32)+1))),),"")</f>
        <v/>
      </c>
      <c r="Q33" t="str">
        <f t="array" ref="Q33">IFERROR(CONCATENATE((INDEX($T$7:$T$30,SMALL(IF($T$7:$T$30&lt;&gt;"",IF($Q$7:$Q$30&lt;&gt;"",ROW($Q$7:$Q$30)-MIN(ROW($Q$7:$Q$30))+1,""),""),ROW()-ROW(A$32)+1)))," "),"")</f>
        <v/>
      </c>
      <c r="R33" t="str">
        <f t="array" ref="R33">IFERROR(CONCATENATE(TEXT(INDEX($Q$7:$Q$30,SMALL(IF($T$7:$T$30&lt;&gt;"",IF($Q$7:$Q$30&lt;&gt;"",ROW($Q$7:$Q$30)-MIN(ROW($Q$7:$Q$30))+1,""),""),ROW()-ROW(A$32)+1)),"##0")," "),"")</f>
        <v/>
      </c>
      <c r="S33" t="str">
        <f t="array" ref="S33">IFERROR(CONCATENATE((INDEX($A$7:$A$30,SMALL(IF($T$7:$T$30&lt;&gt;"",IF($Q$7:$Q$30&lt;&gt;"",ROW($Q$7:$Q$30)-MIN(ROW($Q$7:$Q$30))+1,""),""),ROW()-ROW(A$32)+1))),),"")</f>
        <v/>
      </c>
      <c r="W33" t="str">
        <f t="array" ref="W33">IFERROR(CONCATENATE((INDEX($Z$7:$Z$30,SMALL(IF($Z$7:$Z$30&lt;&gt;"",IF($W$7:$W$30&lt;&gt;"",ROW($W$7:$W$30)-MIN(ROW($W$7:$W$30))+1,""),""),ROW()-ROW(A$32)+1))),","),"")</f>
        <v/>
      </c>
      <c r="X33" t="str">
        <f t="array" ref="X33">IFERROR(CONCATENATE(TEXT(INDEX($W$7:$W$30,SMALL(IF($Z$7:$Z$30&lt;&gt;"",IF($W$7:$W$30&lt;&gt;"",ROW($W$7:$W$30)-MIN(ROW($W$7:$W$30))+1,""),""),ROW()-ROW(A$32)+1)),"##0"),","),"")</f>
        <v/>
      </c>
      <c r="Y33" t="str">
        <f t="array" ref="Y33">IFERROR(CONCATENATE((INDEX($A$7:$A$30,SMALL(IF($Z$7:$Z$30&lt;&gt;"",IF($W$7:$W$30&lt;&gt;"",ROW($W$7:$W$30)-MIN(ROW($W$7:$W$30))+1,""),""),ROW()-ROW(A$32)+1))),),"")</f>
        <v/>
      </c>
    </row>
    <row r="34" spans="11:25" x14ac:dyDescent="0.25">
      <c r="K34" t="str">
        <f t="array" ref="K34">IFERROR(CONCATENATE(TEXT(INDEX($K$7:$K$30,SMALL(IF($N$7:$N$30&lt;&gt;"",IF($K$7:$K$30&lt;&gt;"",ROW($K$7:$K$30)-MIN(ROW($K$7:$K$30))+1,""),""),ROW()-ROW(A$32)+1)),"##0"),","),"")</f>
        <v/>
      </c>
      <c r="L34" t="str">
        <f t="array" ref="L34">IFERROR(CONCATENATE((INDEX($N$7:$N$30,SMALL(IF($N$7:$N$30&lt;&gt;"",IF($K$7:$K$30&lt;&gt;"",ROW($K$7:$K$30)-MIN(ROW($K$7:$K$30))+1,""),""),ROW()-ROW(A$32)+1))),","),"")</f>
        <v/>
      </c>
      <c r="M34" t="str">
        <f t="array" ref="M34">IFERROR(CONCATENATE((INDEX($A$7:$A$30,SMALL(IF($N$7:$N$30&lt;&gt;"",IF($K$7:$K$30&lt;&gt;"",ROW($K$7:$K$30)-MIN(ROW($K$7:$K$30))+1,""),""),ROW()-ROW(A$32)+1))),),"")</f>
        <v/>
      </c>
      <c r="Q34" t="str">
        <f t="array" ref="Q34">IFERROR(CONCATENATE((INDEX($T$7:$T$30,SMALL(IF($T$7:$T$30&lt;&gt;"",IF($Q$7:$Q$30&lt;&gt;"",ROW($Q$7:$Q$30)-MIN(ROW($Q$7:$Q$30))+1,""),""),ROW()-ROW(A$32)+1)))," "),"")</f>
        <v/>
      </c>
      <c r="R34" t="str">
        <f t="array" ref="R34">IFERROR(CONCATENATE(TEXT(INDEX($Q$7:$Q$30,SMALL(IF($T$7:$T$30&lt;&gt;"",IF($Q$7:$Q$30&lt;&gt;"",ROW($Q$7:$Q$30)-MIN(ROW($Q$7:$Q$30))+1,""),""),ROW()-ROW(A$32)+1)),"##0")," "),"")</f>
        <v/>
      </c>
      <c r="S34" t="str">
        <f t="array" ref="S34">IFERROR(CONCATENATE((INDEX($A$7:$A$30,SMALL(IF($T$7:$T$30&lt;&gt;"",IF($Q$7:$Q$30&lt;&gt;"",ROW($Q$7:$Q$30)-MIN(ROW($Q$7:$Q$30))+1,""),""),ROW()-ROW(A$32)+1))),),"")</f>
        <v/>
      </c>
      <c r="W34" t="str">
        <f t="array" ref="W34">IFERROR(CONCATENATE((INDEX($Z$7:$Z$30,SMALL(IF($Z$7:$Z$30&lt;&gt;"",IF($W$7:$W$30&lt;&gt;"",ROW($W$7:$W$30)-MIN(ROW($W$7:$W$30))+1,""),""),ROW()-ROW(A$32)+1))),","),"")</f>
        <v/>
      </c>
      <c r="X34" t="str">
        <f t="array" ref="X34">IFERROR(CONCATENATE(TEXT(INDEX($W$7:$W$30,SMALL(IF($Z$7:$Z$30&lt;&gt;"",IF($W$7:$W$30&lt;&gt;"",ROW($W$7:$W$30)-MIN(ROW($W$7:$W$30))+1,""),""),ROW()-ROW(A$32)+1)),"##0"),","),"")</f>
        <v/>
      </c>
      <c r="Y34" t="str">
        <f t="array" ref="Y34">IFERROR(CONCATENATE((INDEX($A$7:$A$30,SMALL(IF($Z$7:$Z$30&lt;&gt;"",IF($W$7:$W$30&lt;&gt;"",ROW($W$7:$W$30)-MIN(ROW($W$7:$W$30))+1,""),""),ROW()-ROW(A$32)+1))),),"")</f>
        <v/>
      </c>
    </row>
    <row r="35" spans="11:25" x14ac:dyDescent="0.25">
      <c r="K35" t="str">
        <f t="array" ref="K35">IFERROR(CONCATENATE(TEXT(INDEX($K$7:$K$30,SMALL(IF($N$7:$N$30&lt;&gt;"",IF($K$7:$K$30&lt;&gt;"",ROW($K$7:$K$30)-MIN(ROW($K$7:$K$30))+1,""),""),ROW()-ROW(A$32)+1)),"##0"),","),"")</f>
        <v/>
      </c>
      <c r="L35" t="str">
        <f t="array" ref="L35">IFERROR(CONCATENATE((INDEX($N$7:$N$30,SMALL(IF($N$7:$N$30&lt;&gt;"",IF($K$7:$K$30&lt;&gt;"",ROW($K$7:$K$30)-MIN(ROW($K$7:$K$30))+1,""),""),ROW()-ROW(A$32)+1))),","),"")</f>
        <v/>
      </c>
      <c r="M35" t="str">
        <f t="array" ref="M35">IFERROR(CONCATENATE((INDEX($A$7:$A$30,SMALL(IF($N$7:$N$30&lt;&gt;"",IF($K$7:$K$30&lt;&gt;"",ROW($K$7:$K$30)-MIN(ROW($K$7:$K$30))+1,""),""),ROW()-ROW(A$32)+1))),),"")</f>
        <v/>
      </c>
      <c r="Q35" t="str">
        <f t="array" ref="Q35">IFERROR(CONCATENATE((INDEX($T$7:$T$30,SMALL(IF($T$7:$T$30&lt;&gt;"",IF($Q$7:$Q$30&lt;&gt;"",ROW($Q$7:$Q$30)-MIN(ROW($Q$7:$Q$30))+1,""),""),ROW()-ROW(A$32)+1)))," "),"")</f>
        <v/>
      </c>
      <c r="R35" t="str">
        <f t="array" ref="R35">IFERROR(CONCATENATE(TEXT(INDEX($Q$7:$Q$30,SMALL(IF($T$7:$T$30&lt;&gt;"",IF($Q$7:$Q$30&lt;&gt;"",ROW($Q$7:$Q$30)-MIN(ROW($Q$7:$Q$30))+1,""),""),ROW()-ROW(A$32)+1)),"##0")," "),"")</f>
        <v/>
      </c>
      <c r="S35" t="str">
        <f t="array" ref="S35">IFERROR(CONCATENATE((INDEX($A$7:$A$30,SMALL(IF($T$7:$T$30&lt;&gt;"",IF($Q$7:$Q$30&lt;&gt;"",ROW($Q$7:$Q$30)-MIN(ROW($Q$7:$Q$30))+1,""),""),ROW()-ROW(A$32)+1))),),"")</f>
        <v/>
      </c>
      <c r="W35" t="str">
        <f t="array" ref="W35">IFERROR(CONCATENATE((INDEX($Z$7:$Z$30,SMALL(IF($Z$7:$Z$30&lt;&gt;"",IF($W$7:$W$30&lt;&gt;"",ROW($W$7:$W$30)-MIN(ROW($W$7:$W$30))+1,""),""),ROW()-ROW(A$32)+1))),","),"")</f>
        <v/>
      </c>
      <c r="X35" t="str">
        <f t="array" ref="X35">IFERROR(CONCATENATE(TEXT(INDEX($W$7:$W$30,SMALL(IF($Z$7:$Z$30&lt;&gt;"",IF($W$7:$W$30&lt;&gt;"",ROW($W$7:$W$30)-MIN(ROW($W$7:$W$30))+1,""),""),ROW()-ROW(A$32)+1)),"##0"),","),"")</f>
        <v/>
      </c>
      <c r="Y35" t="str">
        <f t="array" ref="Y35">IFERROR(CONCATENATE((INDEX($A$7:$A$30,SMALL(IF($Z$7:$Z$30&lt;&gt;"",IF($W$7:$W$30&lt;&gt;"",ROW($W$7:$W$30)-MIN(ROW($W$7:$W$30))+1,""),""),ROW()-ROW(A$32)+1))),),"")</f>
        <v/>
      </c>
    </row>
    <row r="36" spans="11:25" x14ac:dyDescent="0.25">
      <c r="K36" t="str">
        <f t="array" ref="K36">IFERROR(CONCATENATE(TEXT(INDEX($K$7:$K$30,SMALL(IF($N$7:$N$30&lt;&gt;"",IF($K$7:$K$30&lt;&gt;"",ROW($K$7:$K$30)-MIN(ROW($K$7:$K$30))+1,""),""),ROW()-ROW(A$32)+1)),"##0"),","),"")</f>
        <v/>
      </c>
      <c r="L36" t="str">
        <f t="array" ref="L36">IFERROR(CONCATENATE((INDEX($N$7:$N$30,SMALL(IF($N$7:$N$30&lt;&gt;"",IF($K$7:$K$30&lt;&gt;"",ROW($K$7:$K$30)-MIN(ROW($K$7:$K$30))+1,""),""),ROW()-ROW(A$32)+1))),","),"")</f>
        <v/>
      </c>
      <c r="M36" t="str">
        <f t="array" ref="M36">IFERROR(CONCATENATE((INDEX($A$7:$A$30,SMALL(IF($N$7:$N$30&lt;&gt;"",IF($K$7:$K$30&lt;&gt;"",ROW($K$7:$K$30)-MIN(ROW($K$7:$K$30))+1,""),""),ROW()-ROW(A$32)+1))),),"")</f>
        <v/>
      </c>
      <c r="Q36" t="str">
        <f t="array" ref="Q36">IFERROR(CONCATENATE((INDEX($T$7:$T$30,SMALL(IF($T$7:$T$30&lt;&gt;"",IF($Q$7:$Q$30&lt;&gt;"",ROW($Q$7:$Q$30)-MIN(ROW($Q$7:$Q$30))+1,""),""),ROW()-ROW(A$32)+1)))," "),"")</f>
        <v/>
      </c>
      <c r="R36" t="str">
        <f t="array" ref="R36">IFERROR(CONCATENATE(TEXT(INDEX($Q$7:$Q$30,SMALL(IF($T$7:$T$30&lt;&gt;"",IF($Q$7:$Q$30&lt;&gt;"",ROW($Q$7:$Q$30)-MIN(ROW($Q$7:$Q$30))+1,""),""),ROW()-ROW(A$32)+1)),"##0")," "),"")</f>
        <v/>
      </c>
      <c r="S36" t="str">
        <f t="array" ref="S36">IFERROR(CONCATENATE((INDEX($A$7:$A$30,SMALL(IF($T$7:$T$30&lt;&gt;"",IF($Q$7:$Q$30&lt;&gt;"",ROW($Q$7:$Q$30)-MIN(ROW($Q$7:$Q$30))+1,""),""),ROW()-ROW(A$32)+1))),),"")</f>
        <v/>
      </c>
      <c r="W36" t="str">
        <f t="array" ref="W36">IFERROR(CONCATENATE((INDEX($Z$7:$Z$30,SMALL(IF($Z$7:$Z$30&lt;&gt;"",IF($W$7:$W$30&lt;&gt;"",ROW($W$7:$W$30)-MIN(ROW($W$7:$W$30))+1,""),""),ROW()-ROW(A$32)+1))),","),"")</f>
        <v/>
      </c>
      <c r="X36" t="str">
        <f t="array" ref="X36">IFERROR(CONCATENATE(TEXT(INDEX($W$7:$W$30,SMALL(IF($Z$7:$Z$30&lt;&gt;"",IF($W$7:$W$30&lt;&gt;"",ROW($W$7:$W$30)-MIN(ROW($W$7:$W$30))+1,""),""),ROW()-ROW(A$32)+1)),"##0"),","),"")</f>
        <v/>
      </c>
      <c r="Y36" t="str">
        <f t="array" ref="Y36">IFERROR(CONCATENATE((INDEX($A$7:$A$30,SMALL(IF($Z$7:$Z$30&lt;&gt;"",IF($W$7:$W$30&lt;&gt;"",ROW($W$7:$W$30)-MIN(ROW($W$7:$W$30))+1,""),""),ROW()-ROW(A$32)+1))),),"")</f>
        <v/>
      </c>
    </row>
    <row r="37" spans="11:25" x14ac:dyDescent="0.25">
      <c r="K37" t="str">
        <f t="array" ref="K37">IFERROR(CONCATENATE(TEXT(INDEX($K$7:$K$30,SMALL(IF($N$7:$N$30&lt;&gt;"",IF($K$7:$K$30&lt;&gt;"",ROW($K$7:$K$30)-MIN(ROW($K$7:$K$30))+1,""),""),ROW()-ROW(A$32)+1)),"##0"),","),"")</f>
        <v/>
      </c>
      <c r="L37" t="str">
        <f t="array" ref="L37">IFERROR(CONCATENATE((INDEX($N$7:$N$30,SMALL(IF($N$7:$N$30&lt;&gt;"",IF($K$7:$K$30&lt;&gt;"",ROW($K$7:$K$30)-MIN(ROW($K$7:$K$30))+1,""),""),ROW()-ROW(A$32)+1))),","),"")</f>
        <v/>
      </c>
      <c r="M37" t="str">
        <f t="array" ref="M37">IFERROR(CONCATENATE((INDEX($A$7:$A$30,SMALL(IF($N$7:$N$30&lt;&gt;"",IF($K$7:$K$30&lt;&gt;"",ROW($K$7:$K$30)-MIN(ROW($K$7:$K$30))+1,""),""),ROW()-ROW(A$32)+1))),),"")</f>
        <v/>
      </c>
      <c r="Q37" t="str">
        <f t="array" ref="Q37">IFERROR(CONCATENATE((INDEX($T$7:$T$30,SMALL(IF($T$7:$T$30&lt;&gt;"",IF($Q$7:$Q$30&lt;&gt;"",ROW($Q$7:$Q$30)-MIN(ROW($Q$7:$Q$30))+1,""),""),ROW()-ROW(A$32)+1)))," "),"")</f>
        <v/>
      </c>
      <c r="R37" t="str">
        <f t="array" ref="R37">IFERROR(CONCATENATE(TEXT(INDEX($Q$7:$Q$30,SMALL(IF($T$7:$T$30&lt;&gt;"",IF($Q$7:$Q$30&lt;&gt;"",ROW($Q$7:$Q$30)-MIN(ROW($Q$7:$Q$30))+1,""),""),ROW()-ROW(A$32)+1)),"##0")," "),"")</f>
        <v/>
      </c>
      <c r="S37" t="str">
        <f t="array" ref="S37">IFERROR(CONCATENATE((INDEX($A$7:$A$30,SMALL(IF($T$7:$T$30&lt;&gt;"",IF($Q$7:$Q$30&lt;&gt;"",ROW($Q$7:$Q$30)-MIN(ROW($Q$7:$Q$30))+1,""),""),ROW()-ROW(A$32)+1))),),"")</f>
        <v/>
      </c>
      <c r="W37" t="str">
        <f t="array" ref="W37">IFERROR(CONCATENATE((INDEX($Z$7:$Z$30,SMALL(IF($Z$7:$Z$30&lt;&gt;"",IF($W$7:$W$30&lt;&gt;"",ROW($W$7:$W$30)-MIN(ROW($W$7:$W$30))+1,""),""),ROW()-ROW(A$32)+1))),","),"")</f>
        <v/>
      </c>
      <c r="X37" t="str">
        <f t="array" ref="X37">IFERROR(CONCATENATE(TEXT(INDEX($W$7:$W$30,SMALL(IF($Z$7:$Z$30&lt;&gt;"",IF($W$7:$W$30&lt;&gt;"",ROW($W$7:$W$30)-MIN(ROW($W$7:$W$30))+1,""),""),ROW()-ROW(A$32)+1)),"##0"),","),"")</f>
        <v/>
      </c>
      <c r="Y37" t="str">
        <f t="array" ref="Y37">IFERROR(CONCATENATE((INDEX($A$7:$A$30,SMALL(IF($Z$7:$Z$30&lt;&gt;"",IF($W$7:$W$30&lt;&gt;"",ROW($W$7:$W$30)-MIN(ROW($W$7:$W$30))+1,""),""),ROW()-ROW(A$32)+1))),),"")</f>
        <v/>
      </c>
    </row>
    <row r="38" spans="11:25" x14ac:dyDescent="0.25">
      <c r="K38" t="str">
        <f t="array" ref="K38">IFERROR(CONCATENATE(TEXT(INDEX($K$7:$K$30,SMALL(IF($N$7:$N$30&lt;&gt;"",IF($K$7:$K$30&lt;&gt;"",ROW($K$7:$K$30)-MIN(ROW($K$7:$K$30))+1,""),""),ROW()-ROW(A$32)+1)),"##0"),","),"")</f>
        <v/>
      </c>
      <c r="L38" t="str">
        <f t="array" ref="L38">IFERROR(CONCATENATE((INDEX($N$7:$N$30,SMALL(IF($N$7:$N$30&lt;&gt;"",IF($K$7:$K$30&lt;&gt;"",ROW($K$7:$K$30)-MIN(ROW($K$7:$K$30))+1,""),""),ROW()-ROW(A$32)+1))),","),"")</f>
        <v/>
      </c>
      <c r="M38" t="str">
        <f t="array" ref="M38">IFERROR(CONCATENATE((INDEX($A$7:$A$30,SMALL(IF($N$7:$N$30&lt;&gt;"",IF($K$7:$K$30&lt;&gt;"",ROW($K$7:$K$30)-MIN(ROW($K$7:$K$30))+1,""),""),ROW()-ROW(A$32)+1))),),"")</f>
        <v/>
      </c>
      <c r="Q38" t="str">
        <f t="array" ref="Q38">IFERROR(CONCATENATE((INDEX($T$7:$T$30,SMALL(IF($T$7:$T$30&lt;&gt;"",IF($Q$7:$Q$30&lt;&gt;"",ROW($Q$7:$Q$30)-MIN(ROW($Q$7:$Q$30))+1,""),""),ROW()-ROW(A$32)+1)))," "),"")</f>
        <v/>
      </c>
      <c r="R38" t="str">
        <f t="array" ref="R38">IFERROR(CONCATENATE(TEXT(INDEX($Q$7:$Q$30,SMALL(IF($T$7:$T$30&lt;&gt;"",IF($Q$7:$Q$30&lt;&gt;"",ROW($Q$7:$Q$30)-MIN(ROW($Q$7:$Q$30))+1,""),""),ROW()-ROW(A$32)+1)),"##0")," "),"")</f>
        <v/>
      </c>
      <c r="S38" t="str">
        <f t="array" ref="S38">IFERROR(CONCATENATE((INDEX($A$7:$A$30,SMALL(IF($T$7:$T$30&lt;&gt;"",IF($Q$7:$Q$30&lt;&gt;"",ROW($Q$7:$Q$30)-MIN(ROW($Q$7:$Q$30))+1,""),""),ROW()-ROW(A$32)+1))),),"")</f>
        <v/>
      </c>
      <c r="W38" t="str">
        <f t="array" ref="W38">IFERROR(CONCATENATE((INDEX($Z$7:$Z$30,SMALL(IF($Z$7:$Z$30&lt;&gt;"",IF($W$7:$W$30&lt;&gt;"",ROW($W$7:$W$30)-MIN(ROW($W$7:$W$30))+1,""),""),ROW()-ROW(A$32)+1))),","),"")</f>
        <v/>
      </c>
      <c r="X38" t="str">
        <f t="array" ref="X38">IFERROR(CONCATENATE(TEXT(INDEX($W$7:$W$30,SMALL(IF($Z$7:$Z$30&lt;&gt;"",IF($W$7:$W$30&lt;&gt;"",ROW($W$7:$W$30)-MIN(ROW($W$7:$W$30))+1,""),""),ROW()-ROW(A$32)+1)),"##0"),","),"")</f>
        <v/>
      </c>
      <c r="Y38" t="str">
        <f t="array" ref="Y38">IFERROR(CONCATENATE((INDEX($A$7:$A$30,SMALL(IF($Z$7:$Z$30&lt;&gt;"",IF($W$7:$W$30&lt;&gt;"",ROW($W$7:$W$30)-MIN(ROW($W$7:$W$30))+1,""),""),ROW()-ROW(A$32)+1))),),"")</f>
        <v/>
      </c>
    </row>
    <row r="39" spans="11:25" x14ac:dyDescent="0.25">
      <c r="K39" t="str">
        <f t="array" ref="K39">IFERROR(CONCATENATE(TEXT(INDEX($K$7:$K$30,SMALL(IF($N$7:$N$30&lt;&gt;"",IF($K$7:$K$30&lt;&gt;"",ROW($K$7:$K$30)-MIN(ROW($K$7:$K$30))+1,""),""),ROW()-ROW(A$32)+1)),"##0"),","),"")</f>
        <v/>
      </c>
      <c r="L39" t="str">
        <f t="array" ref="L39">IFERROR(CONCATENATE((INDEX($N$7:$N$30,SMALL(IF($N$7:$N$30&lt;&gt;"",IF($K$7:$K$30&lt;&gt;"",ROW($K$7:$K$30)-MIN(ROW($K$7:$K$30))+1,""),""),ROW()-ROW(A$32)+1))),","),"")</f>
        <v/>
      </c>
      <c r="M39" t="str">
        <f t="array" ref="M39">IFERROR(CONCATENATE((INDEX($A$7:$A$30,SMALL(IF($N$7:$N$30&lt;&gt;"",IF($K$7:$K$30&lt;&gt;"",ROW($K$7:$K$30)-MIN(ROW($K$7:$K$30))+1,""),""),ROW()-ROW(A$32)+1))),),"")</f>
        <v/>
      </c>
      <c r="Q39" t="str">
        <f t="array" ref="Q39">IFERROR(CONCATENATE((INDEX($T$7:$T$30,SMALL(IF($T$7:$T$30&lt;&gt;"",IF($Q$7:$Q$30&lt;&gt;"",ROW($Q$7:$Q$30)-MIN(ROW($Q$7:$Q$30))+1,""),""),ROW()-ROW(A$32)+1)))," "),"")</f>
        <v/>
      </c>
      <c r="R39" t="str">
        <f t="array" ref="R39">IFERROR(CONCATENATE(TEXT(INDEX($Q$7:$Q$30,SMALL(IF($T$7:$T$30&lt;&gt;"",IF($Q$7:$Q$30&lt;&gt;"",ROW($Q$7:$Q$30)-MIN(ROW($Q$7:$Q$30))+1,""),""),ROW()-ROW(A$32)+1)),"##0")," "),"")</f>
        <v/>
      </c>
      <c r="S39" t="str">
        <f t="array" ref="S39">IFERROR(CONCATENATE((INDEX($A$7:$A$30,SMALL(IF($T$7:$T$30&lt;&gt;"",IF($Q$7:$Q$30&lt;&gt;"",ROW($Q$7:$Q$30)-MIN(ROW($Q$7:$Q$30))+1,""),""),ROW()-ROW(A$32)+1))),),"")</f>
        <v/>
      </c>
      <c r="W39" t="str">
        <f t="array" ref="W39">IFERROR(CONCATENATE((INDEX($Z$7:$Z$30,SMALL(IF($Z$7:$Z$30&lt;&gt;"",IF($W$7:$W$30&lt;&gt;"",ROW($W$7:$W$30)-MIN(ROW($W$7:$W$30))+1,""),""),ROW()-ROW(A$32)+1))),","),"")</f>
        <v/>
      </c>
      <c r="X39" t="str">
        <f t="array" ref="X39">IFERROR(CONCATENATE(TEXT(INDEX($W$7:$W$30,SMALL(IF($Z$7:$Z$30&lt;&gt;"",IF($W$7:$W$30&lt;&gt;"",ROW($W$7:$W$30)-MIN(ROW($W$7:$W$30))+1,""),""),ROW()-ROW(A$32)+1)),"##0"),","),"")</f>
        <v/>
      </c>
      <c r="Y39" t="str">
        <f t="array" ref="Y39">IFERROR(CONCATENATE((INDEX($A$7:$A$30,SMALL(IF($Z$7:$Z$30&lt;&gt;"",IF($W$7:$W$30&lt;&gt;"",ROW($W$7:$W$30)-MIN(ROW($W$7:$W$30))+1,""),""),ROW()-ROW(A$32)+1))),),"")</f>
        <v/>
      </c>
    </row>
    <row r="40" spans="11:25" x14ac:dyDescent="0.25">
      <c r="K40" t="str">
        <f t="array" ref="K40">IFERROR(CONCATENATE(TEXT(INDEX($K$7:$K$30,SMALL(IF($N$7:$N$30&lt;&gt;"",IF($K$7:$K$30&lt;&gt;"",ROW($K$7:$K$30)-MIN(ROW($K$7:$K$30))+1,""),""),ROW()-ROW(A$32)+1)),"##0"),","),"")</f>
        <v/>
      </c>
      <c r="L40" t="str">
        <f t="array" ref="L40">IFERROR(CONCATENATE((INDEX($N$7:$N$30,SMALL(IF($N$7:$N$30&lt;&gt;"",IF($K$7:$K$30&lt;&gt;"",ROW($K$7:$K$30)-MIN(ROW($K$7:$K$30))+1,""),""),ROW()-ROW(A$32)+1))),","),"")</f>
        <v/>
      </c>
      <c r="M40" t="str">
        <f t="array" ref="M40">IFERROR(CONCATENATE((INDEX($A$7:$A$30,SMALL(IF($N$7:$N$30&lt;&gt;"",IF($K$7:$K$30&lt;&gt;"",ROW($K$7:$K$30)-MIN(ROW($K$7:$K$30))+1,""),""),ROW()-ROW(A$32)+1))),),"")</f>
        <v/>
      </c>
      <c r="Q40" t="str">
        <f t="array" ref="Q40">IFERROR(CONCATENATE((INDEX($T$7:$T$30,SMALL(IF($T$7:$T$30&lt;&gt;"",IF($Q$7:$Q$30&lt;&gt;"",ROW($Q$7:$Q$30)-MIN(ROW($Q$7:$Q$30))+1,""),""),ROW()-ROW(A$32)+1)))," "),"")</f>
        <v/>
      </c>
      <c r="R40" t="str">
        <f t="array" ref="R40">IFERROR(CONCATENATE(TEXT(INDEX($Q$7:$Q$30,SMALL(IF($T$7:$T$30&lt;&gt;"",IF($Q$7:$Q$30&lt;&gt;"",ROW($Q$7:$Q$30)-MIN(ROW($Q$7:$Q$30))+1,""),""),ROW()-ROW(A$32)+1)),"##0")," "),"")</f>
        <v/>
      </c>
      <c r="S40" t="str">
        <f t="array" ref="S40">IFERROR(CONCATENATE((INDEX($A$7:$A$30,SMALL(IF($T$7:$T$30&lt;&gt;"",IF($Q$7:$Q$30&lt;&gt;"",ROW($Q$7:$Q$30)-MIN(ROW($Q$7:$Q$30))+1,""),""),ROW()-ROW(A$32)+1))),),"")</f>
        <v/>
      </c>
      <c r="W40" t="str">
        <f t="array" ref="W40">IFERROR(CONCATENATE((INDEX($Z$7:$Z$30,SMALL(IF($Z$7:$Z$30&lt;&gt;"",IF($W$7:$W$30&lt;&gt;"",ROW($W$7:$W$30)-MIN(ROW($W$7:$W$30))+1,""),""),ROW()-ROW(A$32)+1))),","),"")</f>
        <v/>
      </c>
      <c r="X40" t="str">
        <f t="array" ref="X40">IFERROR(CONCATENATE(TEXT(INDEX($W$7:$W$30,SMALL(IF($Z$7:$Z$30&lt;&gt;"",IF($W$7:$W$30&lt;&gt;"",ROW($W$7:$W$30)-MIN(ROW($W$7:$W$30))+1,""),""),ROW()-ROW(A$32)+1)),"##0"),","),"")</f>
        <v/>
      </c>
      <c r="Y40" t="str">
        <f t="array" ref="Y40">IFERROR(CONCATENATE((INDEX($A$7:$A$30,SMALL(IF($Z$7:$Z$30&lt;&gt;"",IF($W$7:$W$30&lt;&gt;"",ROW($W$7:$W$30)-MIN(ROW($W$7:$W$30))+1,""),""),ROW()-ROW(A$32)+1))),),"")</f>
        <v/>
      </c>
    </row>
    <row r="41" spans="11:25" x14ac:dyDescent="0.25">
      <c r="K41" t="str">
        <f t="array" ref="K41">IFERROR(CONCATENATE(TEXT(INDEX($K$7:$K$30,SMALL(IF($N$7:$N$30&lt;&gt;"",IF($K$7:$K$30&lt;&gt;"",ROW($K$7:$K$30)-MIN(ROW($K$7:$K$30))+1,""),""),ROW()-ROW(A$32)+1)),"##0"),","),"")</f>
        <v/>
      </c>
      <c r="L41" t="str">
        <f t="array" ref="L41">IFERROR(CONCATENATE((INDEX($N$7:$N$30,SMALL(IF($N$7:$N$30&lt;&gt;"",IF($K$7:$K$30&lt;&gt;"",ROW($K$7:$K$30)-MIN(ROW($K$7:$K$30))+1,""),""),ROW()-ROW(A$32)+1))),","),"")</f>
        <v/>
      </c>
      <c r="M41" t="str">
        <f t="array" ref="M41">IFERROR(CONCATENATE((INDEX($A$7:$A$30,SMALL(IF($N$7:$N$30&lt;&gt;"",IF($K$7:$K$30&lt;&gt;"",ROW($K$7:$K$30)-MIN(ROW($K$7:$K$30))+1,""),""),ROW()-ROW(A$32)+1))),),"")</f>
        <v/>
      </c>
      <c r="Q41" t="str">
        <f t="array" ref="Q41">IFERROR(CONCATENATE((INDEX($T$7:$T$30,SMALL(IF($T$7:$T$30&lt;&gt;"",IF($Q$7:$Q$30&lt;&gt;"",ROW($Q$7:$Q$30)-MIN(ROW($Q$7:$Q$30))+1,""),""),ROW()-ROW(A$32)+1)))," "),"")</f>
        <v/>
      </c>
      <c r="R41" t="str">
        <f t="array" ref="R41">IFERROR(CONCATENATE(TEXT(INDEX($Q$7:$Q$30,SMALL(IF($T$7:$T$30&lt;&gt;"",IF($Q$7:$Q$30&lt;&gt;"",ROW($Q$7:$Q$30)-MIN(ROW($Q$7:$Q$30))+1,""),""),ROW()-ROW(A$32)+1)),"##0")," "),"")</f>
        <v/>
      </c>
      <c r="S41" t="str">
        <f t="array" ref="S41">IFERROR(CONCATENATE((INDEX($A$7:$A$30,SMALL(IF($T$7:$T$30&lt;&gt;"",IF($Q$7:$Q$30&lt;&gt;"",ROW($Q$7:$Q$30)-MIN(ROW($Q$7:$Q$30))+1,""),""),ROW()-ROW(A$32)+1))),),"")</f>
        <v/>
      </c>
      <c r="W41" t="str">
        <f t="array" ref="W41">IFERROR(CONCATENATE((INDEX($Z$7:$Z$30,SMALL(IF($Z$7:$Z$30&lt;&gt;"",IF($W$7:$W$30&lt;&gt;"",ROW($W$7:$W$30)-MIN(ROW($W$7:$W$30))+1,""),""),ROW()-ROW(A$32)+1))),","),"")</f>
        <v/>
      </c>
      <c r="X41" t="str">
        <f t="array" ref="X41">IFERROR(CONCATENATE(TEXT(INDEX($W$7:$W$30,SMALL(IF($Z$7:$Z$30&lt;&gt;"",IF($W$7:$W$30&lt;&gt;"",ROW($W$7:$W$30)-MIN(ROW($W$7:$W$30))+1,""),""),ROW()-ROW(A$32)+1)),"##0"),","),"")</f>
        <v/>
      </c>
      <c r="Y41" t="str">
        <f t="array" ref="Y41">IFERROR(CONCATENATE((INDEX($A$7:$A$30,SMALL(IF($Z$7:$Z$30&lt;&gt;"",IF($W$7:$W$30&lt;&gt;"",ROW($W$7:$W$30)-MIN(ROW($W$7:$W$30))+1,""),""),ROW()-ROW(A$32)+1))),),"")</f>
        <v/>
      </c>
    </row>
    <row r="42" spans="11:25" x14ac:dyDescent="0.25">
      <c r="K42" t="str">
        <f t="array" ref="K42">IFERROR(CONCATENATE(TEXT(INDEX($K$7:$K$30,SMALL(IF($N$7:$N$30&lt;&gt;"",IF($K$7:$K$30&lt;&gt;"",ROW($K$7:$K$30)-MIN(ROW($K$7:$K$30))+1,""),""),ROW()-ROW(A$32)+1)),"##0"),","),"")</f>
        <v/>
      </c>
      <c r="L42" t="str">
        <f t="array" ref="L42">IFERROR(CONCATENATE((INDEX($N$7:$N$30,SMALL(IF($N$7:$N$30&lt;&gt;"",IF($K$7:$K$30&lt;&gt;"",ROW($K$7:$K$30)-MIN(ROW($K$7:$K$30))+1,""),""),ROW()-ROW(A$32)+1))),","),"")</f>
        <v/>
      </c>
      <c r="M42" t="str">
        <f t="array" ref="M42">IFERROR(CONCATENATE((INDEX($A$7:$A$30,SMALL(IF($N$7:$N$30&lt;&gt;"",IF($K$7:$K$30&lt;&gt;"",ROW($K$7:$K$30)-MIN(ROW($K$7:$K$30))+1,""),""),ROW()-ROW(A$32)+1))),),"")</f>
        <v/>
      </c>
      <c r="Q42" t="str">
        <f t="array" ref="Q42">IFERROR(CONCATENATE((INDEX($T$7:$T$30,SMALL(IF($T$7:$T$30&lt;&gt;"",IF($Q$7:$Q$30&lt;&gt;"",ROW($Q$7:$Q$30)-MIN(ROW($Q$7:$Q$30))+1,""),""),ROW()-ROW(A$32)+1)))," "),"")</f>
        <v/>
      </c>
      <c r="R42" t="str">
        <f t="array" ref="R42">IFERROR(CONCATENATE(TEXT(INDEX($Q$7:$Q$30,SMALL(IF($T$7:$T$30&lt;&gt;"",IF($Q$7:$Q$30&lt;&gt;"",ROW($Q$7:$Q$30)-MIN(ROW($Q$7:$Q$30))+1,""),""),ROW()-ROW(A$32)+1)),"##0")," "),"")</f>
        <v/>
      </c>
      <c r="S42" t="str">
        <f t="array" ref="S42">IFERROR(CONCATENATE((INDEX($A$7:$A$30,SMALL(IF($T$7:$T$30&lt;&gt;"",IF($Q$7:$Q$30&lt;&gt;"",ROW($Q$7:$Q$30)-MIN(ROW($Q$7:$Q$30))+1,""),""),ROW()-ROW(A$32)+1))),),"")</f>
        <v/>
      </c>
      <c r="W42" t="str">
        <f t="array" ref="W42">IFERROR(CONCATENATE((INDEX($Z$7:$Z$30,SMALL(IF($Z$7:$Z$30&lt;&gt;"",IF($W$7:$W$30&lt;&gt;"",ROW($W$7:$W$30)-MIN(ROW($W$7:$W$30))+1,""),""),ROW()-ROW(A$32)+1))),","),"")</f>
        <v/>
      </c>
      <c r="X42" t="str">
        <f t="array" ref="X42">IFERROR(CONCATENATE(TEXT(INDEX($W$7:$W$30,SMALL(IF($Z$7:$Z$30&lt;&gt;"",IF($W$7:$W$30&lt;&gt;"",ROW($W$7:$W$30)-MIN(ROW($W$7:$W$30))+1,""),""),ROW()-ROW(A$32)+1)),"##0"),","),"")</f>
        <v/>
      </c>
      <c r="Y42" t="str">
        <f t="array" ref="Y42">IFERROR(CONCATENATE((INDEX($A$7:$A$30,SMALL(IF($Z$7:$Z$30&lt;&gt;"",IF($W$7:$W$30&lt;&gt;"",ROW($W$7:$W$30)-MIN(ROW($W$7:$W$30))+1,""),""),ROW()-ROW(A$32)+1))),),"")</f>
        <v/>
      </c>
    </row>
    <row r="43" spans="11:25" x14ac:dyDescent="0.25">
      <c r="K43" t="str">
        <f t="array" ref="K43">IFERROR(CONCATENATE(TEXT(INDEX($K$7:$K$30,SMALL(IF($N$7:$N$30&lt;&gt;"",IF($K$7:$K$30&lt;&gt;"",ROW($K$7:$K$30)-MIN(ROW($K$7:$K$30))+1,""),""),ROW()-ROW(A$32)+1)),"##0"),","),"")</f>
        <v/>
      </c>
      <c r="L43" t="str">
        <f t="array" ref="L43">IFERROR(CONCATENATE((INDEX($N$7:$N$30,SMALL(IF($N$7:$N$30&lt;&gt;"",IF($K$7:$K$30&lt;&gt;"",ROW($K$7:$K$30)-MIN(ROW($K$7:$K$30))+1,""),""),ROW()-ROW(A$32)+1))),","),"")</f>
        <v/>
      </c>
      <c r="M43" t="str">
        <f t="array" ref="M43">IFERROR(CONCATENATE((INDEX($A$7:$A$30,SMALL(IF($N$7:$N$30&lt;&gt;"",IF($K$7:$K$30&lt;&gt;"",ROW($K$7:$K$30)-MIN(ROW($K$7:$K$30))+1,""),""),ROW()-ROW(A$32)+1))),),"")</f>
        <v/>
      </c>
      <c r="Q43" t="str">
        <f t="array" ref="Q43">IFERROR(CONCATENATE((INDEX($T$7:$T$30,SMALL(IF($T$7:$T$30&lt;&gt;"",IF($Q$7:$Q$30&lt;&gt;"",ROW($Q$7:$Q$30)-MIN(ROW($Q$7:$Q$30))+1,""),""),ROW()-ROW(A$32)+1)))," "),"")</f>
        <v/>
      </c>
      <c r="R43" t="str">
        <f t="array" ref="R43">IFERROR(CONCATENATE(TEXT(INDEX($Q$7:$Q$30,SMALL(IF($T$7:$T$30&lt;&gt;"",IF($Q$7:$Q$30&lt;&gt;"",ROW($Q$7:$Q$30)-MIN(ROW($Q$7:$Q$30))+1,""),""),ROW()-ROW(A$32)+1)),"##0")," "),"")</f>
        <v/>
      </c>
      <c r="S43" t="str">
        <f t="array" ref="S43">IFERROR(CONCATENATE((INDEX($A$7:$A$30,SMALL(IF($T$7:$T$30&lt;&gt;"",IF($Q$7:$Q$30&lt;&gt;"",ROW($Q$7:$Q$30)-MIN(ROW($Q$7:$Q$30))+1,""),""),ROW()-ROW(A$32)+1))),),"")</f>
        <v/>
      </c>
      <c r="W43" t="str">
        <f t="array" ref="W43">IFERROR(CONCATENATE((INDEX($Z$7:$Z$30,SMALL(IF($Z$7:$Z$30&lt;&gt;"",IF($W$7:$W$30&lt;&gt;"",ROW($W$7:$W$30)-MIN(ROW($W$7:$W$30))+1,""),""),ROW()-ROW(A$32)+1))),","),"")</f>
        <v/>
      </c>
      <c r="X43" t="str">
        <f t="array" ref="X43">IFERROR(CONCATENATE(TEXT(INDEX($W$7:$W$30,SMALL(IF($Z$7:$Z$30&lt;&gt;"",IF($W$7:$W$30&lt;&gt;"",ROW($W$7:$W$30)-MIN(ROW($W$7:$W$30))+1,""),""),ROW()-ROW(A$32)+1)),"##0"),","),"")</f>
        <v/>
      </c>
      <c r="Y43" t="str">
        <f t="array" ref="Y43">IFERROR(CONCATENATE((INDEX($A$7:$A$30,SMALL(IF($Z$7:$Z$30&lt;&gt;"",IF($W$7:$W$30&lt;&gt;"",ROW($W$7:$W$30)-MIN(ROW($W$7:$W$30))+1,""),""),ROW()-ROW(A$32)+1))),),"")</f>
        <v/>
      </c>
    </row>
    <row r="44" spans="11:25" x14ac:dyDescent="0.25">
      <c r="K44" t="str">
        <f t="array" ref="K44">IFERROR(CONCATENATE(TEXT(INDEX($K$7:$K$30,SMALL(IF($N$7:$N$30&lt;&gt;"",IF($K$7:$K$30&lt;&gt;"",ROW($K$7:$K$30)-MIN(ROW($K$7:$K$30))+1,""),""),ROW()-ROW(A$32)+1)),"##0"),","),"")</f>
        <v/>
      </c>
      <c r="L44" t="str">
        <f t="array" ref="L44">IFERROR(CONCATENATE((INDEX($N$7:$N$30,SMALL(IF($N$7:$N$30&lt;&gt;"",IF($K$7:$K$30&lt;&gt;"",ROW($K$7:$K$30)-MIN(ROW($K$7:$K$30))+1,""),""),ROW()-ROW(A$32)+1))),","),"")</f>
        <v/>
      </c>
      <c r="M44" t="str">
        <f t="array" ref="M44">IFERROR(CONCATENATE((INDEX($A$7:$A$30,SMALL(IF($N$7:$N$30&lt;&gt;"",IF($K$7:$K$30&lt;&gt;"",ROW($K$7:$K$30)-MIN(ROW($K$7:$K$30))+1,""),""),ROW()-ROW(A$32)+1))),),"")</f>
        <v/>
      </c>
      <c r="Q44" t="str">
        <f t="array" ref="Q44">IFERROR(CONCATENATE((INDEX($T$7:$T$30,SMALL(IF($T$7:$T$30&lt;&gt;"",IF($Q$7:$Q$30&lt;&gt;"",ROW($Q$7:$Q$30)-MIN(ROW($Q$7:$Q$30))+1,""),""),ROW()-ROW(A$32)+1)))," "),"")</f>
        <v/>
      </c>
      <c r="R44" t="str">
        <f t="array" ref="R44">IFERROR(CONCATENATE(TEXT(INDEX($Q$7:$Q$30,SMALL(IF($T$7:$T$30&lt;&gt;"",IF($Q$7:$Q$30&lt;&gt;"",ROW($Q$7:$Q$30)-MIN(ROW($Q$7:$Q$30))+1,""),""),ROW()-ROW(A$32)+1)),"##0")," "),"")</f>
        <v/>
      </c>
      <c r="S44" t="str">
        <f t="array" ref="S44">IFERROR(CONCATENATE((INDEX($A$7:$A$30,SMALL(IF($T$7:$T$30&lt;&gt;"",IF($Q$7:$Q$30&lt;&gt;"",ROW($Q$7:$Q$30)-MIN(ROW($Q$7:$Q$30))+1,""),""),ROW()-ROW(A$32)+1))),),"")</f>
        <v/>
      </c>
      <c r="W44" t="str">
        <f t="array" ref="W44">IFERROR(CONCATENATE((INDEX($Z$7:$Z$30,SMALL(IF($Z$7:$Z$30&lt;&gt;"",IF($W$7:$W$30&lt;&gt;"",ROW($W$7:$W$30)-MIN(ROW($W$7:$W$30))+1,""),""),ROW()-ROW(A$32)+1))),","),"")</f>
        <v/>
      </c>
      <c r="X44" t="str">
        <f t="array" ref="X44">IFERROR(CONCATENATE(TEXT(INDEX($W$7:$W$30,SMALL(IF($Z$7:$Z$30&lt;&gt;"",IF($W$7:$W$30&lt;&gt;"",ROW($W$7:$W$30)-MIN(ROW($W$7:$W$30))+1,""),""),ROW()-ROW(A$32)+1)),"##0"),","),"")</f>
        <v/>
      </c>
      <c r="Y44" t="str">
        <f t="array" ref="Y44">IFERROR(CONCATENATE((INDEX($A$7:$A$30,SMALL(IF($Z$7:$Z$30&lt;&gt;"",IF($W$7:$W$30&lt;&gt;"",ROW($W$7:$W$30)-MIN(ROW($W$7:$W$30))+1,""),""),ROW()-ROW(A$32)+1))),),"")</f>
        <v/>
      </c>
    </row>
    <row r="45" spans="11:25" x14ac:dyDescent="0.25">
      <c r="K45" t="str">
        <f t="array" ref="K45">IFERROR(CONCATENATE(TEXT(INDEX($K$7:$K$30,SMALL(IF($N$7:$N$30&lt;&gt;"",IF($K$7:$K$30&lt;&gt;"",ROW($K$7:$K$30)-MIN(ROW($K$7:$K$30))+1,""),""),ROW()-ROW(A$32)+1)),"##0"),","),"")</f>
        <v/>
      </c>
      <c r="L45" t="str">
        <f t="array" ref="L45">IFERROR(CONCATENATE((INDEX($N$7:$N$30,SMALL(IF($N$7:$N$30&lt;&gt;"",IF($K$7:$K$30&lt;&gt;"",ROW($K$7:$K$30)-MIN(ROW($K$7:$K$30))+1,""),""),ROW()-ROW(A$32)+1))),","),"")</f>
        <v/>
      </c>
      <c r="M45" t="str">
        <f t="array" ref="M45">IFERROR(CONCATENATE((INDEX($A$7:$A$30,SMALL(IF($N$7:$N$30&lt;&gt;"",IF($K$7:$K$30&lt;&gt;"",ROW($K$7:$K$30)-MIN(ROW($K$7:$K$30))+1,""),""),ROW()-ROW(A$32)+1))),),"")</f>
        <v/>
      </c>
      <c r="Q45" t="str">
        <f t="array" ref="Q45">IFERROR(CONCATENATE((INDEX($T$7:$T$30,SMALL(IF($T$7:$T$30&lt;&gt;"",IF($Q$7:$Q$30&lt;&gt;"",ROW($Q$7:$Q$30)-MIN(ROW($Q$7:$Q$30))+1,""),""),ROW()-ROW(A$32)+1)))," "),"")</f>
        <v/>
      </c>
      <c r="R45" t="str">
        <f t="array" ref="R45">IFERROR(CONCATENATE(TEXT(INDEX($Q$7:$Q$30,SMALL(IF($T$7:$T$30&lt;&gt;"",IF($Q$7:$Q$30&lt;&gt;"",ROW($Q$7:$Q$30)-MIN(ROW($Q$7:$Q$30))+1,""),""),ROW()-ROW(A$32)+1)),"##0")," "),"")</f>
        <v/>
      </c>
      <c r="S45" t="str">
        <f t="array" ref="S45">IFERROR(CONCATENATE((INDEX($A$7:$A$30,SMALL(IF($T$7:$T$30&lt;&gt;"",IF($Q$7:$Q$30&lt;&gt;"",ROW($Q$7:$Q$30)-MIN(ROW($Q$7:$Q$30))+1,""),""),ROW()-ROW(A$32)+1))),),"")</f>
        <v/>
      </c>
      <c r="W45" t="str">
        <f t="array" ref="W45">IFERROR(CONCATENATE((INDEX($Z$7:$Z$30,SMALL(IF($Z$7:$Z$30&lt;&gt;"",IF($W$7:$W$30&lt;&gt;"",ROW($W$7:$W$30)-MIN(ROW($W$7:$W$30))+1,""),""),ROW()-ROW(A$32)+1))),","),"")</f>
        <v/>
      </c>
      <c r="X45" t="str">
        <f t="array" ref="X45">IFERROR(CONCATENATE(TEXT(INDEX($W$7:$W$30,SMALL(IF($Z$7:$Z$30&lt;&gt;"",IF($W$7:$W$30&lt;&gt;"",ROW($W$7:$W$30)-MIN(ROW($W$7:$W$30))+1,""),""),ROW()-ROW(A$32)+1)),"##0"),","),"")</f>
        <v/>
      </c>
      <c r="Y45" t="str">
        <f t="array" ref="Y45">IFERROR(CONCATENATE((INDEX($A$7:$A$30,SMALL(IF($Z$7:$Z$30&lt;&gt;"",IF($W$7:$W$30&lt;&gt;"",ROW($W$7:$W$30)-MIN(ROW($W$7:$W$30))+1,""),""),ROW()-ROW(A$32)+1))),),"")</f>
        <v/>
      </c>
    </row>
    <row r="46" spans="11:25" x14ac:dyDescent="0.25">
      <c r="K46" t="str">
        <f t="array" ref="K46">IFERROR(CONCATENATE(TEXT(INDEX($K$7:$K$30,SMALL(IF($N$7:$N$30&lt;&gt;"",IF($K$7:$K$30&lt;&gt;"",ROW($K$7:$K$30)-MIN(ROW($K$7:$K$30))+1,""),""),ROW()-ROW(A$32)+1)),"##0"),","),"")</f>
        <v/>
      </c>
      <c r="L46" t="str">
        <f t="array" ref="L46">IFERROR(CONCATENATE((INDEX($N$7:$N$30,SMALL(IF($N$7:$N$30&lt;&gt;"",IF($K$7:$K$30&lt;&gt;"",ROW($K$7:$K$30)-MIN(ROW($K$7:$K$30))+1,""),""),ROW()-ROW(A$32)+1))),","),"")</f>
        <v/>
      </c>
      <c r="M46" t="str">
        <f t="array" ref="M46">IFERROR(CONCATENATE((INDEX($A$7:$A$30,SMALL(IF($N$7:$N$30&lt;&gt;"",IF($K$7:$K$30&lt;&gt;"",ROW($K$7:$K$30)-MIN(ROW($K$7:$K$30))+1,""),""),ROW()-ROW(A$32)+1))),),"")</f>
        <v/>
      </c>
      <c r="Q46" t="str">
        <f t="array" ref="Q46">IFERROR(CONCATENATE((INDEX($T$7:$T$30,SMALL(IF($T$7:$T$30&lt;&gt;"",IF($Q$7:$Q$30&lt;&gt;"",ROW($Q$7:$Q$30)-MIN(ROW($Q$7:$Q$30))+1,""),""),ROW()-ROW(A$32)+1)))," "),"")</f>
        <v/>
      </c>
      <c r="R46" t="str">
        <f t="array" ref="R46">IFERROR(CONCATENATE(TEXT(INDEX($Q$7:$Q$30,SMALL(IF($T$7:$T$30&lt;&gt;"",IF($Q$7:$Q$30&lt;&gt;"",ROW($Q$7:$Q$30)-MIN(ROW($Q$7:$Q$30))+1,""),""),ROW()-ROW(A$32)+1)),"##0")," "),"")</f>
        <v/>
      </c>
      <c r="S46" t="str">
        <f t="array" ref="S46">IFERROR(CONCATENATE((INDEX($A$7:$A$30,SMALL(IF($T$7:$T$30&lt;&gt;"",IF($Q$7:$Q$30&lt;&gt;"",ROW($Q$7:$Q$30)-MIN(ROW($Q$7:$Q$30))+1,""),""),ROW()-ROW(A$32)+1))),),"")</f>
        <v/>
      </c>
      <c r="W46" t="str">
        <f t="array" ref="W46">IFERROR(CONCATENATE((INDEX($Z$7:$Z$30,SMALL(IF($Z$7:$Z$30&lt;&gt;"",IF($W$7:$W$30&lt;&gt;"",ROW($W$7:$W$30)-MIN(ROW($W$7:$W$30))+1,""),""),ROW()-ROW(A$32)+1))),","),"")</f>
        <v/>
      </c>
      <c r="X46" t="str">
        <f t="array" ref="X46">IFERROR(CONCATENATE(TEXT(INDEX($W$7:$W$30,SMALL(IF($Z$7:$Z$30&lt;&gt;"",IF($W$7:$W$30&lt;&gt;"",ROW($W$7:$W$30)-MIN(ROW($W$7:$W$30))+1,""),""),ROW()-ROW(A$32)+1)),"##0"),","),"")</f>
        <v/>
      </c>
      <c r="Y46" t="str">
        <f t="array" ref="Y46">IFERROR(CONCATENATE((INDEX($A$7:$A$30,SMALL(IF($Z$7:$Z$30&lt;&gt;"",IF($W$7:$W$30&lt;&gt;"",ROW($W$7:$W$30)-MIN(ROW($W$7:$W$30))+1,""),""),ROW()-ROW(A$32)+1))),),"")</f>
        <v/>
      </c>
    </row>
    <row r="47" spans="11:25" x14ac:dyDescent="0.25">
      <c r="K47" t="str">
        <f t="array" ref="K47">IFERROR(CONCATENATE(TEXT(INDEX($K$7:$K$30,SMALL(IF($N$7:$N$30&lt;&gt;"",IF($K$7:$K$30&lt;&gt;"",ROW($K$7:$K$30)-MIN(ROW($K$7:$K$30))+1,""),""),ROW()-ROW(A$32)+1)),"##0"),","),"")</f>
        <v/>
      </c>
      <c r="L47" t="str">
        <f t="array" ref="L47">IFERROR(CONCATENATE((INDEX($N$7:$N$30,SMALL(IF($N$7:$N$30&lt;&gt;"",IF($K$7:$K$30&lt;&gt;"",ROW($K$7:$K$30)-MIN(ROW($K$7:$K$30))+1,""),""),ROW()-ROW(A$32)+1))),","),"")</f>
        <v/>
      </c>
      <c r="M47" t="str">
        <f t="array" ref="M47">IFERROR(CONCATENATE((INDEX($A$7:$A$30,SMALL(IF($N$7:$N$30&lt;&gt;"",IF($K$7:$K$30&lt;&gt;"",ROW($K$7:$K$30)-MIN(ROW($K$7:$K$30))+1,""),""),ROW()-ROW(A$32)+1))),),"")</f>
        <v/>
      </c>
      <c r="Q47" t="str">
        <f t="array" ref="Q47">IFERROR(CONCATENATE((INDEX($T$7:$T$30,SMALL(IF($T$7:$T$30&lt;&gt;"",IF($Q$7:$Q$30&lt;&gt;"",ROW($Q$7:$Q$30)-MIN(ROW($Q$7:$Q$30))+1,""),""),ROW()-ROW(A$32)+1)))," "),"")</f>
        <v/>
      </c>
      <c r="R47" t="str">
        <f t="array" ref="R47">IFERROR(CONCATENATE(TEXT(INDEX($Q$7:$Q$30,SMALL(IF($T$7:$T$30&lt;&gt;"",IF($Q$7:$Q$30&lt;&gt;"",ROW($Q$7:$Q$30)-MIN(ROW($Q$7:$Q$30))+1,""),""),ROW()-ROW(A$32)+1)),"##0")," "),"")</f>
        <v/>
      </c>
      <c r="S47" t="str">
        <f t="array" ref="S47">IFERROR(CONCATENATE((INDEX($A$7:$A$30,SMALL(IF($T$7:$T$30&lt;&gt;"",IF($Q$7:$Q$30&lt;&gt;"",ROW($Q$7:$Q$30)-MIN(ROW($Q$7:$Q$30))+1,""),""),ROW()-ROW(A$32)+1))),),"")</f>
        <v/>
      </c>
      <c r="W47" t="str">
        <f t="array" ref="W47">IFERROR(CONCATENATE((INDEX($Z$7:$Z$30,SMALL(IF($Z$7:$Z$30&lt;&gt;"",IF($W$7:$W$30&lt;&gt;"",ROW($W$7:$W$30)-MIN(ROW($W$7:$W$30))+1,""),""),ROW()-ROW(A$32)+1))),","),"")</f>
        <v/>
      </c>
      <c r="X47" t="str">
        <f t="array" ref="X47">IFERROR(CONCATENATE(TEXT(INDEX($W$7:$W$30,SMALL(IF($Z$7:$Z$30&lt;&gt;"",IF($W$7:$W$30&lt;&gt;"",ROW($W$7:$W$30)-MIN(ROW($W$7:$W$30))+1,""),""),ROW()-ROW(A$32)+1)),"##0"),","),"")</f>
        <v/>
      </c>
      <c r="Y47" t="str">
        <f t="array" ref="Y47">IFERROR(CONCATENATE((INDEX($A$7:$A$30,SMALL(IF($Z$7:$Z$30&lt;&gt;"",IF($W$7:$W$30&lt;&gt;"",ROW($W$7:$W$30)-MIN(ROW($W$7:$W$30))+1,""),""),ROW()-ROW(A$32)+1))),),"")</f>
        <v/>
      </c>
    </row>
    <row r="48" spans="11:25" x14ac:dyDescent="0.25">
      <c r="K48" t="str">
        <f t="array" ref="K48">IFERROR(CONCATENATE(TEXT(INDEX($K$7:$K$30,SMALL(IF($N$7:$N$30&lt;&gt;"",IF($K$7:$K$30&lt;&gt;"",ROW($K$7:$K$30)-MIN(ROW($K$7:$K$30))+1,""),""),ROW()-ROW(A$32)+1)),"##0"),","),"")</f>
        <v/>
      </c>
      <c r="L48" t="str">
        <f t="array" ref="L48">IFERROR(CONCATENATE((INDEX($N$7:$N$30,SMALL(IF($N$7:$N$30&lt;&gt;"",IF($K$7:$K$30&lt;&gt;"",ROW($K$7:$K$30)-MIN(ROW($K$7:$K$30))+1,""),""),ROW()-ROW(A$32)+1))),","),"")</f>
        <v/>
      </c>
      <c r="M48" t="str">
        <f t="array" ref="M48">IFERROR(CONCATENATE((INDEX($A$7:$A$30,SMALL(IF($N$7:$N$30&lt;&gt;"",IF($K$7:$K$30&lt;&gt;"",ROW($K$7:$K$30)-MIN(ROW($K$7:$K$30))+1,""),""),ROW()-ROW(A$32)+1))),),"")</f>
        <v/>
      </c>
      <c r="Q48" t="str">
        <f t="array" ref="Q48">IFERROR(CONCATENATE((INDEX($T$7:$T$30,SMALL(IF($T$7:$T$30&lt;&gt;"",IF($Q$7:$Q$30&lt;&gt;"",ROW($Q$7:$Q$30)-MIN(ROW($Q$7:$Q$30))+1,""),""),ROW()-ROW(A$32)+1)))," "),"")</f>
        <v/>
      </c>
      <c r="R48" t="str">
        <f t="array" ref="R48">IFERROR(CONCATENATE(TEXT(INDEX($Q$7:$Q$30,SMALL(IF($T$7:$T$30&lt;&gt;"",IF($Q$7:$Q$30&lt;&gt;"",ROW($Q$7:$Q$30)-MIN(ROW($Q$7:$Q$30))+1,""),""),ROW()-ROW(A$32)+1)),"##0")," "),"")</f>
        <v/>
      </c>
      <c r="S48" t="str">
        <f t="array" ref="S48">IFERROR(CONCATENATE((INDEX($A$7:$A$30,SMALL(IF($T$7:$T$30&lt;&gt;"",IF($Q$7:$Q$30&lt;&gt;"",ROW($Q$7:$Q$30)-MIN(ROW($Q$7:$Q$30))+1,""),""),ROW()-ROW(A$32)+1))),),"")</f>
        <v/>
      </c>
      <c r="W48" t="str">
        <f t="array" ref="W48">IFERROR(CONCATENATE((INDEX($Z$7:$Z$30,SMALL(IF($Z$7:$Z$30&lt;&gt;"",IF($W$7:$W$30&lt;&gt;"",ROW($W$7:$W$30)-MIN(ROW($W$7:$W$30))+1,""),""),ROW()-ROW(A$32)+1))),","),"")</f>
        <v/>
      </c>
      <c r="X48" t="str">
        <f t="array" ref="X48">IFERROR(CONCATENATE(TEXT(INDEX($W$7:$W$30,SMALL(IF($Z$7:$Z$30&lt;&gt;"",IF($W$7:$W$30&lt;&gt;"",ROW($W$7:$W$30)-MIN(ROW($W$7:$W$30))+1,""),""),ROW()-ROW(A$32)+1)),"##0"),","),"")</f>
        <v/>
      </c>
      <c r="Y48" t="str">
        <f t="array" ref="Y48">IFERROR(CONCATENATE((INDEX($A$7:$A$30,SMALL(IF($Z$7:$Z$30&lt;&gt;"",IF($W$7:$W$30&lt;&gt;"",ROW($W$7:$W$30)-MIN(ROW($W$7:$W$30))+1,""),""),ROW()-ROW(A$32)+1))),),"")</f>
        <v/>
      </c>
    </row>
    <row r="49" spans="11:25" x14ac:dyDescent="0.25">
      <c r="K49" t="str">
        <f t="array" ref="K49">IFERROR(CONCATENATE(TEXT(INDEX($K$7:$K$30,SMALL(IF($N$7:$N$30&lt;&gt;"",IF($K$7:$K$30&lt;&gt;"",ROW($K$7:$K$30)-MIN(ROW($K$7:$K$30))+1,""),""),ROW()-ROW(A$32)+1)),"##0"),","),"")</f>
        <v/>
      </c>
      <c r="L49" t="str">
        <f t="array" ref="L49">IFERROR(CONCATENATE((INDEX($N$7:$N$30,SMALL(IF($N$7:$N$30&lt;&gt;"",IF($K$7:$K$30&lt;&gt;"",ROW($K$7:$K$30)-MIN(ROW($K$7:$K$30))+1,""),""),ROW()-ROW(A$32)+1))),","),"")</f>
        <v/>
      </c>
      <c r="M49" t="str">
        <f t="array" ref="M49">IFERROR(CONCATENATE((INDEX($A$7:$A$30,SMALL(IF($N$7:$N$30&lt;&gt;"",IF($K$7:$K$30&lt;&gt;"",ROW($K$7:$K$30)-MIN(ROW($K$7:$K$30))+1,""),""),ROW()-ROW(A$32)+1))),),"")</f>
        <v/>
      </c>
      <c r="Q49" t="str">
        <f t="array" ref="Q49">IFERROR(CONCATENATE((INDEX($T$7:$T$30,SMALL(IF($T$7:$T$30&lt;&gt;"",IF($Q$7:$Q$30&lt;&gt;"",ROW($Q$7:$Q$30)-MIN(ROW($Q$7:$Q$30))+1,""),""),ROW()-ROW(A$32)+1)))," "),"")</f>
        <v/>
      </c>
      <c r="R49" t="str">
        <f t="array" ref="R49">IFERROR(CONCATENATE(TEXT(INDEX($Q$7:$Q$30,SMALL(IF($T$7:$T$30&lt;&gt;"",IF($Q$7:$Q$30&lt;&gt;"",ROW($Q$7:$Q$30)-MIN(ROW($Q$7:$Q$30))+1,""),""),ROW()-ROW(A$32)+1)),"##0")," "),"")</f>
        <v/>
      </c>
      <c r="S49" t="str">
        <f t="array" ref="S49">IFERROR(CONCATENATE((INDEX($A$7:$A$30,SMALL(IF($T$7:$T$30&lt;&gt;"",IF($Q$7:$Q$30&lt;&gt;"",ROW($Q$7:$Q$30)-MIN(ROW($Q$7:$Q$30))+1,""),""),ROW()-ROW(A$32)+1))),),"")</f>
        <v/>
      </c>
      <c r="W49" t="str">
        <f t="array" ref="W49">IFERROR(CONCATENATE((INDEX($Z$7:$Z$30,SMALL(IF($Z$7:$Z$30&lt;&gt;"",IF($W$7:$W$30&lt;&gt;"",ROW($W$7:$W$30)-MIN(ROW($W$7:$W$30))+1,""),""),ROW()-ROW(A$32)+1))),","),"")</f>
        <v/>
      </c>
      <c r="X49" t="str">
        <f t="array" ref="X49">IFERROR(CONCATENATE(TEXT(INDEX($W$7:$W$30,SMALL(IF($Z$7:$Z$30&lt;&gt;"",IF($W$7:$W$30&lt;&gt;"",ROW($W$7:$W$30)-MIN(ROW($W$7:$W$30))+1,""),""),ROW()-ROW(A$32)+1)),"##0"),","),"")</f>
        <v/>
      </c>
      <c r="Y49" t="str">
        <f t="array" ref="Y49">IFERROR(CONCATENATE((INDEX($A$7:$A$30,SMALL(IF($Z$7:$Z$30&lt;&gt;"",IF($W$7:$W$30&lt;&gt;"",ROW($W$7:$W$30)-MIN(ROW($W$7:$W$30))+1,""),""),ROW()-ROW(A$32)+1))),),"")</f>
        <v/>
      </c>
    </row>
    <row r="50" spans="11:25" x14ac:dyDescent="0.25">
      <c r="K50" t="str">
        <f t="array" ref="K50">IFERROR(CONCATENATE(TEXT(INDEX($K$7:$K$30,SMALL(IF($N$7:$N$30&lt;&gt;"",IF($K$7:$K$30&lt;&gt;"",ROW($K$7:$K$30)-MIN(ROW($K$7:$K$30))+1,""),""),ROW()-ROW(A$32)+1)),"##0"),","),"")</f>
        <v/>
      </c>
      <c r="L50" t="str">
        <f t="array" ref="L50">IFERROR(CONCATENATE((INDEX($N$7:$N$30,SMALL(IF($N$7:$N$30&lt;&gt;"",IF($K$7:$K$30&lt;&gt;"",ROW($K$7:$K$30)-MIN(ROW($K$7:$K$30))+1,""),""),ROW()-ROW(A$32)+1))),","),"")</f>
        <v/>
      </c>
      <c r="M50" t="str">
        <f t="array" ref="M50">IFERROR(CONCATENATE((INDEX($A$7:$A$30,SMALL(IF($N$7:$N$30&lt;&gt;"",IF($K$7:$K$30&lt;&gt;"",ROW($K$7:$K$30)-MIN(ROW($K$7:$K$30))+1,""),""),ROW()-ROW(A$32)+1))),),"")</f>
        <v/>
      </c>
      <c r="Q50" t="str">
        <f t="array" ref="Q50">IFERROR(CONCATENATE((INDEX($T$7:$T$30,SMALL(IF($T$7:$T$30&lt;&gt;"",IF($Q$7:$Q$30&lt;&gt;"",ROW($Q$7:$Q$30)-MIN(ROW($Q$7:$Q$30))+1,""),""),ROW()-ROW(A$32)+1)))," "),"")</f>
        <v/>
      </c>
      <c r="R50" t="str">
        <f t="array" ref="R50">IFERROR(CONCATENATE(TEXT(INDEX($Q$7:$Q$30,SMALL(IF($T$7:$T$30&lt;&gt;"",IF($Q$7:$Q$30&lt;&gt;"",ROW($Q$7:$Q$30)-MIN(ROW($Q$7:$Q$30))+1,""),""),ROW()-ROW(A$32)+1)),"##0")," "),"")</f>
        <v/>
      </c>
      <c r="S50" t="str">
        <f t="array" ref="S50">IFERROR(CONCATENATE((INDEX($A$7:$A$30,SMALL(IF($T$7:$T$30&lt;&gt;"",IF($Q$7:$Q$30&lt;&gt;"",ROW($Q$7:$Q$30)-MIN(ROW($Q$7:$Q$30))+1,""),""),ROW()-ROW(A$32)+1))),),"")</f>
        <v/>
      </c>
      <c r="W50" t="str">
        <f t="array" ref="W50">IFERROR(CONCATENATE((INDEX($Z$7:$Z$30,SMALL(IF($Z$7:$Z$30&lt;&gt;"",IF($W$7:$W$30&lt;&gt;"",ROW($W$7:$W$30)-MIN(ROW($W$7:$W$30))+1,""),""),ROW()-ROW(A$32)+1))),","),"")</f>
        <v/>
      </c>
      <c r="X50" t="str">
        <f t="array" ref="X50">IFERROR(CONCATENATE(TEXT(INDEX($W$7:$W$30,SMALL(IF($Z$7:$Z$30&lt;&gt;"",IF($W$7:$W$30&lt;&gt;"",ROW($W$7:$W$30)-MIN(ROW($W$7:$W$30))+1,""),""),ROW()-ROW(A$32)+1)),"##0"),","),"")</f>
        <v/>
      </c>
      <c r="Y50" t="str">
        <f t="array" ref="Y50">IFERROR(CONCATENATE((INDEX($A$7:$A$30,SMALL(IF($Z$7:$Z$30&lt;&gt;"",IF($W$7:$W$30&lt;&gt;"",ROW($W$7:$W$30)-MIN(ROW($W$7:$W$30))+1,""),""),ROW()-ROW(A$32)+1))),),"")</f>
        <v/>
      </c>
    </row>
    <row r="51" spans="11:25" x14ac:dyDescent="0.25">
      <c r="K51" t="str">
        <f t="array" ref="K51">IFERROR(CONCATENATE(TEXT(INDEX($K$7:$K$30,SMALL(IF($N$7:$N$30&lt;&gt;"",IF($K$7:$K$30&lt;&gt;"",ROW($K$7:$K$30)-MIN(ROW($K$7:$K$30))+1,""),""),ROW()-ROW(A$32)+1)),"##0"),","),"")</f>
        <v/>
      </c>
      <c r="L51" t="str">
        <f t="array" ref="L51">IFERROR(CONCATENATE((INDEX($N$7:$N$30,SMALL(IF($N$7:$N$30&lt;&gt;"",IF($K$7:$K$30&lt;&gt;"",ROW($K$7:$K$30)-MIN(ROW($K$7:$K$30))+1,""),""),ROW()-ROW(A$32)+1))),","),"")</f>
        <v/>
      </c>
      <c r="M51" t="str">
        <f t="array" ref="M51">IFERROR(CONCATENATE((INDEX($A$7:$A$30,SMALL(IF($N$7:$N$30&lt;&gt;"",IF($K$7:$K$30&lt;&gt;"",ROW($K$7:$K$30)-MIN(ROW($K$7:$K$30))+1,""),""),ROW()-ROW(A$32)+1))),),"")</f>
        <v/>
      </c>
      <c r="Q51" t="str">
        <f t="array" ref="Q51">IFERROR(CONCATENATE((INDEX($T$7:$T$30,SMALL(IF($T$7:$T$30&lt;&gt;"",IF($Q$7:$Q$30&lt;&gt;"",ROW($Q$7:$Q$30)-MIN(ROW($Q$7:$Q$30))+1,""),""),ROW()-ROW(A$32)+1)))," "),"")</f>
        <v/>
      </c>
      <c r="R51" t="str">
        <f t="array" ref="R51">IFERROR(CONCATENATE(TEXT(INDEX($Q$7:$Q$30,SMALL(IF($T$7:$T$30&lt;&gt;"",IF($Q$7:$Q$30&lt;&gt;"",ROW($Q$7:$Q$30)-MIN(ROW($Q$7:$Q$30))+1,""),""),ROW()-ROW(A$32)+1)),"##0")," "),"")</f>
        <v/>
      </c>
      <c r="S51" t="str">
        <f t="array" ref="S51">IFERROR(CONCATENATE((INDEX($A$7:$A$30,SMALL(IF($T$7:$T$30&lt;&gt;"",IF($Q$7:$Q$30&lt;&gt;"",ROW($Q$7:$Q$30)-MIN(ROW($Q$7:$Q$30))+1,""),""),ROW()-ROW(A$32)+1))),),"")</f>
        <v/>
      </c>
      <c r="W51" t="str">
        <f t="array" ref="W51">IFERROR(CONCATENATE((INDEX($Z$7:$Z$30,SMALL(IF($Z$7:$Z$30&lt;&gt;"",IF($W$7:$W$30&lt;&gt;"",ROW($W$7:$W$30)-MIN(ROW($W$7:$W$30))+1,""),""),ROW()-ROW(A$32)+1))),","),"")</f>
        <v/>
      </c>
      <c r="X51" t="str">
        <f t="array" ref="X51">IFERROR(CONCATENATE(TEXT(INDEX($W$7:$W$30,SMALL(IF($Z$7:$Z$30&lt;&gt;"",IF($W$7:$W$30&lt;&gt;"",ROW($W$7:$W$30)-MIN(ROW($W$7:$W$30))+1,""),""),ROW()-ROW(A$32)+1)),"##0"),","),"")</f>
        <v/>
      </c>
      <c r="Y51" t="str">
        <f t="array" ref="Y51">IFERROR(CONCATENATE((INDEX($A$7:$A$30,SMALL(IF($Z$7:$Z$30&lt;&gt;"",IF($W$7:$W$30&lt;&gt;"",ROW($W$7:$W$30)-MIN(ROW($W$7:$W$30))+1,""),""),ROW()-ROW(A$32)+1))),),"")</f>
        <v/>
      </c>
    </row>
    <row r="52" spans="11:25" x14ac:dyDescent="0.25">
      <c r="K52" t="str">
        <f t="array" ref="K52">IFERROR(CONCATENATE(TEXT(INDEX($K$7:$K$30,SMALL(IF($N$7:$N$30&lt;&gt;"",IF($K$7:$K$30&lt;&gt;"",ROW($K$7:$K$30)-MIN(ROW($K$7:$K$30))+1,""),""),ROW()-ROW(A$32)+1)),"##0"),","),"")</f>
        <v/>
      </c>
      <c r="L52" t="str">
        <f t="array" ref="L52">IFERROR(CONCATENATE((INDEX($N$7:$N$30,SMALL(IF($N$7:$N$30&lt;&gt;"",IF($K$7:$K$30&lt;&gt;"",ROW($K$7:$K$30)-MIN(ROW($K$7:$K$30))+1,""),""),ROW()-ROW(A$32)+1))),","),"")</f>
        <v/>
      </c>
      <c r="M52" t="str">
        <f t="array" ref="M52">IFERROR(CONCATENATE((INDEX($A$7:$A$30,SMALL(IF($N$7:$N$30&lt;&gt;"",IF($K$7:$K$30&lt;&gt;"",ROW($K$7:$K$30)-MIN(ROW($K$7:$K$30))+1,""),""),ROW()-ROW(A$32)+1))),),"")</f>
        <v/>
      </c>
      <c r="Q52" t="str">
        <f t="array" ref="Q52">IFERROR(CONCATENATE((INDEX($T$7:$T$30,SMALL(IF($T$7:$T$30&lt;&gt;"",IF($Q$7:$Q$30&lt;&gt;"",ROW($Q$7:$Q$30)-MIN(ROW($Q$7:$Q$30))+1,""),""),ROW()-ROW(A$32)+1)))," "),"")</f>
        <v/>
      </c>
      <c r="R52" t="str">
        <f t="array" ref="R52">IFERROR(CONCATENATE(TEXT(INDEX($Q$7:$Q$30,SMALL(IF($T$7:$T$30&lt;&gt;"",IF($Q$7:$Q$30&lt;&gt;"",ROW($Q$7:$Q$30)-MIN(ROW($Q$7:$Q$30))+1,""),""),ROW()-ROW(A$32)+1)),"##0")," "),"")</f>
        <v/>
      </c>
      <c r="S52" t="str">
        <f t="array" ref="S52">IFERROR(CONCATENATE((INDEX($A$7:$A$30,SMALL(IF($T$7:$T$30&lt;&gt;"",IF($Q$7:$Q$30&lt;&gt;"",ROW($Q$7:$Q$30)-MIN(ROW($Q$7:$Q$30))+1,""),""),ROW()-ROW(A$32)+1))),),"")</f>
        <v/>
      </c>
      <c r="W52" t="str">
        <f t="array" ref="W52">IFERROR(CONCATENATE((INDEX($Z$7:$Z$30,SMALL(IF($Z$7:$Z$30&lt;&gt;"",IF($W$7:$W$30&lt;&gt;"",ROW($W$7:$W$30)-MIN(ROW($W$7:$W$30))+1,""),""),ROW()-ROW(A$32)+1))),","),"")</f>
        <v/>
      </c>
      <c r="X52" t="str">
        <f t="array" ref="X52">IFERROR(CONCATENATE(TEXT(INDEX($W$7:$W$30,SMALL(IF($Z$7:$Z$30&lt;&gt;"",IF($W$7:$W$30&lt;&gt;"",ROW($W$7:$W$30)-MIN(ROW($W$7:$W$30))+1,""),""),ROW()-ROW(A$32)+1)),"##0"),","),"")</f>
        <v/>
      </c>
      <c r="Y52" t="str">
        <f t="array" ref="Y52">IFERROR(CONCATENATE((INDEX($A$7:$A$30,SMALL(IF($Z$7:$Z$30&lt;&gt;"",IF($W$7:$W$30&lt;&gt;"",ROW($W$7:$W$30)-MIN(ROW($W$7:$W$30))+1,""),""),ROW()-ROW(A$32)+1))),),"")</f>
        <v/>
      </c>
    </row>
    <row r="53" spans="11:25" x14ac:dyDescent="0.25">
      <c r="K53" t="str">
        <f t="array" ref="K53">IFERROR(CONCATENATE(TEXT(INDEX($K$7:$K$30,SMALL(IF($N$7:$N$30&lt;&gt;"",IF($K$7:$K$30&lt;&gt;"",ROW($K$7:$K$30)-MIN(ROW($K$7:$K$30))+1,""),""),ROW()-ROW(A$32)+1)),"##0"),","),"")</f>
        <v/>
      </c>
      <c r="L53" t="str">
        <f t="array" ref="L53">IFERROR(CONCATENATE((INDEX($N$7:$N$30,SMALL(IF($N$7:$N$30&lt;&gt;"",IF($K$7:$K$30&lt;&gt;"",ROW($K$7:$K$30)-MIN(ROW($K$7:$K$30))+1,""),""),ROW()-ROW(A$32)+1))),","),"")</f>
        <v/>
      </c>
      <c r="M53" t="str">
        <f t="array" ref="M53">IFERROR(CONCATENATE((INDEX($A$7:$A$30,SMALL(IF($N$7:$N$30&lt;&gt;"",IF($K$7:$K$30&lt;&gt;"",ROW($K$7:$K$30)-MIN(ROW($K$7:$K$30))+1,""),""),ROW()-ROW(A$32)+1))),),"")</f>
        <v/>
      </c>
      <c r="Q53" t="str">
        <f t="array" ref="Q53">IFERROR(CONCATENATE((INDEX($T$7:$T$30,SMALL(IF($T$7:$T$30&lt;&gt;"",IF($Q$7:$Q$30&lt;&gt;"",ROW($Q$7:$Q$30)-MIN(ROW($Q$7:$Q$30))+1,""),""),ROW()-ROW(A$32)+1)))," "),"")</f>
        <v/>
      </c>
      <c r="R53" t="str">
        <f t="array" ref="R53">IFERROR(CONCATENATE(TEXT(INDEX($Q$7:$Q$30,SMALL(IF($T$7:$T$30&lt;&gt;"",IF($Q$7:$Q$30&lt;&gt;"",ROW($Q$7:$Q$30)-MIN(ROW($Q$7:$Q$30))+1,""),""),ROW()-ROW(A$32)+1)),"##0")," "),"")</f>
        <v/>
      </c>
      <c r="S53" t="str">
        <f t="array" ref="S53">IFERROR(CONCATENATE((INDEX($A$7:$A$30,SMALL(IF($T$7:$T$30&lt;&gt;"",IF($Q$7:$Q$30&lt;&gt;"",ROW($Q$7:$Q$30)-MIN(ROW($Q$7:$Q$30))+1,""),""),ROW()-ROW(A$32)+1))),),"")</f>
        <v/>
      </c>
      <c r="W53" t="str">
        <f t="array" ref="W53">IFERROR(CONCATENATE((INDEX($Z$7:$Z$30,SMALL(IF($Z$7:$Z$30&lt;&gt;"",IF($W$7:$W$30&lt;&gt;"",ROW($W$7:$W$30)-MIN(ROW($W$7:$W$30))+1,""),""),ROW()-ROW(A$32)+1))),","),"")</f>
        <v/>
      </c>
      <c r="X53" t="str">
        <f t="array" ref="X53">IFERROR(CONCATENATE(TEXT(INDEX($W$7:$W$30,SMALL(IF($Z$7:$Z$30&lt;&gt;"",IF($W$7:$W$30&lt;&gt;"",ROW($W$7:$W$30)-MIN(ROW($W$7:$W$30))+1,""),""),ROW()-ROW(A$32)+1)),"##0"),","),"")</f>
        <v/>
      </c>
      <c r="Y53" t="str">
        <f t="array" ref="Y53">IFERROR(CONCATENATE((INDEX($A$7:$A$30,SMALL(IF($Z$7:$Z$30&lt;&gt;"",IF($W$7:$W$30&lt;&gt;"",ROW($W$7:$W$30)-MIN(ROW($W$7:$W$30))+1,""),""),ROW()-ROW(A$32)+1))),),"")</f>
        <v/>
      </c>
    </row>
    <row r="54" spans="11:25" x14ac:dyDescent="0.25">
      <c r="K54" t="str">
        <f t="array" ref="K54">IFERROR(CONCATENATE(TEXT(INDEX($K$7:$K$30,SMALL(IF($N$7:$N$30&lt;&gt;"",IF($K$7:$K$30&lt;&gt;"",ROW($K$7:$K$30)-MIN(ROW($K$7:$K$30))+1,""),""),ROW()-ROW(A$32)+1)),"##0"),","),"")</f>
        <v/>
      </c>
      <c r="L54" t="str">
        <f t="array" ref="L54">IFERROR(CONCATENATE((INDEX($N$7:$N$30,SMALL(IF($N$7:$N$30&lt;&gt;"",IF($K$7:$K$30&lt;&gt;"",ROW($K$7:$K$30)-MIN(ROW($K$7:$K$30))+1,""),""),ROW()-ROW(A$32)+1))),","),"")</f>
        <v/>
      </c>
      <c r="M54" t="str">
        <f t="array" ref="M54">IFERROR(CONCATENATE((INDEX($A$7:$A$30,SMALL(IF($N$7:$N$30&lt;&gt;"",IF($K$7:$K$30&lt;&gt;"",ROW($K$7:$K$30)-MIN(ROW($K$7:$K$30))+1,""),""),ROW()-ROW(A$32)+1))),),"")</f>
        <v/>
      </c>
      <c r="Q54" t="str">
        <f t="array" ref="Q54">IFERROR(CONCATENATE((INDEX($T$7:$T$30,SMALL(IF($T$7:$T$30&lt;&gt;"",IF($Q$7:$Q$30&lt;&gt;"",ROW($Q$7:$Q$30)-MIN(ROW($Q$7:$Q$30))+1,""),""),ROW()-ROW(A$32)+1)))," "),"")</f>
        <v/>
      </c>
      <c r="R54" t="str">
        <f t="array" ref="R54">IFERROR(CONCATENATE(TEXT(INDEX($Q$7:$Q$30,SMALL(IF($T$7:$T$30&lt;&gt;"",IF($Q$7:$Q$30&lt;&gt;"",ROW($Q$7:$Q$30)-MIN(ROW($Q$7:$Q$30))+1,""),""),ROW()-ROW(A$32)+1)),"##0")," "),"")</f>
        <v/>
      </c>
      <c r="S54" t="str">
        <f t="array" ref="S54">IFERROR(CONCATENATE((INDEX($A$7:$A$30,SMALL(IF($T$7:$T$30&lt;&gt;"",IF($Q$7:$Q$30&lt;&gt;"",ROW($Q$7:$Q$30)-MIN(ROW($Q$7:$Q$30))+1,""),""),ROW()-ROW(A$32)+1))),),"")</f>
        <v/>
      </c>
      <c r="W54" t="str">
        <f t="array" ref="W54">IFERROR(CONCATENATE((INDEX($Z$7:$Z$30,SMALL(IF($Z$7:$Z$30&lt;&gt;"",IF($W$7:$W$30&lt;&gt;"",ROW($W$7:$W$30)-MIN(ROW($W$7:$W$30))+1,""),""),ROW()-ROW(A$32)+1))),","),"")</f>
        <v/>
      </c>
      <c r="X54" t="str">
        <f t="array" ref="X54">IFERROR(CONCATENATE(TEXT(INDEX($W$7:$W$30,SMALL(IF($Z$7:$Z$30&lt;&gt;"",IF($W$7:$W$30&lt;&gt;"",ROW($W$7:$W$30)-MIN(ROW($W$7:$W$30))+1,""),""),ROW()-ROW(A$32)+1)),"##0"),","),"")</f>
        <v/>
      </c>
      <c r="Y54" t="str">
        <f t="array" ref="Y54">IFERROR(CONCATENATE((INDEX($A$7:$A$30,SMALL(IF($Z$7:$Z$30&lt;&gt;"",IF($W$7:$W$30&lt;&gt;"",ROW($W$7:$W$30)-MIN(ROW($W$7:$W$30))+1,""),""),ROW()-ROW(A$32)+1))),),"")</f>
        <v/>
      </c>
    </row>
    <row r="55" spans="11:25" x14ac:dyDescent="0.25">
      <c r="K55" t="str">
        <f t="array" ref="K55">IFERROR(CONCATENATE(TEXT(INDEX($K$7:$K$30,SMALL(IF($N$7:$N$30&lt;&gt;"",IF($K$7:$K$30&lt;&gt;"",ROW($K$7:$K$30)-MIN(ROW($K$7:$K$30))+1,""),""),ROW()-ROW(A$32)+1)),"##0"),","),"")</f>
        <v/>
      </c>
      <c r="L55" t="str">
        <f t="array" ref="L55">IFERROR(CONCATENATE((INDEX($N$7:$N$30,SMALL(IF($N$7:$N$30&lt;&gt;"",IF($K$7:$K$30&lt;&gt;"",ROW($K$7:$K$30)-MIN(ROW($K$7:$K$30))+1,""),""),ROW()-ROW(A$32)+1))),","),"")</f>
        <v/>
      </c>
      <c r="M55" t="str">
        <f t="array" ref="M55">IFERROR(CONCATENATE((INDEX($A$7:$A$30,SMALL(IF($N$7:$N$30&lt;&gt;"",IF($K$7:$K$30&lt;&gt;"",ROW($K$7:$K$30)-MIN(ROW($K$7:$K$30))+1,""),""),ROW()-ROW(A$32)+1))),),"")</f>
        <v/>
      </c>
      <c r="Q55" t="str">
        <f t="array" ref="Q55">IFERROR(CONCATENATE((INDEX($T$7:$T$30,SMALL(IF($T$7:$T$30&lt;&gt;"",IF($Q$7:$Q$30&lt;&gt;"",ROW($Q$7:$Q$30)-MIN(ROW($Q$7:$Q$30))+1,""),""),ROW()-ROW(A$32)+1)))," "),"")</f>
        <v/>
      </c>
      <c r="R55" t="str">
        <f t="array" ref="R55">IFERROR(CONCATENATE(TEXT(INDEX($Q$7:$Q$30,SMALL(IF($T$7:$T$30&lt;&gt;"",IF($Q$7:$Q$30&lt;&gt;"",ROW($Q$7:$Q$30)-MIN(ROW($Q$7:$Q$30))+1,""),""),ROW()-ROW(A$32)+1)),"##0")," "),"")</f>
        <v/>
      </c>
      <c r="S55" t="str">
        <f t="array" ref="S55">IFERROR(CONCATENATE((INDEX($A$7:$A$30,SMALL(IF($T$7:$T$30&lt;&gt;"",IF($Q$7:$Q$30&lt;&gt;"",ROW($Q$7:$Q$30)-MIN(ROW($Q$7:$Q$30))+1,""),""),ROW()-ROW(A$32)+1))),),"")</f>
        <v/>
      </c>
      <c r="W55" t="str">
        <f t="array" ref="W55">IFERROR(CONCATENATE((INDEX($Z$7:$Z$30,SMALL(IF($Z$7:$Z$30&lt;&gt;"",IF($W$7:$W$30&lt;&gt;"",ROW($W$7:$W$30)-MIN(ROW($W$7:$W$30))+1,""),""),ROW()-ROW(A$32)+1))),","),"")</f>
        <v/>
      </c>
      <c r="X55" t="str">
        <f t="array" ref="X55">IFERROR(CONCATENATE(TEXT(INDEX($W$7:$W$30,SMALL(IF($Z$7:$Z$30&lt;&gt;"",IF($W$7:$W$30&lt;&gt;"",ROW($W$7:$W$30)-MIN(ROW($W$7:$W$30))+1,""),""),ROW()-ROW(A$32)+1)),"##0"),","),"")</f>
        <v/>
      </c>
      <c r="Y55" t="str">
        <f t="array" ref="Y55">IFERROR(CONCATENATE((INDEX($A$7:$A$30,SMALL(IF($Z$7:$Z$30&lt;&gt;"",IF($W$7:$W$30&lt;&gt;"",ROW($W$7:$W$30)-MIN(ROW($W$7:$W$30))+1,""),""),ROW()-ROW(A$32)+1))),),"")</f>
        <v/>
      </c>
    </row>
  </sheetData>
  <mergeCells count="4">
    <mergeCell ref="A5:I5"/>
    <mergeCell ref="J5:O5"/>
    <mergeCell ref="P5:U5"/>
    <mergeCell ref="V5:AA5"/>
  </mergeCells>
  <conditionalFormatting sqref="L10">
    <cfRule type="cellIs" dxfId="101" priority="7" operator="lessThanOrEqual">
      <formula>H10</formula>
    </cfRule>
  </conditionalFormatting>
  <conditionalFormatting sqref="L11">
    <cfRule type="cellIs" dxfId="100" priority="9" operator="lessThanOrEqual">
      <formula>H11</formula>
    </cfRule>
  </conditionalFormatting>
  <conditionalFormatting sqref="L13">
    <cfRule type="cellIs" dxfId="99" priority="11" operator="lessThanOrEqual">
      <formula>H13</formula>
    </cfRule>
  </conditionalFormatting>
  <conditionalFormatting sqref="L14">
    <cfRule type="cellIs" dxfId="98" priority="13" operator="lessThanOrEqual">
      <formula>H14</formula>
    </cfRule>
  </conditionalFormatting>
  <conditionalFormatting sqref="L15">
    <cfRule type="cellIs" dxfId="97" priority="15" operator="lessThanOrEqual">
      <formula>H15</formula>
    </cfRule>
  </conditionalFormatting>
  <conditionalFormatting sqref="L17">
    <cfRule type="cellIs" dxfId="96" priority="17" operator="lessThanOrEqual">
      <formula>H17</formula>
    </cfRule>
  </conditionalFormatting>
  <conditionalFormatting sqref="L18">
    <cfRule type="cellIs" dxfId="95" priority="19" operator="lessThanOrEqual">
      <formula>H18</formula>
    </cfRule>
  </conditionalFormatting>
  <conditionalFormatting sqref="L21">
    <cfRule type="cellIs" dxfId="94" priority="21" operator="lessThanOrEqual">
      <formula>H21</formula>
    </cfRule>
  </conditionalFormatting>
  <conditionalFormatting sqref="L22">
    <cfRule type="cellIs" dxfId="93" priority="23" operator="lessThanOrEqual">
      <formula>H22</formula>
    </cfRule>
  </conditionalFormatting>
  <conditionalFormatting sqref="L24">
    <cfRule type="cellIs" dxfId="92" priority="25" operator="lessThanOrEqual">
      <formula>H24</formula>
    </cfRule>
  </conditionalFormatting>
  <conditionalFormatting sqref="L25">
    <cfRule type="cellIs" dxfId="91" priority="27" operator="lessThanOrEqual">
      <formula>H25</formula>
    </cfRule>
  </conditionalFormatting>
  <conditionalFormatting sqref="L27">
    <cfRule type="cellIs" dxfId="90" priority="29" operator="lessThanOrEqual">
      <formula>H27</formula>
    </cfRule>
  </conditionalFormatting>
  <conditionalFormatting sqref="L28">
    <cfRule type="cellIs" dxfId="89" priority="31" operator="lessThanOrEqual">
      <formula>H28</formula>
    </cfRule>
  </conditionalFormatting>
  <conditionalFormatting sqref="L29">
    <cfRule type="cellIs" dxfId="88" priority="33" operator="lessThanOrEqual">
      <formula>H29</formula>
    </cfRule>
  </conditionalFormatting>
  <conditionalFormatting sqref="L30">
    <cfRule type="cellIs" dxfId="87" priority="35" operator="lessThanOrEqual">
      <formula>H30</formula>
    </cfRule>
  </conditionalFormatting>
  <conditionalFormatting sqref="L7">
    <cfRule type="cellIs" dxfId="86" priority="1" operator="lessThanOrEqual">
      <formula>H7</formula>
    </cfRule>
  </conditionalFormatting>
  <conditionalFormatting sqref="L8">
    <cfRule type="cellIs" dxfId="85" priority="3" operator="lessThanOrEqual">
      <formula>H8</formula>
    </cfRule>
  </conditionalFormatting>
  <conditionalFormatting sqref="L9">
    <cfRule type="cellIs" dxfId="84" priority="5" operator="lessThanOrEqual">
      <formula>H9</formula>
    </cfRule>
  </conditionalFormatting>
  <conditionalFormatting sqref="M10">
    <cfRule type="cellIs" dxfId="83" priority="8" operator="lessThanOrEqual">
      <formula>I10</formula>
    </cfRule>
  </conditionalFormatting>
  <conditionalFormatting sqref="M11">
    <cfRule type="cellIs" dxfId="82" priority="10" operator="lessThanOrEqual">
      <formula>I11</formula>
    </cfRule>
  </conditionalFormatting>
  <conditionalFormatting sqref="M13">
    <cfRule type="cellIs" dxfId="81" priority="12" operator="lessThanOrEqual">
      <formula>I13</formula>
    </cfRule>
  </conditionalFormatting>
  <conditionalFormatting sqref="M14">
    <cfRule type="cellIs" dxfId="80" priority="14" operator="lessThanOrEqual">
      <formula>I14</formula>
    </cfRule>
  </conditionalFormatting>
  <conditionalFormatting sqref="M15">
    <cfRule type="cellIs" dxfId="79" priority="16" operator="lessThanOrEqual">
      <formula>I15</formula>
    </cfRule>
  </conditionalFormatting>
  <conditionalFormatting sqref="M17">
    <cfRule type="cellIs" dxfId="78" priority="18" operator="lessThanOrEqual">
      <formula>I17</formula>
    </cfRule>
  </conditionalFormatting>
  <conditionalFormatting sqref="M18">
    <cfRule type="cellIs" dxfId="77" priority="20" operator="lessThanOrEqual">
      <formula>I18</formula>
    </cfRule>
  </conditionalFormatting>
  <conditionalFormatting sqref="M21">
    <cfRule type="cellIs" dxfId="76" priority="22" operator="lessThanOrEqual">
      <formula>I21</formula>
    </cfRule>
  </conditionalFormatting>
  <conditionalFormatting sqref="M22">
    <cfRule type="cellIs" dxfId="75" priority="24" operator="lessThanOrEqual">
      <formula>I22</formula>
    </cfRule>
  </conditionalFormatting>
  <conditionalFormatting sqref="M24">
    <cfRule type="cellIs" dxfId="74" priority="26" operator="lessThanOrEqual">
      <formula>I24</formula>
    </cfRule>
  </conditionalFormatting>
  <conditionalFormatting sqref="M25">
    <cfRule type="cellIs" dxfId="73" priority="28" operator="lessThanOrEqual">
      <formula>I25</formula>
    </cfRule>
  </conditionalFormatting>
  <conditionalFormatting sqref="M27">
    <cfRule type="cellIs" dxfId="72" priority="30" operator="lessThanOrEqual">
      <formula>I27</formula>
    </cfRule>
  </conditionalFormatting>
  <conditionalFormatting sqref="M28">
    <cfRule type="cellIs" dxfId="71" priority="32" operator="lessThanOrEqual">
      <formula>I28</formula>
    </cfRule>
  </conditionalFormatting>
  <conditionalFormatting sqref="M29">
    <cfRule type="cellIs" dxfId="70" priority="34" operator="lessThanOrEqual">
      <formula>I29</formula>
    </cfRule>
  </conditionalFormatting>
  <conditionalFormatting sqref="M30">
    <cfRule type="cellIs" dxfId="69" priority="36" operator="lessThanOrEqual">
      <formula>I30</formula>
    </cfRule>
  </conditionalFormatting>
  <conditionalFormatting sqref="M7">
    <cfRule type="cellIs" dxfId="68" priority="2" operator="lessThanOrEqual">
      <formula>I7</formula>
    </cfRule>
  </conditionalFormatting>
  <conditionalFormatting sqref="M8">
    <cfRule type="cellIs" dxfId="67" priority="4" operator="lessThanOrEqual">
      <formula>I8</formula>
    </cfRule>
  </conditionalFormatting>
  <conditionalFormatting sqref="M9">
    <cfRule type="cellIs" dxfId="66" priority="6" operator="lessThanOrEqual">
      <formula>I9</formula>
    </cfRule>
  </conditionalFormatting>
  <conditionalFormatting sqref="R10">
    <cfRule type="cellIs" dxfId="65" priority="43" operator="lessThanOrEqual">
      <formula>H10</formula>
    </cfRule>
  </conditionalFormatting>
  <conditionalFormatting sqref="R11">
    <cfRule type="cellIs" dxfId="64" priority="45" operator="lessThanOrEqual">
      <formula>H11</formula>
    </cfRule>
  </conditionalFormatting>
  <conditionalFormatting sqref="R13">
    <cfRule type="cellIs" dxfId="63" priority="47" operator="lessThanOrEqual">
      <formula>H13</formula>
    </cfRule>
  </conditionalFormatting>
  <conditionalFormatting sqref="R14">
    <cfRule type="cellIs" dxfId="62" priority="49" operator="lessThanOrEqual">
      <formula>H14</formula>
    </cfRule>
  </conditionalFormatting>
  <conditionalFormatting sqref="R15">
    <cfRule type="cellIs" dxfId="61" priority="51" operator="lessThanOrEqual">
      <formula>H15</formula>
    </cfRule>
  </conditionalFormatting>
  <conditionalFormatting sqref="R17">
    <cfRule type="cellIs" dxfId="60" priority="53" operator="lessThanOrEqual">
      <formula>H17</formula>
    </cfRule>
  </conditionalFormatting>
  <conditionalFormatting sqref="R18">
    <cfRule type="cellIs" dxfId="59" priority="55" operator="lessThanOrEqual">
      <formula>H18</formula>
    </cfRule>
  </conditionalFormatting>
  <conditionalFormatting sqref="R19">
    <cfRule type="cellIs" dxfId="58" priority="57" operator="lessThanOrEqual">
      <formula>H19</formula>
    </cfRule>
  </conditionalFormatting>
  <conditionalFormatting sqref="R21">
    <cfRule type="cellIs" dxfId="57" priority="59" operator="lessThanOrEqual">
      <formula>H21</formula>
    </cfRule>
  </conditionalFormatting>
  <conditionalFormatting sqref="R22">
    <cfRule type="cellIs" dxfId="56" priority="61" operator="lessThanOrEqual">
      <formula>H22</formula>
    </cfRule>
  </conditionalFormatting>
  <conditionalFormatting sqref="R24">
    <cfRule type="cellIs" dxfId="55" priority="63" operator="lessThanOrEqual">
      <formula>H24</formula>
    </cfRule>
  </conditionalFormatting>
  <conditionalFormatting sqref="R25">
    <cfRule type="cellIs" dxfId="54" priority="65" operator="lessThanOrEqual">
      <formula>H25</formula>
    </cfRule>
  </conditionalFormatting>
  <conditionalFormatting sqref="R28">
    <cfRule type="cellIs" dxfId="53" priority="67" operator="lessThanOrEqual">
      <formula>H28</formula>
    </cfRule>
  </conditionalFormatting>
  <conditionalFormatting sqref="R29">
    <cfRule type="cellIs" dxfId="52" priority="69" operator="lessThanOrEqual">
      <formula>H29</formula>
    </cfRule>
  </conditionalFormatting>
  <conditionalFormatting sqref="R30">
    <cfRule type="cellIs" dxfId="51" priority="71" operator="lessThanOrEqual">
      <formula>H30</formula>
    </cfRule>
  </conditionalFormatting>
  <conditionalFormatting sqref="R7">
    <cfRule type="cellIs" dxfId="50" priority="37" operator="lessThanOrEqual">
      <formula>H7</formula>
    </cfRule>
  </conditionalFormatting>
  <conditionalFormatting sqref="R8">
    <cfRule type="cellIs" dxfId="49" priority="39" operator="lessThanOrEqual">
      <formula>H8</formula>
    </cfRule>
  </conditionalFormatting>
  <conditionalFormatting sqref="R9">
    <cfRule type="cellIs" dxfId="48" priority="41" operator="lessThanOrEqual">
      <formula>H9</formula>
    </cfRule>
  </conditionalFormatting>
  <conditionalFormatting sqref="S10">
    <cfRule type="cellIs" dxfId="47" priority="44" operator="lessThanOrEqual">
      <formula>I10</formula>
    </cfRule>
  </conditionalFormatting>
  <conditionalFormatting sqref="S11">
    <cfRule type="cellIs" dxfId="46" priority="46" operator="lessThanOrEqual">
      <formula>I11</formula>
    </cfRule>
  </conditionalFormatting>
  <conditionalFormatting sqref="S13">
    <cfRule type="cellIs" dxfId="45" priority="48" operator="lessThanOrEqual">
      <formula>I13</formula>
    </cfRule>
  </conditionalFormatting>
  <conditionalFormatting sqref="S14">
    <cfRule type="cellIs" dxfId="44" priority="50" operator="lessThanOrEqual">
      <formula>I14</formula>
    </cfRule>
  </conditionalFormatting>
  <conditionalFormatting sqref="S15">
    <cfRule type="cellIs" dxfId="43" priority="52" operator="lessThanOrEqual">
      <formula>I15</formula>
    </cfRule>
  </conditionalFormatting>
  <conditionalFormatting sqref="S17">
    <cfRule type="cellIs" dxfId="42" priority="54" operator="lessThanOrEqual">
      <formula>I17</formula>
    </cfRule>
  </conditionalFormatting>
  <conditionalFormatting sqref="S18">
    <cfRule type="cellIs" dxfId="41" priority="56" operator="lessThanOrEqual">
      <formula>I18</formula>
    </cfRule>
  </conditionalFormatting>
  <conditionalFormatting sqref="S19">
    <cfRule type="cellIs" dxfId="40" priority="58" operator="lessThanOrEqual">
      <formula>I19</formula>
    </cfRule>
  </conditionalFormatting>
  <conditionalFormatting sqref="S21">
    <cfRule type="cellIs" dxfId="39" priority="60" operator="lessThanOrEqual">
      <formula>I21</formula>
    </cfRule>
  </conditionalFormatting>
  <conditionalFormatting sqref="S22">
    <cfRule type="cellIs" dxfId="38" priority="62" operator="lessThanOrEqual">
      <formula>I22</formula>
    </cfRule>
  </conditionalFormatting>
  <conditionalFormatting sqref="S24">
    <cfRule type="cellIs" dxfId="37" priority="64" operator="lessThanOrEqual">
      <formula>I24</formula>
    </cfRule>
  </conditionalFormatting>
  <conditionalFormatting sqref="S25">
    <cfRule type="cellIs" dxfId="36" priority="66" operator="lessThanOrEqual">
      <formula>I25</formula>
    </cfRule>
  </conditionalFormatting>
  <conditionalFormatting sqref="S28">
    <cfRule type="cellIs" dxfId="35" priority="68" operator="lessThanOrEqual">
      <formula>I28</formula>
    </cfRule>
  </conditionalFormatting>
  <conditionalFormatting sqref="S29">
    <cfRule type="cellIs" dxfId="34" priority="70" operator="lessThanOrEqual">
      <formula>I29</formula>
    </cfRule>
  </conditionalFormatting>
  <conditionalFormatting sqref="S30">
    <cfRule type="cellIs" dxfId="33" priority="72" operator="lessThanOrEqual">
      <formula>I30</formula>
    </cfRule>
  </conditionalFormatting>
  <conditionalFormatting sqref="S7">
    <cfRule type="cellIs" dxfId="32" priority="38" operator="lessThanOrEqual">
      <formula>I7</formula>
    </cfRule>
  </conditionalFormatting>
  <conditionalFormatting sqref="S8">
    <cfRule type="cellIs" dxfId="31" priority="40" operator="lessThanOrEqual">
      <formula>I8</formula>
    </cfRule>
  </conditionalFormatting>
  <conditionalFormatting sqref="S9">
    <cfRule type="cellIs" dxfId="30" priority="42" operator="lessThanOrEqual">
      <formula>I9</formula>
    </cfRule>
  </conditionalFormatting>
  <conditionalFormatting sqref="X10">
    <cfRule type="cellIs" dxfId="29" priority="79" operator="lessThanOrEqual">
      <formula>H10</formula>
    </cfRule>
  </conditionalFormatting>
  <conditionalFormatting sqref="X11">
    <cfRule type="cellIs" dxfId="28" priority="81" operator="lessThanOrEqual">
      <formula>H11</formula>
    </cfRule>
  </conditionalFormatting>
  <conditionalFormatting sqref="X13">
    <cfRule type="cellIs" dxfId="27" priority="83" operator="lessThanOrEqual">
      <formula>H13</formula>
    </cfRule>
  </conditionalFormatting>
  <conditionalFormatting sqref="X14">
    <cfRule type="cellIs" dxfId="26" priority="85" operator="lessThanOrEqual">
      <formula>H14</formula>
    </cfRule>
  </conditionalFormatting>
  <conditionalFormatting sqref="X15">
    <cfRule type="cellIs" dxfId="25" priority="87" operator="lessThanOrEqual">
      <formula>H15</formula>
    </cfRule>
  </conditionalFormatting>
  <conditionalFormatting sqref="X18">
    <cfRule type="cellIs" dxfId="24" priority="89" operator="lessThanOrEqual">
      <formula>H18</formula>
    </cfRule>
  </conditionalFormatting>
  <conditionalFormatting sqref="X21">
    <cfRule type="cellIs" dxfId="23" priority="91" operator="lessThanOrEqual">
      <formula>H21</formula>
    </cfRule>
  </conditionalFormatting>
  <conditionalFormatting sqref="X24">
    <cfRule type="cellIs" dxfId="22" priority="93" operator="lessThanOrEqual">
      <formula>H24</formula>
    </cfRule>
  </conditionalFormatting>
  <conditionalFormatting sqref="X25">
    <cfRule type="cellIs" dxfId="21" priority="95" operator="lessThanOrEqual">
      <formula>H25</formula>
    </cfRule>
  </conditionalFormatting>
  <conditionalFormatting sqref="X28">
    <cfRule type="cellIs" dxfId="20" priority="97" operator="lessThanOrEqual">
      <formula>H28</formula>
    </cfRule>
  </conditionalFormatting>
  <conditionalFormatting sqref="X29">
    <cfRule type="cellIs" dxfId="19" priority="99" operator="lessThanOrEqual">
      <formula>H29</formula>
    </cfRule>
  </conditionalFormatting>
  <conditionalFormatting sqref="X30">
    <cfRule type="cellIs" dxfId="18" priority="101" operator="lessThanOrEqual">
      <formula>H30</formula>
    </cfRule>
  </conditionalFormatting>
  <conditionalFormatting sqref="X7">
    <cfRule type="cellIs" dxfId="17" priority="73" operator="lessThanOrEqual">
      <formula>H7</formula>
    </cfRule>
  </conditionalFormatting>
  <conditionalFormatting sqref="X8">
    <cfRule type="cellIs" dxfId="16" priority="75" operator="lessThanOrEqual">
      <formula>H8</formula>
    </cfRule>
  </conditionalFormatting>
  <conditionalFormatting sqref="X9">
    <cfRule type="cellIs" dxfId="15" priority="77" operator="lessThanOrEqual">
      <formula>H9</formula>
    </cfRule>
  </conditionalFormatting>
  <conditionalFormatting sqref="Y10">
    <cfRule type="cellIs" dxfId="14" priority="80" operator="lessThanOrEqual">
      <formula>I10</formula>
    </cfRule>
  </conditionalFormatting>
  <conditionalFormatting sqref="Y11">
    <cfRule type="cellIs" dxfId="13" priority="82" operator="lessThanOrEqual">
      <formula>I11</formula>
    </cfRule>
  </conditionalFormatting>
  <conditionalFormatting sqref="Y13">
    <cfRule type="cellIs" dxfId="12" priority="84" operator="lessThanOrEqual">
      <formula>I13</formula>
    </cfRule>
  </conditionalFormatting>
  <conditionalFormatting sqref="Y14">
    <cfRule type="cellIs" dxfId="11" priority="86" operator="lessThanOrEqual">
      <formula>I14</formula>
    </cfRule>
  </conditionalFormatting>
  <conditionalFormatting sqref="Y15">
    <cfRule type="cellIs" dxfId="10" priority="88" operator="lessThanOrEqual">
      <formula>I15</formula>
    </cfRule>
  </conditionalFormatting>
  <conditionalFormatting sqref="Y18">
    <cfRule type="cellIs" dxfId="9" priority="90" operator="lessThanOrEqual">
      <formula>I18</formula>
    </cfRule>
  </conditionalFormatting>
  <conditionalFormatting sqref="Y21">
    <cfRule type="cellIs" dxfId="8" priority="92" operator="lessThanOrEqual">
      <formula>I21</formula>
    </cfRule>
  </conditionalFormatting>
  <conditionalFormatting sqref="Y24">
    <cfRule type="cellIs" dxfId="7" priority="94" operator="lessThanOrEqual">
      <formula>I24</formula>
    </cfRule>
  </conditionalFormatting>
  <conditionalFormatting sqref="Y25">
    <cfRule type="cellIs" dxfId="6" priority="96" operator="lessThanOrEqual">
      <formula>I25</formula>
    </cfRule>
  </conditionalFormatting>
  <conditionalFormatting sqref="Y28">
    <cfRule type="cellIs" dxfId="5" priority="98" operator="lessThanOrEqual">
      <formula>I28</formula>
    </cfRule>
  </conditionalFormatting>
  <conditionalFormatting sqref="Y29">
    <cfRule type="cellIs" dxfId="4" priority="100" operator="lessThanOrEqual">
      <formula>I29</formula>
    </cfRule>
  </conditionalFormatting>
  <conditionalFormatting sqref="Y30">
    <cfRule type="cellIs" dxfId="3" priority="102" operator="lessThanOrEqual">
      <formula>I30</formula>
    </cfRule>
  </conditionalFormatting>
  <conditionalFormatting sqref="Y7">
    <cfRule type="cellIs" dxfId="2" priority="74" operator="lessThanOrEqual">
      <formula>I7</formula>
    </cfRule>
  </conditionalFormatting>
  <conditionalFormatting sqref="Y8">
    <cfRule type="cellIs" dxfId="1" priority="76" operator="lessThanOrEqual">
      <formula>I8</formula>
    </cfRule>
  </conditionalFormatting>
  <conditionalFormatting sqref="Y9">
    <cfRule type="cellIs" dxfId="0" priority="78" operator="lessThanOrEqual">
      <formula>I9</formula>
    </cfRule>
  </conditionalFormatting>
  <hyperlinks>
    <hyperlink ref="O7" r:id="rId1"/>
    <hyperlink ref="U7" r:id="rId2"/>
    <hyperlink ref="AA7" r:id="rId3"/>
    <hyperlink ref="O8" r:id="rId4"/>
    <hyperlink ref="U8" r:id="rId5"/>
    <hyperlink ref="AA8" r:id="rId6"/>
    <hyperlink ref="O9" r:id="rId7"/>
    <hyperlink ref="U9" r:id="rId8"/>
    <hyperlink ref="AA9" r:id="rId9"/>
    <hyperlink ref="O10" r:id="rId10"/>
    <hyperlink ref="U10" r:id="rId11"/>
    <hyperlink ref="AA10" r:id="rId12"/>
    <hyperlink ref="O11" r:id="rId13"/>
    <hyperlink ref="U11" r:id="rId14"/>
    <hyperlink ref="AA11" r:id="rId15"/>
    <hyperlink ref="O13" r:id="rId16"/>
    <hyperlink ref="U13" r:id="rId17"/>
    <hyperlink ref="AA13" r:id="rId18"/>
    <hyperlink ref="O14" r:id="rId19"/>
    <hyperlink ref="U14" r:id="rId20"/>
    <hyperlink ref="AA14" r:id="rId21"/>
    <hyperlink ref="O15" r:id="rId22"/>
    <hyperlink ref="U15" r:id="rId23"/>
    <hyperlink ref="AA15" r:id="rId24"/>
    <hyperlink ref="O17" r:id="rId25"/>
    <hyperlink ref="U17" r:id="rId26"/>
    <hyperlink ref="O18" r:id="rId27"/>
    <hyperlink ref="U18" r:id="rId28"/>
    <hyperlink ref="AA18" r:id="rId29"/>
    <hyperlink ref="U19" r:id="rId30"/>
    <hyperlink ref="O21" r:id="rId31"/>
    <hyperlink ref="U21" r:id="rId32"/>
    <hyperlink ref="AA21" r:id="rId33"/>
    <hyperlink ref="O22" r:id="rId34"/>
    <hyperlink ref="U22" r:id="rId35"/>
    <hyperlink ref="O24" r:id="rId36"/>
    <hyperlink ref="U24" r:id="rId37"/>
    <hyperlink ref="AA24" r:id="rId38"/>
    <hyperlink ref="O25" r:id="rId39"/>
    <hyperlink ref="U25" r:id="rId40"/>
    <hyperlink ref="AA25" r:id="rId41"/>
    <hyperlink ref="O27" r:id="rId42"/>
    <hyperlink ref="O28" r:id="rId43"/>
    <hyperlink ref="U28" r:id="rId44"/>
    <hyperlink ref="AA28" r:id="rId45"/>
    <hyperlink ref="O29" r:id="rId46"/>
    <hyperlink ref="U29" r:id="rId47"/>
    <hyperlink ref="AA29" r:id="rId48"/>
    <hyperlink ref="O30" r:id="rId49"/>
    <hyperlink ref="U30" r:id="rId50"/>
    <hyperlink ref="AA30" r:id="rId51"/>
  </hyperlinks>
  <pageMargins left="0.7" right="0.7" top="0.75" bottom="0.75" header="0.3" footer="0.3"/>
  <legacy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Perla, Michele</cp:lastModifiedBy>
  <dcterms:created xsi:type="dcterms:W3CDTF">2016-01-08T17:30:20Z</dcterms:created>
  <dcterms:modified xsi:type="dcterms:W3CDTF">2016-01-08T16:40:10Z</dcterms:modified>
</cp:coreProperties>
</file>