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1"/>
  </bookViews>
  <sheets>
    <sheet name="KiCost" sheetId="1" r:id="rId1"/>
    <sheet name="BOM X 20 boards" sheetId="2" r:id="rId2"/>
  </sheets>
  <definedNames>
    <definedName name="BoardQty">KiCost!$I$1</definedName>
    <definedName name="digikey_part_data">KiCost!$J$5:$O$30</definedName>
    <definedName name="global_part_data">KiCost!$A$5:$I$30</definedName>
    <definedName name="local_part_data">KiCost!$AB$5:$AG$30</definedName>
    <definedName name="mouser_part_data">KiCost!$P$5:$U$30</definedName>
    <definedName name="newark_part_data">KiCost!$V$5:$AA$30</definedName>
    <definedName name="seeedstudio_part_data">KiCost!$AH$5:$AM$30</definedName>
    <definedName name="TotalCost">KiCost!$I$2</definedName>
  </definedNames>
  <calcPr calcId="145621"/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2" i="2"/>
  <c r="L3" i="2"/>
  <c r="L4" i="2"/>
  <c r="L5" i="2"/>
  <c r="L6" i="2"/>
  <c r="L7" i="2"/>
  <c r="L8" i="2"/>
  <c r="L9" i="2"/>
  <c r="L10" i="2"/>
  <c r="L11" i="2"/>
  <c r="L12" i="2"/>
  <c r="L2" i="2"/>
  <c r="K3" i="2"/>
  <c r="K4" i="2"/>
  <c r="K5" i="2"/>
  <c r="K6" i="2"/>
  <c r="K7" i="2"/>
  <c r="K8" i="2"/>
  <c r="K9" i="2"/>
  <c r="K10" i="2"/>
  <c r="K11" i="2"/>
  <c r="K12" i="2"/>
  <c r="K2" i="2"/>
  <c r="AK55" i="1" a="1"/>
  <c r="AK55" i="1" s="1"/>
  <c r="AJ55" i="1" a="1"/>
  <c r="AJ55" i="1" s="1"/>
  <c r="AI55" i="1" a="1"/>
  <c r="AI55" i="1" s="1"/>
  <c r="AE55" i="1" a="1"/>
  <c r="AE55" i="1" s="1"/>
  <c r="AD55" i="1" a="1"/>
  <c r="AD55" i="1" s="1"/>
  <c r="AC55" i="1" a="1"/>
  <c r="AC55" i="1" s="1"/>
  <c r="Y55" i="1" a="1"/>
  <c r="Y55" i="1" s="1"/>
  <c r="X55" i="1" a="1"/>
  <c r="X55" i="1" s="1"/>
  <c r="W55" i="1" a="1"/>
  <c r="W55" i="1" s="1"/>
  <c r="S55" i="1" a="1"/>
  <c r="S55" i="1" s="1"/>
  <c r="R55" i="1" a="1"/>
  <c r="R55" i="1" s="1"/>
  <c r="Q55" i="1" a="1"/>
  <c r="Q55" i="1" s="1"/>
  <c r="M55" i="1" a="1"/>
  <c r="M55" i="1" s="1"/>
  <c r="L55" i="1" a="1"/>
  <c r="L55" i="1" s="1"/>
  <c r="K55" i="1" a="1"/>
  <c r="K55" i="1" s="1"/>
  <c r="AK54" i="1" a="1"/>
  <c r="AK54" i="1" s="1"/>
  <c r="AJ54" i="1" a="1"/>
  <c r="AJ54" i="1" s="1"/>
  <c r="AI54" i="1" a="1"/>
  <c r="AI54" i="1" s="1"/>
  <c r="AE54" i="1" a="1"/>
  <c r="AE54" i="1" s="1"/>
  <c r="AD54" i="1" a="1"/>
  <c r="AD54" i="1" s="1"/>
  <c r="AC54" i="1" a="1"/>
  <c r="AC54" i="1" s="1"/>
  <c r="Y54" i="1" a="1"/>
  <c r="Y54" i="1" s="1"/>
  <c r="X54" i="1" a="1"/>
  <c r="X54" i="1" s="1"/>
  <c r="W54" i="1" a="1"/>
  <c r="W54" i="1" s="1"/>
  <c r="S54" i="1" a="1"/>
  <c r="S54" i="1" s="1"/>
  <c r="R54" i="1" a="1"/>
  <c r="R54" i="1" s="1"/>
  <c r="Q54" i="1" a="1"/>
  <c r="Q54" i="1" s="1"/>
  <c r="M54" i="1" a="1"/>
  <c r="M54" i="1" s="1"/>
  <c r="L54" i="1" a="1"/>
  <c r="L54" i="1" s="1"/>
  <c r="K54" i="1" a="1"/>
  <c r="K54" i="1" s="1"/>
  <c r="AK53" i="1" a="1"/>
  <c r="AK53" i="1" s="1"/>
  <c r="AJ53" i="1" a="1"/>
  <c r="AJ53" i="1" s="1"/>
  <c r="AI53" i="1" a="1"/>
  <c r="AI53" i="1" s="1"/>
  <c r="AE53" i="1" a="1"/>
  <c r="AE53" i="1" s="1"/>
  <c r="AD53" i="1" a="1"/>
  <c r="AD53" i="1" s="1"/>
  <c r="AC53" i="1" a="1"/>
  <c r="AC53" i="1" s="1"/>
  <c r="Y53" i="1" a="1"/>
  <c r="Y53" i="1" s="1"/>
  <c r="X53" i="1" a="1"/>
  <c r="X53" i="1" s="1"/>
  <c r="W53" i="1" a="1"/>
  <c r="W53" i="1" s="1"/>
  <c r="S53" i="1" a="1"/>
  <c r="S53" i="1" s="1"/>
  <c r="R53" i="1" a="1"/>
  <c r="R53" i="1" s="1"/>
  <c r="Q53" i="1" a="1"/>
  <c r="Q53" i="1" s="1"/>
  <c r="M53" i="1" a="1"/>
  <c r="M53" i="1" s="1"/>
  <c r="L53" i="1" a="1"/>
  <c r="L53" i="1" s="1"/>
  <c r="K53" i="1" a="1"/>
  <c r="K53" i="1" s="1"/>
  <c r="AK52" i="1" a="1"/>
  <c r="AK52" i="1" s="1"/>
  <c r="AJ52" i="1" a="1"/>
  <c r="AJ52" i="1" s="1"/>
  <c r="AI52" i="1" a="1"/>
  <c r="AI52" i="1" s="1"/>
  <c r="AE52" i="1" a="1"/>
  <c r="AE52" i="1" s="1"/>
  <c r="AD52" i="1" a="1"/>
  <c r="AD52" i="1" s="1"/>
  <c r="AC52" i="1" a="1"/>
  <c r="AC52" i="1" s="1"/>
  <c r="Y52" i="1" a="1"/>
  <c r="Y52" i="1" s="1"/>
  <c r="X52" i="1" a="1"/>
  <c r="X52" i="1" s="1"/>
  <c r="W52" i="1" a="1"/>
  <c r="W52" i="1" s="1"/>
  <c r="S52" i="1" a="1"/>
  <c r="S52" i="1" s="1"/>
  <c r="R52" i="1" a="1"/>
  <c r="R52" i="1" s="1"/>
  <c r="Q52" i="1" a="1"/>
  <c r="Q52" i="1" s="1"/>
  <c r="M52" i="1" a="1"/>
  <c r="M52" i="1" s="1"/>
  <c r="L52" i="1" a="1"/>
  <c r="L52" i="1" s="1"/>
  <c r="K52" i="1" a="1"/>
  <c r="K52" i="1" s="1"/>
  <c r="AK51" i="1" a="1"/>
  <c r="AK51" i="1" s="1"/>
  <c r="AJ51" i="1" a="1"/>
  <c r="AJ51" i="1" s="1"/>
  <c r="AI51" i="1" a="1"/>
  <c r="AI51" i="1" s="1"/>
  <c r="AE51" i="1" a="1"/>
  <c r="AE51" i="1" s="1"/>
  <c r="AD51" i="1" a="1"/>
  <c r="AD51" i="1" s="1"/>
  <c r="AC51" i="1" a="1"/>
  <c r="AC51" i="1" s="1"/>
  <c r="Y51" i="1" a="1"/>
  <c r="Y51" i="1" s="1"/>
  <c r="X51" i="1" a="1"/>
  <c r="X51" i="1" s="1"/>
  <c r="W51" i="1" a="1"/>
  <c r="W51" i="1" s="1"/>
  <c r="S51" i="1" a="1"/>
  <c r="S51" i="1" s="1"/>
  <c r="R51" i="1" a="1"/>
  <c r="R51" i="1" s="1"/>
  <c r="Q51" i="1" a="1"/>
  <c r="Q51" i="1" s="1"/>
  <c r="M51" i="1" a="1"/>
  <c r="M51" i="1" s="1"/>
  <c r="L51" i="1" a="1"/>
  <c r="L51" i="1" s="1"/>
  <c r="K51" i="1" a="1"/>
  <c r="K51" i="1" s="1"/>
  <c r="AK50" i="1" a="1"/>
  <c r="AK50" i="1" s="1"/>
  <c r="AJ50" i="1" a="1"/>
  <c r="AJ50" i="1" s="1"/>
  <c r="AI50" i="1" a="1"/>
  <c r="AI50" i="1" s="1"/>
  <c r="AE50" i="1" a="1"/>
  <c r="AE50" i="1" s="1"/>
  <c r="AD50" i="1" a="1"/>
  <c r="AD50" i="1" s="1"/>
  <c r="AC50" i="1" a="1"/>
  <c r="AC50" i="1" s="1"/>
  <c r="Y50" i="1" a="1"/>
  <c r="Y50" i="1" s="1"/>
  <c r="X50" i="1" a="1"/>
  <c r="X50" i="1" s="1"/>
  <c r="W50" i="1" a="1"/>
  <c r="W50" i="1" s="1"/>
  <c r="S50" i="1" a="1"/>
  <c r="S50" i="1" s="1"/>
  <c r="R50" i="1" a="1"/>
  <c r="R50" i="1" s="1"/>
  <c r="Q50" i="1" a="1"/>
  <c r="Q50" i="1" s="1"/>
  <c r="M50" i="1" a="1"/>
  <c r="M50" i="1" s="1"/>
  <c r="L50" i="1" a="1"/>
  <c r="L50" i="1" s="1"/>
  <c r="K50" i="1" a="1"/>
  <c r="K50" i="1" s="1"/>
  <c r="AK49" i="1" a="1"/>
  <c r="AK49" i="1" s="1"/>
  <c r="AJ49" i="1" a="1"/>
  <c r="AJ49" i="1" s="1"/>
  <c r="AI49" i="1" a="1"/>
  <c r="AI49" i="1" s="1"/>
  <c r="AE49" i="1" a="1"/>
  <c r="AE49" i="1" s="1"/>
  <c r="AD49" i="1" a="1"/>
  <c r="AD49" i="1" s="1"/>
  <c r="AC49" i="1" a="1"/>
  <c r="AC49" i="1" s="1"/>
  <c r="Y49" i="1" a="1"/>
  <c r="Y49" i="1" s="1"/>
  <c r="X49" i="1" a="1"/>
  <c r="X49" i="1" s="1"/>
  <c r="W49" i="1" a="1"/>
  <c r="W49" i="1" s="1"/>
  <c r="S49" i="1" a="1"/>
  <c r="S49" i="1" s="1"/>
  <c r="R49" i="1" a="1"/>
  <c r="R49" i="1" s="1"/>
  <c r="Q49" i="1" a="1"/>
  <c r="Q49" i="1" s="1"/>
  <c r="M49" i="1" a="1"/>
  <c r="M49" i="1" s="1"/>
  <c r="L49" i="1" a="1"/>
  <c r="L49" i="1" s="1"/>
  <c r="K49" i="1" a="1"/>
  <c r="K49" i="1" s="1"/>
  <c r="AK48" i="1" a="1"/>
  <c r="AK48" i="1" s="1"/>
  <c r="AJ48" i="1" a="1"/>
  <c r="AJ48" i="1" s="1"/>
  <c r="AI48" i="1" a="1"/>
  <c r="AI48" i="1" s="1"/>
  <c r="AE48" i="1" a="1"/>
  <c r="AE48" i="1" s="1"/>
  <c r="AD48" i="1" a="1"/>
  <c r="AD48" i="1" s="1"/>
  <c r="AC48" i="1" a="1"/>
  <c r="AC48" i="1" s="1"/>
  <c r="Y48" i="1" a="1"/>
  <c r="Y48" i="1" s="1"/>
  <c r="X48" i="1" a="1"/>
  <c r="X48" i="1" s="1"/>
  <c r="W48" i="1" a="1"/>
  <c r="W48" i="1" s="1"/>
  <c r="S48" i="1" a="1"/>
  <c r="S48" i="1" s="1"/>
  <c r="R48" i="1" a="1"/>
  <c r="R48" i="1" s="1"/>
  <c r="Q48" i="1" a="1"/>
  <c r="Q48" i="1" s="1"/>
  <c r="M48" i="1" a="1"/>
  <c r="M48" i="1" s="1"/>
  <c r="L48" i="1" a="1"/>
  <c r="L48" i="1" s="1"/>
  <c r="K48" i="1" a="1"/>
  <c r="K48" i="1" s="1"/>
  <c r="AK47" i="1" a="1"/>
  <c r="AK47" i="1" s="1"/>
  <c r="AJ47" i="1" a="1"/>
  <c r="AJ47" i="1" s="1"/>
  <c r="AI47" i="1" a="1"/>
  <c r="AI47" i="1" s="1"/>
  <c r="AE47" i="1" a="1"/>
  <c r="AE47" i="1" s="1"/>
  <c r="AD47" i="1" a="1"/>
  <c r="AD47" i="1" s="1"/>
  <c r="AC47" i="1" a="1"/>
  <c r="AC47" i="1" s="1"/>
  <c r="Y47" i="1" a="1"/>
  <c r="Y47" i="1" s="1"/>
  <c r="X47" i="1" a="1"/>
  <c r="X47" i="1" s="1"/>
  <c r="W47" i="1" a="1"/>
  <c r="W47" i="1" s="1"/>
  <c r="S47" i="1" a="1"/>
  <c r="S47" i="1" s="1"/>
  <c r="R47" i="1" a="1"/>
  <c r="R47" i="1" s="1"/>
  <c r="Q47" i="1" a="1"/>
  <c r="Q47" i="1" s="1"/>
  <c r="M47" i="1" a="1"/>
  <c r="M47" i="1" s="1"/>
  <c r="L47" i="1" a="1"/>
  <c r="L47" i="1" s="1"/>
  <c r="K47" i="1" a="1"/>
  <c r="K47" i="1" s="1"/>
  <c r="AK46" i="1" a="1"/>
  <c r="AK46" i="1" s="1"/>
  <c r="AJ46" i="1" a="1"/>
  <c r="AJ46" i="1" s="1"/>
  <c r="AI46" i="1" a="1"/>
  <c r="AI46" i="1" s="1"/>
  <c r="AE46" i="1" a="1"/>
  <c r="AE46" i="1" s="1"/>
  <c r="AD46" i="1" a="1"/>
  <c r="AD46" i="1" s="1"/>
  <c r="AC46" i="1" a="1"/>
  <c r="AC46" i="1" s="1"/>
  <c r="Y46" i="1" a="1"/>
  <c r="Y46" i="1" s="1"/>
  <c r="X46" i="1" a="1"/>
  <c r="X46" i="1" s="1"/>
  <c r="W46" i="1" a="1"/>
  <c r="W46" i="1" s="1"/>
  <c r="S46" i="1" a="1"/>
  <c r="S46" i="1" s="1"/>
  <c r="R46" i="1" a="1"/>
  <c r="R46" i="1" s="1"/>
  <c r="Q46" i="1" a="1"/>
  <c r="Q46" i="1" s="1"/>
  <c r="M46" i="1" a="1"/>
  <c r="M46" i="1" s="1"/>
  <c r="L46" i="1" a="1"/>
  <c r="L46" i="1" s="1"/>
  <c r="K46" i="1" a="1"/>
  <c r="K46" i="1" s="1"/>
  <c r="AK45" i="1" a="1"/>
  <c r="AK45" i="1" s="1"/>
  <c r="AJ45" i="1" a="1"/>
  <c r="AJ45" i="1" s="1"/>
  <c r="AI45" i="1" a="1"/>
  <c r="AI45" i="1" s="1"/>
  <c r="AE45" i="1" a="1"/>
  <c r="AE45" i="1" s="1"/>
  <c r="AD45" i="1" a="1"/>
  <c r="AD45" i="1" s="1"/>
  <c r="AC45" i="1" a="1"/>
  <c r="AC45" i="1" s="1"/>
  <c r="Y45" i="1" a="1"/>
  <c r="Y45" i="1" s="1"/>
  <c r="X45" i="1" a="1"/>
  <c r="X45" i="1" s="1"/>
  <c r="W45" i="1" a="1"/>
  <c r="W45" i="1" s="1"/>
  <c r="S45" i="1" a="1"/>
  <c r="S45" i="1" s="1"/>
  <c r="R45" i="1" a="1"/>
  <c r="R45" i="1" s="1"/>
  <c r="Q45" i="1" a="1"/>
  <c r="Q45" i="1" s="1"/>
  <c r="M45" i="1" a="1"/>
  <c r="M45" i="1" s="1"/>
  <c r="L45" i="1" a="1"/>
  <c r="L45" i="1" s="1"/>
  <c r="K45" i="1" a="1"/>
  <c r="K45" i="1" s="1"/>
  <c r="AK44" i="1" a="1"/>
  <c r="AK44" i="1" s="1"/>
  <c r="AJ44" i="1" a="1"/>
  <c r="AJ44" i="1" s="1"/>
  <c r="AI44" i="1" a="1"/>
  <c r="AI44" i="1" s="1"/>
  <c r="AE44" i="1" a="1"/>
  <c r="AE44" i="1" s="1"/>
  <c r="AD44" i="1" a="1"/>
  <c r="AD44" i="1" s="1"/>
  <c r="AC44" i="1" a="1"/>
  <c r="AC44" i="1" s="1"/>
  <c r="Y44" i="1" a="1"/>
  <c r="Y44" i="1" s="1"/>
  <c r="X44" i="1" a="1"/>
  <c r="X44" i="1" s="1"/>
  <c r="W44" i="1" a="1"/>
  <c r="W44" i="1" s="1"/>
  <c r="S44" i="1" a="1"/>
  <c r="S44" i="1" s="1"/>
  <c r="R44" i="1" a="1"/>
  <c r="R44" i="1" s="1"/>
  <c r="Q44" i="1" a="1"/>
  <c r="Q44" i="1" s="1"/>
  <c r="M44" i="1" a="1"/>
  <c r="M44" i="1" s="1"/>
  <c r="L44" i="1" a="1"/>
  <c r="L44" i="1" s="1"/>
  <c r="K44" i="1" a="1"/>
  <c r="K44" i="1" s="1"/>
  <c r="AK43" i="1" a="1"/>
  <c r="AK43" i="1" s="1"/>
  <c r="AJ43" i="1" a="1"/>
  <c r="AJ43" i="1" s="1"/>
  <c r="AI43" i="1" a="1"/>
  <c r="AI43" i="1" s="1"/>
  <c r="AE43" i="1" a="1"/>
  <c r="AE43" i="1" s="1"/>
  <c r="AD43" i="1" a="1"/>
  <c r="AD43" i="1" s="1"/>
  <c r="AC43" i="1" a="1"/>
  <c r="AC43" i="1" s="1"/>
  <c r="Y43" i="1" a="1"/>
  <c r="Y43" i="1" s="1"/>
  <c r="X43" i="1" a="1"/>
  <c r="X43" i="1" s="1"/>
  <c r="W43" i="1" a="1"/>
  <c r="W43" i="1" s="1"/>
  <c r="S43" i="1" a="1"/>
  <c r="S43" i="1" s="1"/>
  <c r="R43" i="1" a="1"/>
  <c r="R43" i="1" s="1"/>
  <c r="Q43" i="1" a="1"/>
  <c r="Q43" i="1" s="1"/>
  <c r="M43" i="1" a="1"/>
  <c r="M43" i="1" s="1"/>
  <c r="L43" i="1" a="1"/>
  <c r="L43" i="1" s="1"/>
  <c r="K43" i="1" a="1"/>
  <c r="K43" i="1" s="1"/>
  <c r="AK42" i="1" a="1"/>
  <c r="AK42" i="1" s="1"/>
  <c r="AJ42" i="1" a="1"/>
  <c r="AJ42" i="1" s="1"/>
  <c r="AI42" i="1" a="1"/>
  <c r="AI42" i="1" s="1"/>
  <c r="AE42" i="1" a="1"/>
  <c r="AE42" i="1" s="1"/>
  <c r="AD42" i="1" a="1"/>
  <c r="AD42" i="1" s="1"/>
  <c r="AC42" i="1" a="1"/>
  <c r="AC42" i="1" s="1"/>
  <c r="Y42" i="1" a="1"/>
  <c r="Y42" i="1" s="1"/>
  <c r="X42" i="1" a="1"/>
  <c r="X42" i="1" s="1"/>
  <c r="W42" i="1" a="1"/>
  <c r="W42" i="1" s="1"/>
  <c r="S42" i="1" a="1"/>
  <c r="S42" i="1" s="1"/>
  <c r="R42" i="1" a="1"/>
  <c r="R42" i="1" s="1"/>
  <c r="Q42" i="1" a="1"/>
  <c r="Q42" i="1" s="1"/>
  <c r="M42" i="1" a="1"/>
  <c r="M42" i="1" s="1"/>
  <c r="L42" i="1" a="1"/>
  <c r="L42" i="1" s="1"/>
  <c r="K42" i="1" a="1"/>
  <c r="K42" i="1" s="1"/>
  <c r="AK41" i="1" a="1"/>
  <c r="AK41" i="1" s="1"/>
  <c r="AJ41" i="1" a="1"/>
  <c r="AJ41" i="1" s="1"/>
  <c r="AI41" i="1" a="1"/>
  <c r="AI41" i="1" s="1"/>
  <c r="AE41" i="1" a="1"/>
  <c r="AE41" i="1" s="1"/>
  <c r="AD41" i="1" a="1"/>
  <c r="AD41" i="1" s="1"/>
  <c r="AC41" i="1" a="1"/>
  <c r="AC41" i="1" s="1"/>
  <c r="Y41" i="1" a="1"/>
  <c r="Y41" i="1" s="1"/>
  <c r="X41" i="1" a="1"/>
  <c r="X41" i="1" s="1"/>
  <c r="W41" i="1" a="1"/>
  <c r="W41" i="1" s="1"/>
  <c r="S41" i="1" a="1"/>
  <c r="S41" i="1" s="1"/>
  <c r="R41" i="1" a="1"/>
  <c r="R41" i="1" s="1"/>
  <c r="Q41" i="1" a="1"/>
  <c r="Q41" i="1" s="1"/>
  <c r="M41" i="1" a="1"/>
  <c r="M41" i="1" s="1"/>
  <c r="L41" i="1" a="1"/>
  <c r="L41" i="1" s="1"/>
  <c r="K41" i="1" a="1"/>
  <c r="K41" i="1" s="1"/>
  <c r="AK40" i="1" a="1"/>
  <c r="AK40" i="1" s="1"/>
  <c r="AJ40" i="1" a="1"/>
  <c r="AJ40" i="1" s="1"/>
  <c r="AI40" i="1" a="1"/>
  <c r="AI40" i="1" s="1"/>
  <c r="AE40" i="1" a="1"/>
  <c r="AE40" i="1" s="1"/>
  <c r="AD40" i="1" a="1"/>
  <c r="AD40" i="1" s="1"/>
  <c r="AC40" i="1" a="1"/>
  <c r="AC40" i="1" s="1"/>
  <c r="Y40" i="1" a="1"/>
  <c r="Y40" i="1" s="1"/>
  <c r="X40" i="1" a="1"/>
  <c r="X40" i="1" s="1"/>
  <c r="W40" i="1" a="1"/>
  <c r="W40" i="1" s="1"/>
  <c r="S40" i="1" a="1"/>
  <c r="S40" i="1" s="1"/>
  <c r="R40" i="1" a="1"/>
  <c r="R40" i="1" s="1"/>
  <c r="Q40" i="1" a="1"/>
  <c r="Q40" i="1" s="1"/>
  <c r="M40" i="1" a="1"/>
  <c r="M40" i="1" s="1"/>
  <c r="L40" i="1" a="1"/>
  <c r="L40" i="1" s="1"/>
  <c r="K40" i="1" a="1"/>
  <c r="K40" i="1" s="1"/>
  <c r="AK39" i="1" a="1"/>
  <c r="AK39" i="1" s="1"/>
  <c r="AJ39" i="1" a="1"/>
  <c r="AJ39" i="1" s="1"/>
  <c r="AI39" i="1" a="1"/>
  <c r="AI39" i="1" s="1"/>
  <c r="AE39" i="1" a="1"/>
  <c r="AE39" i="1" s="1"/>
  <c r="AD39" i="1" a="1"/>
  <c r="AD39" i="1" s="1"/>
  <c r="AC39" i="1" a="1"/>
  <c r="AC39" i="1" s="1"/>
  <c r="Y39" i="1" a="1"/>
  <c r="Y39" i="1" s="1"/>
  <c r="X39" i="1" a="1"/>
  <c r="X39" i="1" s="1"/>
  <c r="W39" i="1" a="1"/>
  <c r="W39" i="1" s="1"/>
  <c r="S39" i="1" a="1"/>
  <c r="S39" i="1" s="1"/>
  <c r="R39" i="1" a="1"/>
  <c r="R39" i="1" s="1"/>
  <c r="Q39" i="1" a="1"/>
  <c r="Q39" i="1" s="1"/>
  <c r="M39" i="1" a="1"/>
  <c r="M39" i="1" s="1"/>
  <c r="L39" i="1" a="1"/>
  <c r="L39" i="1" s="1"/>
  <c r="K39" i="1" a="1"/>
  <c r="K39" i="1" s="1"/>
  <c r="AK38" i="1" a="1"/>
  <c r="AK38" i="1" s="1"/>
  <c r="AJ38" i="1" a="1"/>
  <c r="AJ38" i="1" s="1"/>
  <c r="AI38" i="1" a="1"/>
  <c r="AI38" i="1" s="1"/>
  <c r="AE38" i="1" a="1"/>
  <c r="AE38" i="1" s="1"/>
  <c r="AD38" i="1" a="1"/>
  <c r="AD38" i="1" s="1"/>
  <c r="AC38" i="1" a="1"/>
  <c r="AC38" i="1" s="1"/>
  <c r="Y38" i="1" a="1"/>
  <c r="Y38" i="1" s="1"/>
  <c r="X38" i="1" a="1"/>
  <c r="X38" i="1" s="1"/>
  <c r="W38" i="1" a="1"/>
  <c r="W38" i="1" s="1"/>
  <c r="S38" i="1" a="1"/>
  <c r="S38" i="1" s="1"/>
  <c r="R38" i="1" a="1"/>
  <c r="R38" i="1" s="1"/>
  <c r="Q38" i="1" a="1"/>
  <c r="Q38" i="1" s="1"/>
  <c r="M38" i="1" a="1"/>
  <c r="M38" i="1" s="1"/>
  <c r="L38" i="1" a="1"/>
  <c r="L38" i="1" s="1"/>
  <c r="K38" i="1" a="1"/>
  <c r="K38" i="1" s="1"/>
  <c r="AK37" i="1" a="1"/>
  <c r="AK37" i="1" s="1"/>
  <c r="AJ37" i="1" a="1"/>
  <c r="AJ37" i="1" s="1"/>
  <c r="AI37" i="1" a="1"/>
  <c r="AI37" i="1" s="1"/>
  <c r="AE37" i="1" a="1"/>
  <c r="AE37" i="1" s="1"/>
  <c r="AD37" i="1" a="1"/>
  <c r="AD37" i="1" s="1"/>
  <c r="AC37" i="1" a="1"/>
  <c r="AC37" i="1" s="1"/>
  <c r="Y37" i="1" a="1"/>
  <c r="Y37" i="1" s="1"/>
  <c r="X37" i="1" a="1"/>
  <c r="X37" i="1" s="1"/>
  <c r="W37" i="1" a="1"/>
  <c r="W37" i="1" s="1"/>
  <c r="S37" i="1" a="1"/>
  <c r="S37" i="1" s="1"/>
  <c r="R37" i="1" a="1"/>
  <c r="R37" i="1" s="1"/>
  <c r="Q37" i="1" a="1"/>
  <c r="Q37" i="1" s="1"/>
  <c r="M37" i="1" a="1"/>
  <c r="M37" i="1" s="1"/>
  <c r="L37" i="1" a="1"/>
  <c r="L37" i="1" s="1"/>
  <c r="K37" i="1" a="1"/>
  <c r="K37" i="1" s="1"/>
  <c r="AK36" i="1" a="1"/>
  <c r="AK36" i="1" s="1"/>
  <c r="AJ36" i="1" a="1"/>
  <c r="AJ36" i="1" s="1"/>
  <c r="AI36" i="1" a="1"/>
  <c r="AI36" i="1" s="1"/>
  <c r="AE36" i="1" a="1"/>
  <c r="AE36" i="1" s="1"/>
  <c r="AD36" i="1" a="1"/>
  <c r="AD36" i="1" s="1"/>
  <c r="AC36" i="1" a="1"/>
  <c r="AC36" i="1" s="1"/>
  <c r="Y36" i="1" a="1"/>
  <c r="Y36" i="1" s="1"/>
  <c r="X36" i="1" a="1"/>
  <c r="X36" i="1" s="1"/>
  <c r="W36" i="1" a="1"/>
  <c r="W36" i="1" s="1"/>
  <c r="S36" i="1" a="1"/>
  <c r="S36" i="1" s="1"/>
  <c r="R36" i="1" a="1"/>
  <c r="R36" i="1" s="1"/>
  <c r="Q36" i="1" a="1"/>
  <c r="Q36" i="1" s="1"/>
  <c r="M36" i="1" a="1"/>
  <c r="M36" i="1" s="1"/>
  <c r="L36" i="1" a="1"/>
  <c r="L36" i="1" s="1"/>
  <c r="K36" i="1" a="1"/>
  <c r="K36" i="1" s="1"/>
  <c r="AK35" i="1" a="1"/>
  <c r="AK35" i="1" s="1"/>
  <c r="AJ35" i="1" a="1"/>
  <c r="AJ35" i="1" s="1"/>
  <c r="AI35" i="1" a="1"/>
  <c r="AI35" i="1" s="1"/>
  <c r="AE35" i="1" a="1"/>
  <c r="AE35" i="1" s="1"/>
  <c r="AD35" i="1" a="1"/>
  <c r="AD35" i="1" s="1"/>
  <c r="AC35" i="1" a="1"/>
  <c r="AC35" i="1" s="1"/>
  <c r="Y35" i="1" a="1"/>
  <c r="Y35" i="1" s="1"/>
  <c r="X35" i="1" a="1"/>
  <c r="X35" i="1" s="1"/>
  <c r="W35" i="1" a="1"/>
  <c r="W35" i="1" s="1"/>
  <c r="S35" i="1" a="1"/>
  <c r="S35" i="1" s="1"/>
  <c r="R35" i="1" a="1"/>
  <c r="R35" i="1" s="1"/>
  <c r="Q35" i="1" a="1"/>
  <c r="Q35" i="1" s="1"/>
  <c r="M35" i="1" a="1"/>
  <c r="M35" i="1" s="1"/>
  <c r="L35" i="1" a="1"/>
  <c r="L35" i="1" s="1"/>
  <c r="K35" i="1" a="1"/>
  <c r="K35" i="1" s="1"/>
  <c r="AK34" i="1" a="1"/>
  <c r="AK34" i="1" s="1"/>
  <c r="AJ34" i="1" a="1"/>
  <c r="AJ34" i="1" s="1"/>
  <c r="AI34" i="1" a="1"/>
  <c r="AI34" i="1" s="1"/>
  <c r="AE34" i="1" a="1"/>
  <c r="AE34" i="1" s="1"/>
  <c r="AD34" i="1" a="1"/>
  <c r="AD34" i="1" s="1"/>
  <c r="AC34" i="1" a="1"/>
  <c r="AC34" i="1" s="1"/>
  <c r="Y34" i="1" a="1"/>
  <c r="Y34" i="1" s="1"/>
  <c r="X34" i="1" a="1"/>
  <c r="X34" i="1" s="1"/>
  <c r="W34" i="1" a="1"/>
  <c r="W34" i="1" s="1"/>
  <c r="S34" i="1" a="1"/>
  <c r="S34" i="1" s="1"/>
  <c r="R34" i="1" a="1"/>
  <c r="R34" i="1" s="1"/>
  <c r="Q34" i="1" a="1"/>
  <c r="Q34" i="1" s="1"/>
  <c r="M34" i="1" a="1"/>
  <c r="M34" i="1" s="1"/>
  <c r="L34" i="1" a="1"/>
  <c r="L34" i="1" s="1"/>
  <c r="K34" i="1" a="1"/>
  <c r="K34" i="1" s="1"/>
  <c r="AK33" i="1" a="1"/>
  <c r="AK33" i="1" s="1"/>
  <c r="AJ33" i="1" a="1"/>
  <c r="AJ33" i="1" s="1"/>
  <c r="AI33" i="1" a="1"/>
  <c r="AI33" i="1" s="1"/>
  <c r="AE33" i="1" a="1"/>
  <c r="AE33" i="1" s="1"/>
  <c r="AD33" i="1" a="1"/>
  <c r="AD33" i="1" s="1"/>
  <c r="AC33" i="1" a="1"/>
  <c r="AC33" i="1" s="1"/>
  <c r="Y33" i="1" a="1"/>
  <c r="Y33" i="1" s="1"/>
  <c r="X33" i="1" a="1"/>
  <c r="X33" i="1" s="1"/>
  <c r="W33" i="1" a="1"/>
  <c r="W33" i="1" s="1"/>
  <c r="S33" i="1" a="1"/>
  <c r="S33" i="1" s="1"/>
  <c r="R33" i="1" a="1"/>
  <c r="R33" i="1" s="1"/>
  <c r="Q33" i="1" a="1"/>
  <c r="Q33" i="1" s="1"/>
  <c r="M33" i="1" a="1"/>
  <c r="M33" i="1" s="1"/>
  <c r="L33" i="1" a="1"/>
  <c r="L33" i="1" s="1"/>
  <c r="K33" i="1" a="1"/>
  <c r="K33" i="1" s="1"/>
  <c r="AK32" i="1" a="1"/>
  <c r="AK32" i="1" s="1"/>
  <c r="AJ32" i="1" a="1"/>
  <c r="AJ32" i="1" s="1"/>
  <c r="AI32" i="1" a="1"/>
  <c r="AI32" i="1" s="1"/>
  <c r="AE32" i="1" a="1"/>
  <c r="AE32" i="1" s="1"/>
  <c r="AD32" i="1" a="1"/>
  <c r="AD32" i="1" s="1"/>
  <c r="AC32" i="1" a="1"/>
  <c r="AC32" i="1" s="1"/>
  <c r="Y32" i="1" a="1"/>
  <c r="Y32" i="1" s="1"/>
  <c r="X32" i="1" a="1"/>
  <c r="X32" i="1" s="1"/>
  <c r="W32" i="1" a="1"/>
  <c r="W32" i="1" s="1"/>
  <c r="S32" i="1" a="1"/>
  <c r="S32" i="1" s="1"/>
  <c r="R32" i="1" a="1"/>
  <c r="R32" i="1" s="1"/>
  <c r="Q32" i="1" a="1"/>
  <c r="Q32" i="1" s="1"/>
  <c r="M32" i="1" a="1"/>
  <c r="M32" i="1" s="1"/>
  <c r="L32" i="1" a="1"/>
  <c r="L32" i="1" s="1"/>
  <c r="K32" i="1" a="1"/>
  <c r="K32" i="1" s="1"/>
  <c r="G30" i="1"/>
  <c r="G29" i="1"/>
  <c r="X29" i="1" s="1"/>
  <c r="Y29" i="1" s="1"/>
  <c r="G28" i="1"/>
  <c r="G27" i="1"/>
  <c r="G26" i="1"/>
  <c r="G25" i="1"/>
  <c r="AD25" i="1" s="1"/>
  <c r="AE25" i="1" s="1"/>
  <c r="G24" i="1"/>
  <c r="R23" i="1"/>
  <c r="S23" i="1" s="1"/>
  <c r="G23" i="1"/>
  <c r="L23" i="1" s="1"/>
  <c r="M23" i="1" s="1"/>
  <c r="G22" i="1"/>
  <c r="G21" i="1"/>
  <c r="AD21" i="1" s="1"/>
  <c r="AE21" i="1" s="1"/>
  <c r="G20" i="1"/>
  <c r="G19" i="1"/>
  <c r="G18" i="1"/>
  <c r="G17" i="1"/>
  <c r="AD17" i="1" s="1"/>
  <c r="AE17" i="1" s="1"/>
  <c r="G16" i="1"/>
  <c r="G15" i="1"/>
  <c r="AD15" i="1" s="1"/>
  <c r="AE15" i="1" s="1"/>
  <c r="G14" i="1"/>
  <c r="G13" i="1"/>
  <c r="X13" i="1" s="1"/>
  <c r="Y13" i="1" s="1"/>
  <c r="G12" i="1"/>
  <c r="G11" i="1"/>
  <c r="R11" i="1" s="1"/>
  <c r="S11" i="1" s="1"/>
  <c r="G10" i="1"/>
  <c r="G9" i="1"/>
  <c r="R9" i="1" s="1"/>
  <c r="S9" i="1" s="1"/>
  <c r="G8" i="1"/>
  <c r="G7" i="1"/>
  <c r="R7" i="1" s="1"/>
  <c r="S7" i="1" s="1"/>
  <c r="H27" i="1"/>
  <c r="H25" i="1"/>
  <c r="H23" i="1"/>
  <c r="H21" i="1"/>
  <c r="H19" i="1"/>
  <c r="H17" i="1"/>
  <c r="H15" i="1"/>
  <c r="H24" i="1"/>
  <c r="H16" i="1"/>
  <c r="H12" i="1"/>
  <c r="AD29" i="1" l="1"/>
  <c r="X7" i="1"/>
  <c r="X11" i="1"/>
  <c r="L7" i="1"/>
  <c r="M7" i="1" s="1"/>
  <c r="L11" i="1"/>
  <c r="M11" i="1" s="1"/>
  <c r="R13" i="1"/>
  <c r="S13" i="1" s="1"/>
  <c r="R29" i="1"/>
  <c r="S29" i="1" s="1"/>
  <c r="L9" i="1"/>
  <c r="M9" i="1" s="1"/>
  <c r="X9" i="1"/>
  <c r="L13" i="1"/>
  <c r="I12" i="1"/>
  <c r="I15" i="1"/>
  <c r="I16" i="1"/>
  <c r="I19" i="1"/>
  <c r="I21" i="1"/>
  <c r="I24" i="1"/>
  <c r="I27" i="1"/>
  <c r="I17" i="1"/>
  <c r="I23" i="1"/>
  <c r="I25" i="1"/>
  <c r="AD8" i="1"/>
  <c r="AD10" i="1"/>
  <c r="L14" i="1"/>
  <c r="M14" i="1" s="1"/>
  <c r="R14" i="1"/>
  <c r="S14" i="1" s="1"/>
  <c r="X14" i="1"/>
  <c r="R18" i="1"/>
  <c r="L20" i="1"/>
  <c r="R20" i="1"/>
  <c r="S20" i="1" s="1"/>
  <c r="AD20" i="1"/>
  <c r="AE20" i="1" s="1"/>
  <c r="L22" i="1"/>
  <c r="M22" i="1" s="1"/>
  <c r="R22" i="1"/>
  <c r="S22" i="1" s="1"/>
  <c r="X22" i="1"/>
  <c r="AD26" i="1"/>
  <c r="AD28" i="1"/>
  <c r="AD30" i="1"/>
  <c r="AE30" i="1" s="1"/>
  <c r="AJ30" i="1"/>
  <c r="H29" i="1"/>
  <c r="H11" i="1"/>
  <c r="H7" i="1"/>
  <c r="H13" i="1"/>
  <c r="H9" i="1"/>
  <c r="H10" i="1"/>
  <c r="H18" i="1"/>
  <c r="H22" i="1"/>
  <c r="H28" i="1"/>
  <c r="H30" i="1"/>
  <c r="H8" i="1"/>
  <c r="H14" i="1"/>
  <c r="H20" i="1"/>
  <c r="H26" i="1"/>
  <c r="I7" i="1" l="1"/>
  <c r="I11" i="1"/>
  <c r="I29" i="1"/>
  <c r="Y7" i="1"/>
  <c r="Y11" i="1"/>
  <c r="AE29" i="1"/>
  <c r="I9" i="1"/>
  <c r="I13" i="1"/>
  <c r="Y9" i="1"/>
  <c r="M13" i="1"/>
  <c r="I26" i="1"/>
  <c r="I20" i="1"/>
  <c r="I14" i="1"/>
  <c r="I8" i="1"/>
  <c r="I30" i="1"/>
  <c r="I28" i="1"/>
  <c r="I22" i="1"/>
  <c r="I18" i="1"/>
  <c r="I10" i="1"/>
  <c r="AE26" i="1"/>
  <c r="M20" i="1"/>
  <c r="M2" i="1" s="1"/>
  <c r="Y14" i="1"/>
  <c r="AE8" i="1"/>
  <c r="AK30" i="1"/>
  <c r="AK2" i="1" s="1"/>
  <c r="AE28" i="1"/>
  <c r="Y22" i="1"/>
  <c r="S18" i="1"/>
  <c r="S2" i="1" s="1"/>
  <c r="AE10" i="1"/>
  <c r="Y2" i="1" l="1"/>
  <c r="I2" i="1"/>
  <c r="I3" i="1" s="1"/>
  <c r="AE2" i="1"/>
</calcChain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<sst xmlns="http://schemas.openxmlformats.org/spreadsheetml/2006/main" count="307" uniqueCount="140">
  <si>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</si>
  <si>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</si>
  <si>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</si>
  <si>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</si>
  <si>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</si>
  <si>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</si>
  <si>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</si>
  <si>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</si>
  <si>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</si>
  <si>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</si>
  <si>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C3,C4</t>
  </si>
  <si>
    <t>10uF</t>
  </si>
  <si>
    <t>hack-footprints:c_elec_3x5.3</t>
  </si>
  <si>
    <t>UWX1C100MCL2GB</t>
  </si>
  <si>
    <t>D1</t>
  </si>
  <si>
    <t>RED</t>
  </si>
  <si>
    <t>hack-footprints:LED_0603_HandSoldering</t>
  </si>
  <si>
    <t>304090042</t>
  </si>
  <si>
    <t>U2</t>
  </si>
  <si>
    <t>STF202</t>
  </si>
  <si>
    <t>hack-footprints:TSOP-6</t>
  </si>
  <si>
    <t>STF202-22T1G</t>
  </si>
  <si>
    <t>C5</t>
  </si>
  <si>
    <t>4.7nF</t>
  </si>
  <si>
    <t>hack-footprints:C_0603_HandSoldering</t>
  </si>
  <si>
    <t>302010144</t>
  </si>
  <si>
    <t>L2</t>
  </si>
  <si>
    <t>10uH</t>
  </si>
  <si>
    <t>hack-footprints:ELLVFG</t>
  </si>
  <si>
    <t>ELL-VFG100MC</t>
  </si>
  <si>
    <t>JP1</t>
  </si>
  <si>
    <t>Jumper_NO_Small</t>
  </si>
  <si>
    <t>hack-footprints:SMD_Jumper</t>
  </si>
  <si>
    <t>U3</t>
  </si>
  <si>
    <t>ATSAMD21E</t>
  </si>
  <si>
    <t>hack-footprints:QFN-32-1EP_5x5mm_Pitch0.5mm</t>
  </si>
  <si>
    <t>ATSAMD21E18A-MU</t>
  </si>
  <si>
    <t>L1</t>
  </si>
  <si>
    <t>BLM18EG221</t>
  </si>
  <si>
    <t>hack-footprints:L_0603_HandSoldering</t>
  </si>
  <si>
    <t>BLM18EG221SN1D</t>
  </si>
  <si>
    <t>R3</t>
  </si>
  <si>
    <t>10k</t>
  </si>
  <si>
    <t>hack-footprints:R_0603_HandSoldering</t>
  </si>
  <si>
    <t>301010299</t>
  </si>
  <si>
    <t>FID1-FID3</t>
  </si>
  <si>
    <t>FIDUCIAL</t>
  </si>
  <si>
    <t>hack-footprints:FIDUCIAL</t>
  </si>
  <si>
    <t>S1</t>
  </si>
  <si>
    <t>RST</t>
  </si>
  <si>
    <t>hack-footprints:SPST-PTS_810</t>
  </si>
  <si>
    <t>311020045</t>
  </si>
  <si>
    <t>LOGO3</t>
  </si>
  <si>
    <t>HACK</t>
  </si>
  <si>
    <t>hack-footprints:HACK-LOGO</t>
  </si>
  <si>
    <t>P4</t>
  </si>
  <si>
    <t>CONN_01X01</t>
  </si>
  <si>
    <t>hack-footprints:Pin_Castellated_1x01</t>
  </si>
  <si>
    <t>P1</t>
  </si>
  <si>
    <t>USB_micro</t>
  </si>
  <si>
    <t>hack-footprints:ST-USB-001G</t>
  </si>
  <si>
    <t>320010000</t>
  </si>
  <si>
    <t>X1</t>
  </si>
  <si>
    <t>ABS07</t>
  </si>
  <si>
    <t>hack-footprints:xtal_3.2x1.5mm</t>
  </si>
  <si>
    <t>306010055</t>
  </si>
  <si>
    <t>C1,C2</t>
  </si>
  <si>
    <t>2.2uF</t>
  </si>
  <si>
    <t>CC0603MRX5R5BB225</t>
  </si>
  <si>
    <t>U1</t>
  </si>
  <si>
    <t>MIC5528</t>
  </si>
  <si>
    <t>hack-footprints:DFN-6-1EP_1.2x1.2mm_Pitch0.4mm</t>
  </si>
  <si>
    <t>MIC5528-3.3YMT-TR</t>
  </si>
  <si>
    <t>LOGO2</t>
  </si>
  <si>
    <t>HACKADAY</t>
  </si>
  <si>
    <t>hack-footprints:HACKADAY-LOGO</t>
  </si>
  <si>
    <t>mfr_pn</t>
  </si>
  <si>
    <t>C8-C11</t>
  </si>
  <si>
    <t>100nF</t>
  </si>
  <si>
    <t>302010138</t>
  </si>
  <si>
    <t>R1</t>
  </si>
  <si>
    <t>1M</t>
  </si>
  <si>
    <t>301010151</t>
  </si>
  <si>
    <t>LOGO1</t>
  </si>
  <si>
    <t>OSHW</t>
  </si>
  <si>
    <t>hack-footprints:OSHW-LOGO</t>
  </si>
  <si>
    <t>P2,P3</t>
  </si>
  <si>
    <t>CONN_01X13</t>
  </si>
  <si>
    <t>hack-footprints:Pin_Castellated_1x13</t>
  </si>
  <si>
    <t>320020128</t>
  </si>
  <si>
    <t>R2,R4</t>
  </si>
  <si>
    <t>330</t>
  </si>
  <si>
    <t>301010300</t>
  </si>
  <si>
    <t>C6,C7</t>
  </si>
  <si>
    <t>10pF</t>
  </si>
  <si>
    <t>302010097</t>
  </si>
  <si>
    <t>Board Qty:</t>
  </si>
  <si>
    <t>Total Cost:</t>
  </si>
  <si>
    <t>Unit Cost:</t>
  </si>
  <si>
    <t>Digi-Key</t>
  </si>
  <si>
    <t>Doc</t>
  </si>
  <si>
    <t>Avail</t>
  </si>
  <si>
    <t>Purch</t>
  </si>
  <si>
    <t>Cat#</t>
  </si>
  <si>
    <t>493-2099-1-ND</t>
  </si>
  <si>
    <t>Link</t>
  </si>
  <si>
    <t>STF202-22T1GOSCT-ND</t>
  </si>
  <si>
    <t>PCD2293CT-ND</t>
  </si>
  <si>
    <t>ATSAMD21E18A-MU-ND</t>
  </si>
  <si>
    <t>490-3992-1-ND</t>
  </si>
  <si>
    <t>13410-63200100000-ND</t>
  </si>
  <si>
    <t>311-1814-1-ND</t>
  </si>
  <si>
    <t>576-4766-1-ND</t>
  </si>
  <si>
    <t>Mouser</t>
  </si>
  <si>
    <t>647-UWX1C100MCL2</t>
  </si>
  <si>
    <t>863-STF202-22T1G</t>
  </si>
  <si>
    <t>667-ELL-VFG100MC</t>
  </si>
  <si>
    <t>556-ATSAMD21E18A-MU</t>
  </si>
  <si>
    <t>81-BLM18EG221SN1D</t>
  </si>
  <si>
    <t>653-VAL</t>
  </si>
  <si>
    <t>972-XLH3200100004X</t>
  </si>
  <si>
    <t>603-CC603MRX5R5BB225</t>
  </si>
  <si>
    <t>998-MIC5528-3.3YMTTR</t>
  </si>
  <si>
    <t>575-3301010300240000</t>
  </si>
  <si>
    <t>Newark</t>
  </si>
  <si>
    <t>58R3619</t>
  </si>
  <si>
    <t>45J2271</t>
  </si>
  <si>
    <t>15R1033</t>
  </si>
  <si>
    <t>45X9914</t>
  </si>
  <si>
    <t>73M9090</t>
  </si>
  <si>
    <t>90R7669</t>
  </si>
  <si>
    <t>76T1133</t>
  </si>
  <si>
    <t>Local</t>
  </si>
  <si>
    <t>Seeedstudio</t>
  </si>
  <si>
    <t>minQty</t>
  </si>
  <si>
    <t>SKU to ORDER</t>
  </si>
  <si>
    <t>real price</t>
  </si>
  <si>
    <t>minQtyPrice</t>
  </si>
  <si>
    <t>order from</t>
  </si>
  <si>
    <t>Seeed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</si>
</sst>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.00"/>
    <numFmt numFmtId="165" formatCode="[$$-409]#,##0.000"/>
  </numFmts>
  <fonts count="8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090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74"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Search/Refine.aspx?Keyword=ELL-VFG100MC" TargetMode="External"/><Relationship Id="rId13" Type="http://schemas.openxmlformats.org/officeDocument/2006/relationships/hyperlink" Target="http://www.digikey.com/product-detail/en/BLM18EG221SN1D/490-3992-1-ND/1016252" TargetMode="External"/><Relationship Id="rId18" Type="http://schemas.openxmlformats.org/officeDocument/2006/relationships/hyperlink" Target="http://www.mouser.com/ProductDetail/IDT/XLH320010000JX4X/?qs=sGAEpiMZZMu6TJb8E8Cjr7ZSCn5lr7aW5kOAqkwhzGM%3d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://www.newark.com/nichicon/uwx1c100mcl2gb/aluminum-electrolytic-capacitor/dp/58R3619" TargetMode="External"/><Relationship Id="rId21" Type="http://schemas.openxmlformats.org/officeDocument/2006/relationships/hyperlink" Target="http://www.newark.com/tdk/c1608x5r0j225m080ab/ceramic-capacitor-2-2uf-6-3v-x5r/dp/90R7669" TargetMode="External"/><Relationship Id="rId7" Type="http://schemas.openxmlformats.org/officeDocument/2006/relationships/hyperlink" Target="http://www.digikey.com/product-detail/en/ELL-VFG100MC/PCD2293CT-ND/1938502" TargetMode="External"/><Relationship Id="rId12" Type="http://schemas.openxmlformats.org/officeDocument/2006/relationships/hyperlink" Target="http://www.newark.com/atmel/atsamd21e18a-mu/cortex-m0-64kb-flash-8kb-sram/dp/45X9914" TargetMode="External"/><Relationship Id="rId17" Type="http://schemas.openxmlformats.org/officeDocument/2006/relationships/hyperlink" Target="http://www.digikey.com/product-detail/en/134-10-632-00-100000/13410-63200100000-ND/472993" TargetMode="External"/><Relationship Id="rId25" Type="http://schemas.openxmlformats.org/officeDocument/2006/relationships/hyperlink" Target="http://www.newark.com/webapp/wcs/stores/servlet/Search?catalogId=15003&amp;langId=-1&amp;storeId=10194&amp;gs=true&amp;st=301010300" TargetMode="External"/><Relationship Id="rId2" Type="http://schemas.openxmlformats.org/officeDocument/2006/relationships/hyperlink" Target="http://www.mouser.com/Search/Refine.aspx?Keyword=UWX1C100MCL2GB" TargetMode="External"/><Relationship Id="rId16" Type="http://schemas.openxmlformats.org/officeDocument/2006/relationships/hyperlink" Target="http://www.mouser.com/ProductDetail/Omron-Electronics/VAL/?qs=sGAEpiMZZMtzFpQ%252bfsc2VG9FapavGxSS" TargetMode="External"/><Relationship Id="rId20" Type="http://schemas.openxmlformats.org/officeDocument/2006/relationships/hyperlink" Target="http://www.mouser.com/Search/Refine.aspx?Keyword=CC0603MRX5R5BB225" TargetMode="External"/><Relationship Id="rId1" Type="http://schemas.openxmlformats.org/officeDocument/2006/relationships/hyperlink" Target="http://www.digikey.com/product-detail/en/UWX1C100MCL2GB/493-2099-1-ND/590074" TargetMode="External"/><Relationship Id="rId6" Type="http://schemas.openxmlformats.org/officeDocument/2006/relationships/hyperlink" Target="http://www.newark.com/on-semiconductor/stf202-22t1g/rc-n-w-filter-22-ohm-68pf-tsop/dp/45J2271" TargetMode="External"/><Relationship Id="rId11" Type="http://schemas.openxmlformats.org/officeDocument/2006/relationships/hyperlink" Target="http://www.mouser.com/ProductDetail/Atmel/ATSAMD21E18A-MU/?qs=sGAEpiMZZMuoKKEcg8mMKHVqFrYvdykFyyXa6Kfju1rM9GkwryGRIw%3d%3d" TargetMode="External"/><Relationship Id="rId24" Type="http://schemas.openxmlformats.org/officeDocument/2006/relationships/hyperlink" Target="http://www.mouser.com/Search/Refine.aspx?Keyword=301010300" TargetMode="External"/><Relationship Id="rId5" Type="http://schemas.openxmlformats.org/officeDocument/2006/relationships/hyperlink" Target="http://www.mouser.com/Search/Refine.aspx?Keyword=STF202-22T1G" TargetMode="External"/><Relationship Id="rId15" Type="http://schemas.openxmlformats.org/officeDocument/2006/relationships/hyperlink" Target="http://www.newark.com/murata/blm18eg221sn1d/ferrite-bead-0-05ohm-2a-0603/dp/73M9090" TargetMode="External"/><Relationship Id="rId23" Type="http://schemas.openxmlformats.org/officeDocument/2006/relationships/hyperlink" Target="http://www.mouser.com/Search/Refine.aspx?Keyword=MIC5528-3.3YMT-TR" TargetMode="External"/><Relationship Id="rId10" Type="http://schemas.openxmlformats.org/officeDocument/2006/relationships/hyperlink" Target="http://www.digikey.com/product-detail/en/ATSAMD21E18A-MU/ATSAMD21E18A-MU-ND/4935887" TargetMode="External"/><Relationship Id="rId19" Type="http://schemas.openxmlformats.org/officeDocument/2006/relationships/hyperlink" Target="http://www.digikey.com/product-detail/en/CC0603MRX5R5BB225/311-1814-1-ND/5195716" TargetMode="External"/><Relationship Id="rId4" Type="http://schemas.openxmlformats.org/officeDocument/2006/relationships/hyperlink" Target="http://www.digikey.com/product-detail/en/STF202-22T1G/STF202-22T1GOSCT-ND/720944" TargetMode="External"/><Relationship Id="rId9" Type="http://schemas.openxmlformats.org/officeDocument/2006/relationships/hyperlink" Target="http://www.newark.com/webapp/wcs/stores/servlet/Search?catalogId=15003&amp;langId=-1&amp;storeId=10194&amp;gs=true&amp;st=ELL-VFG100MC" TargetMode="External"/><Relationship Id="rId14" Type="http://schemas.openxmlformats.org/officeDocument/2006/relationships/hyperlink" Target="http://www.mouser.com/Search/Refine.aspx?Keyword=BLM18EG221SN1D" TargetMode="External"/><Relationship Id="rId22" Type="http://schemas.openxmlformats.org/officeDocument/2006/relationships/hyperlink" Target="http://www.digikey.com/product-detail/en/MIC5528-3.3YMT-TR/576-4766-1-ND/4864030" TargetMode="Externa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55"/>
  <sheetViews>
    <sheetView workbookViewId="0">
      <pane xSplit="9" ySplit="6" topLeftCell="O7" activePane="bottomRight" state="frozen"/>
      <selection pane="topRight" activeCell="J1" sqref="J1"/>
      <selection pane="bottomLeft" activeCell="A7" sqref="A7"/>
      <selection pane="bottomRight" activeCell="Z11" sqref="Z11"/>
    </sheetView>
  </sheetViews>
  <sheetFormatPr defaultRowHeight="15" outlineLevelCol="2" x14ac:dyDescent="0.25"/>
  <cols>
    <col min="5" max="5" width="9.28515625" customWidth="1"/>
    <col min="9" max="9" width="15.7109375" customWidth="1"/>
    <col min="10" max="10" width="9.140625" outlineLevel="1"/>
    <col min="11" max="12" width="9.140625" outlineLevel="2"/>
    <col min="13" max="13" width="15.7109375" customWidth="1"/>
    <col min="14" max="15" width="9.140625" outlineLevel="2"/>
    <col min="16" max="16" width="9.140625" outlineLevel="1"/>
    <col min="17" max="18" width="9.140625" outlineLevel="2"/>
    <col min="19" max="19" width="15.7109375" customWidth="1"/>
    <col min="20" max="21" width="9.140625" outlineLevel="2"/>
    <col min="22" max="22" width="9.140625" outlineLevel="1"/>
    <col min="23" max="24" width="9.140625" outlineLevel="2"/>
    <col min="25" max="25" width="15.7109375" customWidth="1"/>
    <col min="26" max="27" width="9.140625" outlineLevel="2"/>
    <col min="28" max="28" width="9.140625" outlineLevel="1"/>
    <col min="29" max="30" width="9.140625" outlineLevel="2"/>
    <col min="31" max="31" width="15.7109375" customWidth="1"/>
    <col min="32" max="33" width="9.140625" outlineLevel="2"/>
    <col min="34" max="34" width="9.140625" outlineLevel="1"/>
    <col min="35" max="36" width="9.140625" outlineLevel="2"/>
    <col min="37" max="37" width="15.7109375" customWidth="1"/>
    <col min="38" max="39" width="9.140625" outlineLevel="2"/>
  </cols>
  <sheetData>
    <row r="1" spans="1:39" ht="17.25" x14ac:dyDescent="0.3">
      <c r="H1" s="1" t="s">
        <v>96</v>
      </c>
      <c r="I1" s="1">
        <v>20</v>
      </c>
    </row>
    <row r="2" spans="1:39" ht="17.25" x14ac:dyDescent="0.25">
      <c r="H2" s="2" t="s">
        <v>97</v>
      </c>
      <c r="I2" s="3">
        <f ca="1">SUM(I7:I30)</f>
        <v>133.94399999999999</v>
      </c>
      <c r="M2" s="3">
        <f>SUM(M7:M30)</f>
        <v>577.45400000000006</v>
      </c>
      <c r="S2" s="3">
        <f>SUM(S7:S30)</f>
        <v>750.54000000000008</v>
      </c>
      <c r="Y2" s="3">
        <f>SUM(Y7:Y30)</f>
        <v>3342.5</v>
      </c>
      <c r="AE2" s="3">
        <f>SUM(AE7:AE30)</f>
        <v>23.871999999999996</v>
      </c>
      <c r="AK2" s="3">
        <f>SUM(AK7:AK30)</f>
        <v>40</v>
      </c>
    </row>
    <row r="3" spans="1:39" ht="17.25" x14ac:dyDescent="0.25">
      <c r="H3" s="2" t="s">
        <v>98</v>
      </c>
      <c r="I3" s="4">
        <f ca="1">TotalCost/BoardQty</f>
        <v>6.6971999999999996</v>
      </c>
    </row>
    <row r="5" spans="1:39" ht="18.75" x14ac:dyDescent="0.25">
      <c r="A5" s="8" t="s">
        <v>0</v>
      </c>
      <c r="B5" s="8"/>
      <c r="C5" s="8"/>
      <c r="D5" s="8"/>
      <c r="E5" s="8"/>
      <c r="F5" s="8"/>
      <c r="G5" s="8"/>
      <c r="H5" s="8"/>
      <c r="I5" s="8"/>
      <c r="J5" s="9" t="s">
        <v>99</v>
      </c>
      <c r="K5" s="9"/>
      <c r="L5" s="9"/>
      <c r="M5" s="9"/>
      <c r="N5" s="9"/>
      <c r="O5" s="9"/>
      <c r="P5" s="10" t="s">
        <v>113</v>
      </c>
      <c r="Q5" s="10"/>
      <c r="R5" s="10"/>
      <c r="S5" s="10"/>
      <c r="T5" s="10"/>
      <c r="U5" s="10"/>
      <c r="V5" s="11" t="s">
        <v>124</v>
      </c>
      <c r="W5" s="11"/>
      <c r="X5" s="11"/>
      <c r="Y5" s="11"/>
      <c r="Z5" s="11"/>
      <c r="AA5" s="11"/>
      <c r="AB5" s="12" t="s">
        <v>132</v>
      </c>
      <c r="AC5" s="12"/>
      <c r="AD5" s="12"/>
      <c r="AE5" s="12"/>
      <c r="AF5" s="12"/>
      <c r="AG5" s="12"/>
      <c r="AH5" s="13" t="s">
        <v>133</v>
      </c>
      <c r="AI5" s="13"/>
      <c r="AJ5" s="13"/>
      <c r="AK5" s="13"/>
      <c r="AL5" s="13"/>
      <c r="AM5" s="13"/>
    </row>
    <row r="6" spans="1:39" ht="31.5" x14ac:dyDescent="0.25">
      <c r="A6" s="5" t="s">
        <v>6</v>
      </c>
      <c r="B6" s="5" t="s">
        <v>8</v>
      </c>
      <c r="C6" s="5" t="s">
        <v>9</v>
      </c>
      <c r="D6" s="5" t="s">
        <v>5</v>
      </c>
      <c r="E6" s="5" t="s">
        <v>4</v>
      </c>
      <c r="F6" s="5" t="s">
        <v>1</v>
      </c>
      <c r="G6" s="5" t="s">
        <v>7</v>
      </c>
      <c r="H6" s="5" t="s">
        <v>3</v>
      </c>
      <c r="I6" s="5" t="s">
        <v>2</v>
      </c>
      <c r="J6" s="5" t="s">
        <v>101</v>
      </c>
      <c r="K6" s="5" t="s">
        <v>102</v>
      </c>
      <c r="L6" s="5" t="s">
        <v>3</v>
      </c>
      <c r="M6" s="5" t="s">
        <v>2</v>
      </c>
      <c r="N6" s="5" t="s">
        <v>103</v>
      </c>
      <c r="O6" s="5" t="s">
        <v>100</v>
      </c>
      <c r="P6" s="5" t="s">
        <v>101</v>
      </c>
      <c r="Q6" s="5" t="s">
        <v>102</v>
      </c>
      <c r="R6" s="5" t="s">
        <v>3</v>
      </c>
      <c r="S6" s="5" t="s">
        <v>2</v>
      </c>
      <c r="T6" s="5" t="s">
        <v>103</v>
      </c>
      <c r="U6" s="5" t="s">
        <v>100</v>
      </c>
      <c r="V6" s="5" t="s">
        <v>101</v>
      </c>
      <c r="W6" s="5" t="s">
        <v>102</v>
      </c>
      <c r="X6" s="5" t="s">
        <v>3</v>
      </c>
      <c r="Y6" s="5" t="s">
        <v>2</v>
      </c>
      <c r="Z6" s="5" t="s">
        <v>103</v>
      </c>
      <c r="AA6" s="5" t="s">
        <v>100</v>
      </c>
      <c r="AB6" s="5" t="s">
        <v>101</v>
      </c>
      <c r="AC6" s="5" t="s">
        <v>102</v>
      </c>
      <c r="AD6" s="5" t="s">
        <v>3</v>
      </c>
      <c r="AE6" s="5" t="s">
        <v>2</v>
      </c>
      <c r="AF6" s="5" t="s">
        <v>103</v>
      </c>
      <c r="AG6" s="5" t="s">
        <v>100</v>
      </c>
      <c r="AH6" s="5" t="s">
        <v>101</v>
      </c>
      <c r="AI6" s="5" t="s">
        <v>102</v>
      </c>
      <c r="AJ6" s="5" t="s">
        <v>3</v>
      </c>
      <c r="AK6" s="5" t="s">
        <v>2</v>
      </c>
      <c r="AL6" s="5" t="s">
        <v>103</v>
      </c>
      <c r="AM6" s="5" t="s">
        <v>100</v>
      </c>
    </row>
    <row r="7" spans="1:39" x14ac:dyDescent="0.25">
      <c r="A7" t="s">
        <v>10</v>
      </c>
      <c r="B7" t="s">
        <v>11</v>
      </c>
      <c r="D7" t="s">
        <v>12</v>
      </c>
      <c r="F7" t="s">
        <v>13</v>
      </c>
      <c r="G7">
        <f>BoardQty*2</f>
        <v>40</v>
      </c>
      <c r="H7" s="6">
        <f t="shared" ref="H7:H30" ca="1" si="0">MINA(INDIRECT(ADDRESS(ROW(),COLUMN(newark_part_data)+2)),INDIRECT(ADDRESS(ROW(),COLUMN(digikey_part_data)+2)),INDIRECT(ADDRESS(ROW(),COLUMN(seeedstudio_part_data)+2)),INDIRECT(ADDRESS(ROW(),COLUMN(local_part_data)+2)),INDIRECT(ADDRESS(ROW(),COLUMN(mouser_part_data)+2)))</f>
        <v>0.13400000000000001</v>
      </c>
      <c r="I7" s="6">
        <f t="shared" ref="I7:I30" ca="1" si="1">IFERROR(G7*H7,"")</f>
        <v>5.36</v>
      </c>
      <c r="J7">
        <v>147965</v>
      </c>
      <c r="L7" s="6">
        <f>IFERROR(LOOKUP(IF(K7="",G7,K7),{0,1,10,25,50,100,250,500,1000,2000,4000,10000,14000,50000,100000},{0,0.28,0.237,0.1628,0.1332,0.1184,0.0888,0.07844,0.06956,0.0592,0.05476,0.0518,0.04914,0.0444,0.03922}),"")</f>
        <v>0.1628</v>
      </c>
      <c r="M7" s="6">
        <f>IFERROR(IF(K7="",G7,K7)*L7,"")</f>
        <v>6.5120000000000005</v>
      </c>
      <c r="N7" t="s">
        <v>104</v>
      </c>
      <c r="O7" s="7" t="s">
        <v>105</v>
      </c>
      <c r="P7">
        <v>23290</v>
      </c>
      <c r="R7" s="6">
        <f>IFERROR(LOOKUP(IF(Q7="",G7,Q7),{0,1,10,100,1000,2000,10000,24000,50000,100000},{0,0.279,0.134,0.078,0.07,0.055,0.05,0.048,0.045,0.04}),"")</f>
        <v>0.13400000000000001</v>
      </c>
      <c r="S7" s="6">
        <f>IFERROR(IF(Q7="",G7,Q7)*R7,"")</f>
        <v>5.36</v>
      </c>
      <c r="T7" t="s">
        <v>114</v>
      </c>
      <c r="U7" s="7" t="s">
        <v>105</v>
      </c>
      <c r="V7">
        <v>1079</v>
      </c>
      <c r="X7" s="6">
        <f>IFERROR(LOOKUP(IF(W7="",G7,W7),{0,1,10,25,50,100,250,500,1000},{0,0.318,0.296,0.195,0.162,0.138,0.111,0.098,0.087}),"")</f>
        <v>0.19500000000000001</v>
      </c>
      <c r="Y7" s="6">
        <f>IFERROR(IF(W7="",G7,W7)*X7,"")</f>
        <v>7.8000000000000007</v>
      </c>
      <c r="Z7" t="s">
        <v>125</v>
      </c>
      <c r="AA7" s="7" t="s">
        <v>105</v>
      </c>
    </row>
    <row r="8" spans="1:39" x14ac:dyDescent="0.25">
      <c r="A8" t="s">
        <v>14</v>
      </c>
      <c r="B8" t="s">
        <v>15</v>
      </c>
      <c r="D8" t="s">
        <v>16</v>
      </c>
      <c r="F8" t="s">
        <v>17</v>
      </c>
      <c r="G8">
        <f t="shared" ref="G8:G15" si="2">BoardQty*1</f>
        <v>20</v>
      </c>
      <c r="H8" s="6">
        <f t="shared" ca="1" si="0"/>
        <v>0.03</v>
      </c>
      <c r="I8" s="6">
        <f t="shared" ca="1" si="1"/>
        <v>0.6</v>
      </c>
      <c r="AD8" s="6">
        <f>IFERROR(LOOKUP(IF(AC8="",G8,AC8),{0,1},{0,0.03}),"")</f>
        <v>0.03</v>
      </c>
      <c r="AE8" s="6">
        <f>IFERROR(IF(AC8="",G8,AC8)*AD8,"")</f>
        <v>0.6</v>
      </c>
      <c r="AF8" t="s">
        <v>17</v>
      </c>
    </row>
    <row r="9" spans="1:39" x14ac:dyDescent="0.25">
      <c r="A9" t="s">
        <v>18</v>
      </c>
      <c r="B9" t="s">
        <v>19</v>
      </c>
      <c r="D9" t="s">
        <v>20</v>
      </c>
      <c r="F9" t="s">
        <v>21</v>
      </c>
      <c r="G9">
        <f t="shared" si="2"/>
        <v>20</v>
      </c>
      <c r="H9" s="6">
        <f t="shared" ca="1" si="0"/>
        <v>0.49199999999999999</v>
      </c>
      <c r="I9" s="6">
        <f t="shared" ca="1" si="1"/>
        <v>9.84</v>
      </c>
      <c r="J9">
        <v>10898</v>
      </c>
      <c r="L9" s="6">
        <f>IFERROR(LOOKUP(IF(K9="",G9,K9),{0,1,10,25,100,250,500,1000,3000,6000,15000,30000,75000,150000},{0,0.67,0.569,0.498,0.4264,0.36984,0.31326,0.2415,0.2139,0.2001,0.1863,0.17664,0.1725,0.1656}),"")</f>
        <v>0.56899999999999995</v>
      </c>
      <c r="M9" s="6">
        <f>IFERROR(IF(K9="",G9,K9)*L9,"")</f>
        <v>11.379999999999999</v>
      </c>
      <c r="N9" t="s">
        <v>106</v>
      </c>
      <c r="O9" s="7" t="s">
        <v>105</v>
      </c>
      <c r="P9">
        <v>13023</v>
      </c>
      <c r="R9" s="6">
        <f>IFERROR(LOOKUP(IF(Q9="",G9,Q9),{0,1,10,100,1000,3000,9000,24000},{0,0.651,0.492,0.308,0.232,0.197,0.183,0.18}),"")</f>
        <v>0.49199999999999999</v>
      </c>
      <c r="S9" s="6">
        <f>IFERROR(IF(Q9="",G9,Q9)*R9,"")</f>
        <v>9.84</v>
      </c>
      <c r="T9" t="s">
        <v>115</v>
      </c>
      <c r="U9" s="7" t="s">
        <v>105</v>
      </c>
      <c r="V9">
        <v>7937</v>
      </c>
      <c r="X9" s="6">
        <f>IFERROR(LOOKUP(IF(W9="",G9,W9),{0,1,25,100,250,500,1000,3000,9000},{0,0.66,0.483,0.304,0.294,0.286,0.235,0.201,0.187}),"")</f>
        <v>0.66</v>
      </c>
      <c r="Y9" s="6">
        <f>IFERROR(IF(W9="",G9,W9)*X9,"")</f>
        <v>13.200000000000001</v>
      </c>
      <c r="Z9" t="s">
        <v>126</v>
      </c>
      <c r="AA9" s="7" t="s">
        <v>105</v>
      </c>
    </row>
    <row r="10" spans="1:39" x14ac:dyDescent="0.25">
      <c r="A10" t="s">
        <v>22</v>
      </c>
      <c r="B10" t="s">
        <v>23</v>
      </c>
      <c r="D10" t="s">
        <v>24</v>
      </c>
      <c r="F10" t="s">
        <v>25</v>
      </c>
      <c r="G10">
        <f t="shared" si="2"/>
        <v>20</v>
      </c>
      <c r="H10" s="6">
        <f t="shared" ca="1" si="0"/>
        <v>0.01</v>
      </c>
      <c r="I10" s="6">
        <f t="shared" ca="1" si="1"/>
        <v>0.2</v>
      </c>
      <c r="AD10" s="6">
        <f>IFERROR(LOOKUP(IF(AC10="",G10,AC10),{0,1},{0,0.01}),"")</f>
        <v>0.01</v>
      </c>
      <c r="AE10" s="6">
        <f>IFERROR(IF(AC10="",G10,AC10)*AD10,"")</f>
        <v>0.2</v>
      </c>
      <c r="AF10" t="s">
        <v>25</v>
      </c>
    </row>
    <row r="11" spans="1:39" x14ac:dyDescent="0.25">
      <c r="A11" t="s">
        <v>26</v>
      </c>
      <c r="B11" t="s">
        <v>27</v>
      </c>
      <c r="D11" t="s">
        <v>28</v>
      </c>
      <c r="F11" t="s">
        <v>29</v>
      </c>
      <c r="G11">
        <f t="shared" si="2"/>
        <v>20</v>
      </c>
      <c r="H11" s="6">
        <f t="shared" ca="1" si="0"/>
        <v>0.21199999999999999</v>
      </c>
      <c r="I11" s="6">
        <f t="shared" ca="1" si="1"/>
        <v>4.24</v>
      </c>
      <c r="J11">
        <v>2526</v>
      </c>
      <c r="L11" s="6">
        <f>IFERROR(LOOKUP(IF(K11="",G11,K11),{0,1,10,50,100,500,2000,4000,6000,10000,20000},{0,0.54,0.51,0.4786,0.4466,0.3509,0.1914,0.18502,0.17864,0.17226,0.16397}),"")</f>
        <v>0.51</v>
      </c>
      <c r="M11" s="6">
        <f>IFERROR(IF(K11="",G11,K11)*L11,"")</f>
        <v>10.199999999999999</v>
      </c>
      <c r="N11" t="s">
        <v>107</v>
      </c>
      <c r="O11" s="7" t="s">
        <v>105</v>
      </c>
      <c r="P11">
        <v>1767</v>
      </c>
      <c r="R11" s="6">
        <f>IFERROR(LOOKUP(IF(Q11="",G11,Q11),{0,1,10,100,1000,2000,10000,24000,50000},{0,0.533,0.472,0.347,0.283,0.182,0.177,0.17,0.167}),"")</f>
        <v>0.47199999999999998</v>
      </c>
      <c r="S11" s="6">
        <f>IFERROR(IF(Q11="",G11,Q11)*R11,"")</f>
        <v>9.44</v>
      </c>
      <c r="T11" t="s">
        <v>116</v>
      </c>
      <c r="U11" s="7" t="s">
        <v>105</v>
      </c>
      <c r="V11">
        <v>0</v>
      </c>
      <c r="X11" s="6">
        <f>IFERROR(LOOKUP(IF(W11="",G11,W11),{0,1,2000,4000,10000,20000,40000},{0,0.212,0.212,0.203,0.191,0.179,0.166}),"")</f>
        <v>0.21199999999999999</v>
      </c>
      <c r="Y11" s="6">
        <f>IFERROR(IF(W11="",G11,W11)*X11,"")</f>
        <v>4.24</v>
      </c>
      <c r="Z11" t="s">
        <v>127</v>
      </c>
      <c r="AA11" s="7" t="s">
        <v>105</v>
      </c>
    </row>
    <row r="12" spans="1:39" hidden="1" x14ac:dyDescent="0.25">
      <c r="A12" t="s">
        <v>30</v>
      </c>
      <c r="B12" t="s">
        <v>31</v>
      </c>
      <c r="D12" t="s">
        <v>32</v>
      </c>
      <c r="G12">
        <f t="shared" si="2"/>
        <v>20</v>
      </c>
      <c r="H12" s="6">
        <f t="shared" ca="1" si="0"/>
        <v>0</v>
      </c>
      <c r="I12" s="6">
        <f t="shared" ca="1" si="1"/>
        <v>0</v>
      </c>
    </row>
    <row r="13" spans="1:39" x14ac:dyDescent="0.25">
      <c r="A13" t="s">
        <v>33</v>
      </c>
      <c r="B13" t="s">
        <v>34</v>
      </c>
      <c r="D13" t="s">
        <v>35</v>
      </c>
      <c r="F13" t="s">
        <v>36</v>
      </c>
      <c r="G13">
        <f t="shared" si="2"/>
        <v>20</v>
      </c>
      <c r="H13" s="6">
        <f t="shared" ca="1" si="0"/>
        <v>3.04</v>
      </c>
      <c r="I13" s="6">
        <f t="shared" ca="1" si="1"/>
        <v>60.8</v>
      </c>
      <c r="J13">
        <v>956</v>
      </c>
      <c r="L13" s="6">
        <f>IFERROR(LOOKUP(IF(K13="",G13,K13),{0,1,10,100,250,500,1000},{0,5.03,4.493,3.6845,3.325,2.98352,2.51622}),"")</f>
        <v>4.4930000000000003</v>
      </c>
      <c r="M13" s="6">
        <f>IFERROR(IF(K13="",G13,K13)*L13,"")</f>
        <v>89.860000000000014</v>
      </c>
      <c r="N13" t="s">
        <v>108</v>
      </c>
      <c r="O13" s="7" t="s">
        <v>105</v>
      </c>
      <c r="P13">
        <v>328</v>
      </c>
      <c r="R13" s="6">
        <f>IFERROR(LOOKUP(IF(Q13="",G13,Q13),{0,1,10,25,50,100,250,500,1000},{0,4.96,4.43,3.99,3.74,3.63,3.27,2.92,2.61}),"")</f>
        <v>4.43</v>
      </c>
      <c r="S13" s="6">
        <f>IFERROR(IF(Q13="",G13,Q13)*R13,"")</f>
        <v>88.6</v>
      </c>
      <c r="T13" t="s">
        <v>117</v>
      </c>
      <c r="U13" s="7" t="s">
        <v>105</v>
      </c>
      <c r="V13">
        <v>0</v>
      </c>
      <c r="X13" s="6">
        <f>IFERROR(LOOKUP(IF(W13="",G13,W13),{0,1,500,1000},{0,3.04,3.04,2.68}),"")</f>
        <v>3.04</v>
      </c>
      <c r="Y13" s="6">
        <f>IFERROR(IF(W13="",G13,W13)*X13,"")</f>
        <v>60.8</v>
      </c>
      <c r="Z13" t="s">
        <v>128</v>
      </c>
      <c r="AA13" s="7" t="s">
        <v>105</v>
      </c>
    </row>
    <row r="14" spans="1:39" x14ac:dyDescent="0.25">
      <c r="A14" t="s">
        <v>37</v>
      </c>
      <c r="B14" t="s">
        <v>38</v>
      </c>
      <c r="D14" t="s">
        <v>39</v>
      </c>
      <c r="F14" t="s">
        <v>40</v>
      </c>
      <c r="G14">
        <f t="shared" si="2"/>
        <v>20</v>
      </c>
      <c r="H14" s="6">
        <f t="shared" ca="1" si="0"/>
        <v>0.10299999999999999</v>
      </c>
      <c r="I14" s="6">
        <f t="shared" ca="1" si="1"/>
        <v>2.06</v>
      </c>
      <c r="J14">
        <v>317304</v>
      </c>
      <c r="L14" s="6">
        <f>IFERROR(LOOKUP(IF(K14="",G14,K14),{0,1,10,50,100,250,500,1000,4000,8000,12000},{0,0.23,0.175,0.1252,0.1126,0.09508,0.08508,0.07257,0.0637,0.05847,0.05688}),"")</f>
        <v>0.17499999999999999</v>
      </c>
      <c r="M14" s="6">
        <f>IFERROR(IF(K14="",G14,K14)*L14,"")</f>
        <v>3.5</v>
      </c>
      <c r="N14" t="s">
        <v>109</v>
      </c>
      <c r="O14" s="7" t="s">
        <v>105</v>
      </c>
      <c r="P14">
        <v>82768</v>
      </c>
      <c r="R14" s="6">
        <f>IFERROR(LOOKUP(IF(Q14="",G14,Q14),{0,1,10,100,500,1000,4000,8000},{0,0.227,0.124,0.095,0.085,0.072,0.063,0.06}),"")</f>
        <v>0.124</v>
      </c>
      <c r="S14" s="6">
        <f>IFERROR(IF(Q14="",G14,Q14)*R14,"")</f>
        <v>2.48</v>
      </c>
      <c r="T14" t="s">
        <v>118</v>
      </c>
      <c r="U14" s="7" t="s">
        <v>105</v>
      </c>
      <c r="V14">
        <v>6460</v>
      </c>
      <c r="X14" s="6">
        <f>IFERROR(LOOKUP(IF(W14="",G14,W14),{0,1,50,100,500,1000,2500,5000,10000},{0,0.103,0.093,0.075,0.067,0.061,0.056,0.053,0.05}),"")</f>
        <v>0.10299999999999999</v>
      </c>
      <c r="Y14" s="6">
        <f>IFERROR(IF(W14="",G14,W14)*X14,"")</f>
        <v>2.06</v>
      </c>
      <c r="Z14" t="s">
        <v>129</v>
      </c>
      <c r="AA14" s="7" t="s">
        <v>105</v>
      </c>
    </row>
    <row r="15" spans="1:39" x14ac:dyDescent="0.25">
      <c r="A15" t="s">
        <v>41</v>
      </c>
      <c r="B15" t="s">
        <v>42</v>
      </c>
      <c r="D15" t="s">
        <v>43</v>
      </c>
      <c r="F15" t="s">
        <v>44</v>
      </c>
      <c r="G15">
        <f t="shared" si="2"/>
        <v>20</v>
      </c>
      <c r="H15" s="6">
        <f t="shared" ca="1" si="0"/>
        <v>0.01</v>
      </c>
      <c r="I15" s="6">
        <f t="shared" ca="1" si="1"/>
        <v>0.2</v>
      </c>
      <c r="AD15" s="6">
        <f>IFERROR(LOOKUP(IF(AC15="",G15,AC15),{0,1},{0,0.01}),"")</f>
        <v>0.01</v>
      </c>
      <c r="AE15" s="6">
        <f>IFERROR(IF(AC15="",G15,AC15)*AD15,"")</f>
        <v>0.2</v>
      </c>
      <c r="AF15" t="s">
        <v>44</v>
      </c>
    </row>
    <row r="16" spans="1:39" hidden="1" x14ac:dyDescent="0.25">
      <c r="A16" t="s">
        <v>45</v>
      </c>
      <c r="B16" t="s">
        <v>46</v>
      </c>
      <c r="D16" t="s">
        <v>47</v>
      </c>
      <c r="G16">
        <f>BoardQty*3</f>
        <v>60</v>
      </c>
      <c r="H16" s="6">
        <f t="shared" ca="1" si="0"/>
        <v>0</v>
      </c>
      <c r="I16" s="6">
        <f t="shared" ca="1" si="1"/>
        <v>0</v>
      </c>
    </row>
    <row r="17" spans="1:38" x14ac:dyDescent="0.25">
      <c r="A17" t="s">
        <v>48</v>
      </c>
      <c r="B17" t="s">
        <v>49</v>
      </c>
      <c r="D17" t="s">
        <v>50</v>
      </c>
      <c r="F17" t="s">
        <v>51</v>
      </c>
      <c r="G17">
        <f>BoardQty*1</f>
        <v>20</v>
      </c>
      <c r="H17" s="6">
        <f t="shared" ca="1" si="0"/>
        <v>0.2036</v>
      </c>
      <c r="I17" s="6">
        <f t="shared" ca="1" si="1"/>
        <v>4.0720000000000001</v>
      </c>
      <c r="AD17" s="6">
        <f>IFERROR(LOOKUP(IF(AC17="",G17,AC17),{0,1},{0,0.2036}),"")</f>
        <v>0.2036</v>
      </c>
      <c r="AE17" s="6">
        <f>IFERROR(IF(AC17="",G17,AC17)*AD17,"")</f>
        <v>4.0720000000000001</v>
      </c>
      <c r="AF17" t="s">
        <v>51</v>
      </c>
    </row>
    <row r="18" spans="1:38" hidden="1" x14ac:dyDescent="0.25">
      <c r="A18" t="s">
        <v>52</v>
      </c>
      <c r="B18" t="s">
        <v>53</v>
      </c>
      <c r="D18" t="s">
        <v>54</v>
      </c>
      <c r="F18" t="s">
        <v>8</v>
      </c>
      <c r="G18">
        <f>BoardQty*1</f>
        <v>20</v>
      </c>
      <c r="H18" s="6">
        <f t="shared" ca="1" si="0"/>
        <v>1.1000000000000001</v>
      </c>
      <c r="I18" s="6">
        <f t="shared" ca="1" si="1"/>
        <v>22</v>
      </c>
      <c r="P18">
        <v>149</v>
      </c>
      <c r="R18" s="6">
        <f>IFERROR(LOOKUP(IF(Q18="",G18,Q18),{0,1,25,50,100,200,500},{0,1.1,1.02,0.937,0.859,0.799,0.749}),"")</f>
        <v>1.1000000000000001</v>
      </c>
      <c r="S18" s="6">
        <f>IFERROR(IF(Q18="",G18,Q18)*R18,"")</f>
        <v>22</v>
      </c>
      <c r="T18" t="s">
        <v>119</v>
      </c>
      <c r="U18" s="7" t="s">
        <v>105</v>
      </c>
    </row>
    <row r="19" spans="1:38" hidden="1" x14ac:dyDescent="0.25">
      <c r="A19" t="s">
        <v>55</v>
      </c>
      <c r="B19" t="s">
        <v>56</v>
      </c>
      <c r="D19" t="s">
        <v>57</v>
      </c>
      <c r="G19">
        <f>BoardQty*1</f>
        <v>20</v>
      </c>
      <c r="H19" s="6">
        <f t="shared" ca="1" si="0"/>
        <v>0</v>
      </c>
      <c r="I19" s="6">
        <f t="shared" ca="1" si="1"/>
        <v>0</v>
      </c>
    </row>
    <row r="20" spans="1:38" x14ac:dyDescent="0.25">
      <c r="A20" t="s">
        <v>58</v>
      </c>
      <c r="B20" t="s">
        <v>59</v>
      </c>
      <c r="D20" t="s">
        <v>60</v>
      </c>
      <c r="F20" t="s">
        <v>61</v>
      </c>
      <c r="G20">
        <f>BoardQty*1</f>
        <v>20</v>
      </c>
      <c r="H20" s="6">
        <f t="shared" ca="1" si="0"/>
        <v>0.3</v>
      </c>
      <c r="I20" s="6">
        <f t="shared" ca="1" si="1"/>
        <v>6</v>
      </c>
      <c r="J20">
        <v>0</v>
      </c>
      <c r="L20" s="6">
        <f>IFERROR(LOOKUP(IF(K20="",G20,K20),{0,1,60,120,300},{0,22.5085,22.5085,16.58542,12.8061}),"")</f>
        <v>22.508500000000002</v>
      </c>
      <c r="M20" s="6">
        <f>IFERROR(IF(K20="",G20,K20)*L20,"")</f>
        <v>450.17</v>
      </c>
      <c r="N20" t="s">
        <v>110</v>
      </c>
      <c r="O20" s="7" t="s">
        <v>105</v>
      </c>
      <c r="P20">
        <v>0</v>
      </c>
      <c r="R20" s="6">
        <f>IFERROR(LOOKUP(IF(Q20="",G20,Q20),{0,1,100,200,500,1000,2000,5000},{0,1.93,1.93,1.83,1.69,1.4,1.3,1.29}),"")</f>
        <v>1.93</v>
      </c>
      <c r="S20" s="6">
        <f>IFERROR(IF(Q20="",G20,Q20)*R20,"")</f>
        <v>38.6</v>
      </c>
      <c r="T20" t="s">
        <v>120</v>
      </c>
      <c r="U20" s="7" t="s">
        <v>105</v>
      </c>
      <c r="AD20" s="6">
        <f>IFERROR(LOOKUP(IF(AC20="",G20,AC20),{0,1},{0,0.3}),"")</f>
        <v>0.3</v>
      </c>
      <c r="AE20" s="6">
        <f>IFERROR(IF(AC20="",G20,AC20)*AD20,"")</f>
        <v>6</v>
      </c>
      <c r="AF20" t="s">
        <v>61</v>
      </c>
    </row>
    <row r="21" spans="1:38" x14ac:dyDescent="0.25">
      <c r="A21" t="s">
        <v>62</v>
      </c>
      <c r="B21" t="s">
        <v>63</v>
      </c>
      <c r="D21" t="s">
        <v>64</v>
      </c>
      <c r="F21" t="s">
        <v>65</v>
      </c>
      <c r="G21">
        <f>BoardQty*1</f>
        <v>20</v>
      </c>
      <c r="H21" s="6">
        <f t="shared" ca="1" si="0"/>
        <v>0.35</v>
      </c>
      <c r="I21" s="6">
        <f t="shared" ca="1" si="1"/>
        <v>7</v>
      </c>
      <c r="AD21" s="6">
        <f>IFERROR(LOOKUP(IF(AC21="",G21,AC21),{0,1},{0,0.35}),"")</f>
        <v>0.35</v>
      </c>
      <c r="AE21" s="6">
        <f>IFERROR(IF(AC21="",G21,AC21)*AD21,"")</f>
        <v>7</v>
      </c>
      <c r="AF21" t="s">
        <v>65</v>
      </c>
    </row>
    <row r="22" spans="1:38" x14ac:dyDescent="0.25">
      <c r="A22" t="s">
        <v>66</v>
      </c>
      <c r="B22" t="s">
        <v>67</v>
      </c>
      <c r="D22" t="s">
        <v>24</v>
      </c>
      <c r="F22" t="s">
        <v>68</v>
      </c>
      <c r="G22">
        <f>BoardQty*2</f>
        <v>40</v>
      </c>
      <c r="H22" s="6">
        <f t="shared" ca="1" si="0"/>
        <v>5.0799999999999998E-2</v>
      </c>
      <c r="I22" s="6">
        <f t="shared" ca="1" si="1"/>
        <v>2.032</v>
      </c>
      <c r="J22">
        <v>6174</v>
      </c>
      <c r="L22" s="6">
        <f>IFERROR(LOOKUP(IF(K22="",G22,K22),{0,1,10,25,100,250,500,1000,4000,8000,12000,28000,100000},{0,0.1,0.072,0.0508,0.0329,0.02692,0.02302,0.01794,0.01376,0.01256,0.01196,0.01136,0.00822}),"")</f>
        <v>5.0799999999999998E-2</v>
      </c>
      <c r="M22" s="6">
        <f>IFERROR(IF(K22="",G22,K22)*L22,"")</f>
        <v>2.032</v>
      </c>
      <c r="N22" t="s">
        <v>111</v>
      </c>
      <c r="O22" s="7" t="s">
        <v>105</v>
      </c>
      <c r="P22">
        <v>4215</v>
      </c>
      <c r="R22" s="6">
        <f>IFERROR(LOOKUP(IF(Q22="",G22,Q22),{0,1,10,100,1000,4000,24000,48000,100000},{0,0.099,0.052,0.024,0.019,0.013,0.012,0.011,0.009}),"")</f>
        <v>5.1999999999999998E-2</v>
      </c>
      <c r="S22" s="6">
        <f>IFERROR(IF(Q22="",G22,Q22)*R22,"")</f>
        <v>2.08</v>
      </c>
      <c r="T22" t="s">
        <v>121</v>
      </c>
      <c r="U22" s="7" t="s">
        <v>105</v>
      </c>
      <c r="V22">
        <v>3335</v>
      </c>
      <c r="X22" s="6">
        <f>IFERROR(LOOKUP(IF(W22="",G22,W22),{0,1,10,100,250,500,1000},{0,0.16,0.11,0.053,0.044,0.037,0.03}),"")</f>
        <v>0.11</v>
      </c>
      <c r="Y22" s="6">
        <f>IFERROR(IF(W22="",G22,W22)*X22,"")</f>
        <v>4.4000000000000004</v>
      </c>
      <c r="Z22" t="s">
        <v>130</v>
      </c>
      <c r="AA22" s="7" t="s">
        <v>105</v>
      </c>
    </row>
    <row r="23" spans="1:38" x14ac:dyDescent="0.25">
      <c r="A23" t="s">
        <v>69</v>
      </c>
      <c r="B23" t="s">
        <v>70</v>
      </c>
      <c r="D23" t="s">
        <v>71</v>
      </c>
      <c r="F23" t="s">
        <v>72</v>
      </c>
      <c r="G23">
        <f>BoardQty*1</f>
        <v>20</v>
      </c>
      <c r="H23" s="6">
        <f t="shared" ca="1" si="0"/>
        <v>0.187</v>
      </c>
      <c r="I23" s="6">
        <f t="shared" ca="1" si="1"/>
        <v>3.74</v>
      </c>
      <c r="J23">
        <v>5000</v>
      </c>
      <c r="L23" s="6">
        <f>IFERROR(LOOKUP(IF(K23="",G23,K23),{0,1,25,100,4500,5000},{0,0.19,0.16,0.14,0.24,0.14}),"")</f>
        <v>0.19</v>
      </c>
      <c r="M23" s="6">
        <f>IFERROR(IF(K23="",G23,K23)*L23,"")</f>
        <v>3.8</v>
      </c>
      <c r="N23" t="s">
        <v>112</v>
      </c>
      <c r="O23" s="7" t="s">
        <v>105</v>
      </c>
      <c r="P23">
        <v>4797</v>
      </c>
      <c r="R23" s="6">
        <f>IFERROR(LOOKUP(IF(Q23="",G23,Q23),{0,1,10,25,100,5000},{0,0.197,0.187,0.158,0.138,0.138}),"")</f>
        <v>0.187</v>
      </c>
      <c r="S23" s="6">
        <f>IFERROR(IF(Q23="",G23,Q23)*R23,"")</f>
        <v>3.74</v>
      </c>
      <c r="T23" t="s">
        <v>122</v>
      </c>
      <c r="U23" s="7" t="s">
        <v>105</v>
      </c>
    </row>
    <row r="24" spans="1:38" hidden="1" x14ac:dyDescent="0.25">
      <c r="A24" t="s">
        <v>73</v>
      </c>
      <c r="B24" t="s">
        <v>74</v>
      </c>
      <c r="D24" t="s">
        <v>75</v>
      </c>
      <c r="F24" t="s">
        <v>76</v>
      </c>
      <c r="G24">
        <f>BoardQty*1</f>
        <v>20</v>
      </c>
      <c r="H24" s="6">
        <f t="shared" ca="1" si="0"/>
        <v>0</v>
      </c>
      <c r="I24" s="6">
        <f t="shared" ca="1" si="1"/>
        <v>0</v>
      </c>
    </row>
    <row r="25" spans="1:38" x14ac:dyDescent="0.25">
      <c r="A25" t="s">
        <v>77</v>
      </c>
      <c r="B25" t="s">
        <v>78</v>
      </c>
      <c r="D25" t="s">
        <v>24</v>
      </c>
      <c r="F25" t="s">
        <v>79</v>
      </c>
      <c r="G25">
        <f>BoardQty*4</f>
        <v>80</v>
      </c>
      <c r="H25" s="6">
        <f t="shared" ca="1" si="0"/>
        <v>0.02</v>
      </c>
      <c r="I25" s="6">
        <f t="shared" ca="1" si="1"/>
        <v>1.6</v>
      </c>
      <c r="AD25" s="6">
        <f>IFERROR(LOOKUP(IF(AC25="",G25,AC25),{0,1},{0,0.02}),"")</f>
        <v>0.02</v>
      </c>
      <c r="AE25" s="6">
        <f>IFERROR(IF(AC25="",G25,AC25)*AD25,"")</f>
        <v>1.6</v>
      </c>
      <c r="AF25" t="s">
        <v>79</v>
      </c>
    </row>
    <row r="26" spans="1:38" x14ac:dyDescent="0.25">
      <c r="A26" t="s">
        <v>80</v>
      </c>
      <c r="B26" t="s">
        <v>81</v>
      </c>
      <c r="D26" t="s">
        <v>43</v>
      </c>
      <c r="F26" t="s">
        <v>82</v>
      </c>
      <c r="G26">
        <f>BoardQty*1</f>
        <v>20</v>
      </c>
      <c r="H26" s="6">
        <f t="shared" ca="1" si="0"/>
        <v>0.01</v>
      </c>
      <c r="I26" s="6">
        <f t="shared" ca="1" si="1"/>
        <v>0.2</v>
      </c>
      <c r="AD26" s="6">
        <f>IFERROR(LOOKUP(IF(AC26="",G26,AC26),{0,1},{0,0.01}),"")</f>
        <v>0.01</v>
      </c>
      <c r="AE26" s="6">
        <f>IFERROR(IF(AC26="",G26,AC26)*AD26,"")</f>
        <v>0.2</v>
      </c>
      <c r="AF26" t="s">
        <v>82</v>
      </c>
    </row>
    <row r="27" spans="1:38" hidden="1" x14ac:dyDescent="0.25">
      <c r="A27" t="s">
        <v>83</v>
      </c>
      <c r="B27" t="s">
        <v>84</v>
      </c>
      <c r="D27" t="s">
        <v>85</v>
      </c>
      <c r="F27" t="s">
        <v>76</v>
      </c>
      <c r="G27">
        <f>BoardQty*1</f>
        <v>20</v>
      </c>
      <c r="H27" s="6">
        <f t="shared" ca="1" si="0"/>
        <v>0</v>
      </c>
      <c r="I27" s="6">
        <f t="shared" ca="1" si="1"/>
        <v>0</v>
      </c>
    </row>
    <row r="28" spans="1:38" x14ac:dyDescent="0.25">
      <c r="A28" t="s">
        <v>86</v>
      </c>
      <c r="B28" t="s">
        <v>87</v>
      </c>
      <c r="D28" t="s">
        <v>88</v>
      </c>
      <c r="F28" t="s">
        <v>89</v>
      </c>
      <c r="G28">
        <f>BoardQty*2</f>
        <v>40</v>
      </c>
      <c r="H28" s="6">
        <f t="shared" ca="1" si="0"/>
        <v>0.08</v>
      </c>
      <c r="I28" s="6">
        <f t="shared" ca="1" si="1"/>
        <v>3.2</v>
      </c>
      <c r="AD28" s="6">
        <f>IFERROR(LOOKUP(IF(AC28="",G28,AC28),{0,1},{0,0.08}),"")</f>
        <v>0.08</v>
      </c>
      <c r="AE28" s="6">
        <f>IFERROR(IF(AC28="",G28,AC28)*AD28,"")</f>
        <v>3.2</v>
      </c>
      <c r="AF28" t="s">
        <v>89</v>
      </c>
    </row>
    <row r="29" spans="1:38" x14ac:dyDescent="0.25">
      <c r="A29" t="s">
        <v>90</v>
      </c>
      <c r="B29" t="s">
        <v>91</v>
      </c>
      <c r="D29" t="s">
        <v>43</v>
      </c>
      <c r="F29" t="s">
        <v>92</v>
      </c>
      <c r="G29">
        <f>BoardQty*2</f>
        <v>40</v>
      </c>
      <c r="H29" s="6">
        <f t="shared" ca="1" si="0"/>
        <v>0.01</v>
      </c>
      <c r="I29" s="6">
        <f t="shared" ca="1" si="1"/>
        <v>0.4</v>
      </c>
      <c r="P29">
        <v>0</v>
      </c>
      <c r="R29" s="6">
        <f>IFERROR(LOOKUP(IF(Q29="",G29,Q29),{0,1,10,25,50,100,250},{0,18.29,15.4,14.21,12.43,11.71,9.76}),"")</f>
        <v>14.21</v>
      </c>
      <c r="S29" s="6">
        <f>IFERROR(IF(Q29="",G29,Q29)*R29,"")</f>
        <v>568.40000000000009</v>
      </c>
      <c r="T29" t="s">
        <v>123</v>
      </c>
      <c r="U29" s="7" t="s">
        <v>105</v>
      </c>
      <c r="V29">
        <v>6</v>
      </c>
      <c r="X29" s="6">
        <f>IFERROR(LOOKUP(IF(W29="",G29,W29),{0,1,25,50,100,250},{0,85.14,81.25,79.09,76.5,73.91}),"")</f>
        <v>81.25</v>
      </c>
      <c r="Y29" s="6">
        <f>IFERROR(IF(W29="",G29,W29)*X29,"")</f>
        <v>3250</v>
      </c>
      <c r="Z29" t="s">
        <v>131</v>
      </c>
      <c r="AA29" s="7" t="s">
        <v>105</v>
      </c>
      <c r="AD29" s="6">
        <f>IFERROR(LOOKUP(IF(AC29="",G29,AC29),{0,1},{0,0.01}),"")</f>
        <v>0.01</v>
      </c>
      <c r="AE29" s="6">
        <f>IFERROR(IF(AC29="",G29,AC29)*AD29,"")</f>
        <v>0.4</v>
      </c>
      <c r="AF29" t="s">
        <v>92</v>
      </c>
    </row>
    <row r="30" spans="1:38" x14ac:dyDescent="0.25">
      <c r="A30" t="s">
        <v>93</v>
      </c>
      <c r="B30" t="s">
        <v>94</v>
      </c>
      <c r="D30" t="s">
        <v>24</v>
      </c>
      <c r="F30" t="s">
        <v>95</v>
      </c>
      <c r="G30">
        <f>BoardQty*2</f>
        <v>40</v>
      </c>
      <c r="H30" s="6">
        <f t="shared" ca="1" si="0"/>
        <v>0.01</v>
      </c>
      <c r="I30" s="6">
        <f t="shared" ca="1" si="1"/>
        <v>0.4</v>
      </c>
      <c r="AD30" s="6">
        <f>IFERROR(LOOKUP(IF(AC30="",G30,AC30),{0,1},{0,0.01}),"")</f>
        <v>0.01</v>
      </c>
      <c r="AE30" s="6">
        <f>IFERROR(IF(AC30="",G30,AC30)*AD30,"")</f>
        <v>0.4</v>
      </c>
      <c r="AF30" t="s">
        <v>95</v>
      </c>
      <c r="AJ30" s="6">
        <f>IFERROR(LOOKUP(IF(AI30="",G30,AI30),{0,1,100},{0,1,1}),"")</f>
        <v>1</v>
      </c>
      <c r="AK30" s="6">
        <f>IFERROR(IF(AI30="",G30,AI30)*AJ30,"")</f>
        <v>40</v>
      </c>
      <c r="AL30" t="s">
        <v>95</v>
      </c>
    </row>
    <row r="32" spans="1:38" x14ac:dyDescent="0.25">
      <c r="K32" t="str">
        <f t="array" ref="K32">IFERROR(CONCATENATE(TEXT(INDEX($K$7:$K$30,SMALL(IF($N$7:$N$30&lt;&gt;"",IF($K$7:$K$30&lt;&gt;"",ROW($K$7:$K$30)-MIN(ROW($K$7:$K$30))+1,""),""),ROW()-ROW(A$32)+1)),"##0"),","),"")</f>
        <v/>
      </c>
      <c r="L32" t="str">
        <f t="array" ref="L32">IFERROR(CONCATENATE((INDEX($N$7:$N$30,SMALL(IF($N$7:$N$30&lt;&gt;"",IF($K$7:$K$30&lt;&gt;"",ROW($K$7:$K$30)-MIN(ROW($K$7:$K$30))+1,""),""),ROW()-ROW(A$32)+1))),","),"")</f>
        <v/>
      </c>
      <c r="M32" t="str">
        <f t="array" ref="M32">IFERROR(CONCATENATE((INDEX($A$7:$A$30,SMALL(IF($N$7:$N$30&lt;&gt;"",IF($K$7:$K$30&lt;&gt;"",ROW($K$7:$K$30)-MIN(ROW($K$7:$K$30))+1,""),""),ROW()-ROW(A$32)+1))),),"")</f>
        <v/>
      </c>
      <c r="Q32" t="str">
        <f t="array" ref="Q32">IFERROR(CONCATENATE((INDEX($T$7:$T$30,SMALL(IF($T$7:$T$30&lt;&gt;"",IF($Q$7:$Q$30&lt;&gt;"",ROW($Q$7:$Q$30)-MIN(ROW($Q$7:$Q$30))+1,""),""),ROW()-ROW(A$32)+1)))," "),"")</f>
        <v/>
      </c>
      <c r="R32" t="str">
        <f t="array" ref="R32">IFERROR(CONCATENATE(TEXT(INDEX($Q$7:$Q$30,SMALL(IF($T$7:$T$30&lt;&gt;"",IF($Q$7:$Q$30&lt;&gt;"",ROW($Q$7:$Q$30)-MIN(ROW($Q$7:$Q$30))+1,""),""),ROW()-ROW(A$32)+1)),"##0")," "),"")</f>
        <v/>
      </c>
      <c r="S32" t="str">
        <f t="array" ref="S32">IFERROR(CONCATENATE((INDEX($A$7:$A$30,SMALL(IF($T$7:$T$30&lt;&gt;"",IF($Q$7:$Q$30&lt;&gt;"",ROW($Q$7:$Q$30)-MIN(ROW($Q$7:$Q$30))+1,""),""),ROW()-ROW(A$32)+1))),),"")</f>
        <v/>
      </c>
      <c r="W32" t="str">
        <f t="array" ref="W32">IFERROR(CONCATENATE((INDEX($Z$7:$Z$30,SMALL(IF($Z$7:$Z$30&lt;&gt;"",IF($W$7:$W$30&lt;&gt;"",ROW($W$7:$W$30)-MIN(ROW($W$7:$W$30))+1,""),""),ROW()-ROW(A$32)+1))),","),"")</f>
        <v/>
      </c>
      <c r="X32" t="str">
        <f t="array" ref="X32">IFERROR(CONCATENATE(TEXT(INDEX($W$7:$W$30,SMALL(IF($Z$7:$Z$30&lt;&gt;"",IF($W$7:$W$30&lt;&gt;"",ROW($W$7:$W$30)-MIN(ROW($W$7:$W$30))+1,""),""),ROW()-ROW(A$32)+1)),"##0"),","),"")</f>
        <v/>
      </c>
      <c r="Y32" t="str">
        <f t="array" ref="Y32">IFERROR(CONCATENATE((INDEX($A$7:$A$30,SMALL(IF($Z$7:$Z$30&lt;&gt;"",IF($W$7:$W$30&lt;&gt;"",ROW($W$7:$W$30)-MIN(ROW($W$7:$W$30))+1,""),""),ROW()-ROW(A$32)+1))),),"")</f>
        <v/>
      </c>
      <c r="AC32" t="str">
        <f t="array" ref="AC32">IFERROR(CONCATENATE(TEXT(INDEX($AC$7:$AC$30,SMALL(IF($AF$7:$AF$30&lt;&gt;"",IF($AC$7:$AC$30&lt;&gt;"",ROW($AC$7:$AC$30)-MIN(ROW($AC$7:$AC$30))+1,""),""),ROW()-ROW(A$32)+1)),"##0"),),"")</f>
        <v/>
      </c>
      <c r="AD32" t="str">
        <f t="array" ref="AD32">IFERROR(CONCATENATE((INDEX($AF$7:$AF$30,SMALL(IF($AF$7:$AF$30&lt;&gt;"",IF($AC$7:$AC$30&lt;&gt;"",ROW($AC$7:$AC$30)-MIN(ROW($AC$7:$AC$30))+1,""),""),ROW()-ROW(A$32)+1))),),"")</f>
        <v/>
      </c>
      <c r="AE32" t="str">
        <f t="array" ref="AE32">IFERROR(CONCATENATE((INDEX($A$7:$A$30,SMALL(IF($AF$7:$AF$30&lt;&gt;"",IF($AC$7:$AC$30&lt;&gt;"",ROW($AC$7:$AC$30)-MIN(ROW($AC$7:$AC$30))+1,""),""),ROW()-ROW(A$32)+1))),),"")</f>
        <v/>
      </c>
      <c r="AI32" t="str">
        <f t="array" ref="AI32">IFERROR(CONCATENATE(TEXT(INDEX($AI$7:$AI$30,SMALL(IF($AL$7:$AL$30&lt;&gt;"",IF($AI$7:$AI$30&lt;&gt;"",ROW($AI$7:$AI$30)-MIN(ROW($AI$7:$AI$30))+1,""),""),ROW()-ROW(A$32)+1)),"##0"),),"")</f>
        <v/>
      </c>
      <c r="AJ32" t="str">
        <f t="array" ref="AJ32">IFERROR(CONCATENATE((INDEX($AL$7:$AL$30,SMALL(IF($AL$7:$AL$30&lt;&gt;"",IF($AI$7:$AI$30&lt;&gt;"",ROW($AI$7:$AI$30)-MIN(ROW($AI$7:$AI$30))+1,""),""),ROW()-ROW(A$32)+1))),),"")</f>
        <v/>
      </c>
      <c r="AK32" t="str">
        <f t="array" ref="AK32">IFERROR(CONCATENATE((INDEX($A$7:$A$30,SMALL(IF($AL$7:$AL$30&lt;&gt;"",IF($AI$7:$AI$30&lt;&gt;"",ROW($AI$7:$AI$30)-MIN(ROW($AI$7:$AI$30))+1,""),""),ROW()-ROW(A$32)+1))),),"")</f>
        <v/>
      </c>
    </row>
    <row r="33" spans="11:37" x14ac:dyDescent="0.25">
      <c r="K33" t="str">
        <f t="array" ref="K33">IFERROR(CONCATENATE(TEXT(INDEX($K$7:$K$30,SMALL(IF($N$7:$N$30&lt;&gt;"",IF($K$7:$K$30&lt;&gt;"",ROW($K$7:$K$30)-MIN(ROW($K$7:$K$30))+1,""),""),ROW()-ROW(A$32)+1)),"##0"),","),"")</f>
        <v/>
      </c>
      <c r="L33" t="str">
        <f t="array" ref="L33">IFERROR(CONCATENATE((INDEX($N$7:$N$30,SMALL(IF($N$7:$N$30&lt;&gt;"",IF($K$7:$K$30&lt;&gt;"",ROW($K$7:$K$30)-MIN(ROW($K$7:$K$30))+1,""),""),ROW()-ROW(A$32)+1))),","),"")</f>
        <v/>
      </c>
      <c r="M33" t="str">
        <f t="array" ref="M33">IFERROR(CONCATENATE((INDEX($A$7:$A$30,SMALL(IF($N$7:$N$30&lt;&gt;"",IF($K$7:$K$30&lt;&gt;"",ROW($K$7:$K$30)-MIN(ROW($K$7:$K$30))+1,""),""),ROW()-ROW(A$32)+1))),),"")</f>
        <v/>
      </c>
      <c r="Q33" t="str">
        <f t="array" ref="Q33">IFERROR(CONCATENATE((INDEX($T$7:$T$30,SMALL(IF($T$7:$T$30&lt;&gt;"",IF($Q$7:$Q$30&lt;&gt;"",ROW($Q$7:$Q$30)-MIN(ROW($Q$7:$Q$30))+1,""),""),ROW()-ROW(A$32)+1)))," "),"")</f>
        <v/>
      </c>
      <c r="R33" t="str">
        <f t="array" ref="R33">IFERROR(CONCATENATE(TEXT(INDEX($Q$7:$Q$30,SMALL(IF($T$7:$T$30&lt;&gt;"",IF($Q$7:$Q$30&lt;&gt;"",ROW($Q$7:$Q$30)-MIN(ROW($Q$7:$Q$30))+1,""),""),ROW()-ROW(A$32)+1)),"##0")," "),"")</f>
        <v/>
      </c>
      <c r="S33" t="str">
        <f t="array" ref="S33">IFERROR(CONCATENATE((INDEX($A$7:$A$30,SMALL(IF($T$7:$T$30&lt;&gt;"",IF($Q$7:$Q$30&lt;&gt;"",ROW($Q$7:$Q$30)-MIN(ROW($Q$7:$Q$30))+1,""),""),ROW()-ROW(A$32)+1))),),"")</f>
        <v/>
      </c>
      <c r="W33" t="str">
        <f t="array" ref="W33">IFERROR(CONCATENATE((INDEX($Z$7:$Z$30,SMALL(IF($Z$7:$Z$30&lt;&gt;"",IF($W$7:$W$30&lt;&gt;"",ROW($W$7:$W$30)-MIN(ROW($W$7:$W$30))+1,""),""),ROW()-ROW(A$32)+1))),","),"")</f>
        <v/>
      </c>
      <c r="X33" t="str">
        <f t="array" ref="X33">IFERROR(CONCATENATE(TEXT(INDEX($W$7:$W$30,SMALL(IF($Z$7:$Z$30&lt;&gt;"",IF($W$7:$W$30&lt;&gt;"",ROW($W$7:$W$30)-MIN(ROW($W$7:$W$30))+1,""),""),ROW()-ROW(A$32)+1)),"##0"),","),"")</f>
        <v/>
      </c>
      <c r="Y33" t="str">
        <f t="array" ref="Y33">IFERROR(CONCATENATE((INDEX($A$7:$A$30,SMALL(IF($Z$7:$Z$30&lt;&gt;"",IF($W$7:$W$30&lt;&gt;"",ROW($W$7:$W$30)-MIN(ROW($W$7:$W$30))+1,""),""),ROW()-ROW(A$32)+1))),),"")</f>
        <v/>
      </c>
      <c r="AC33" t="str">
        <f t="array" ref="AC33">IFERROR(CONCATENATE(TEXT(INDEX($AC$7:$AC$30,SMALL(IF($AF$7:$AF$30&lt;&gt;"",IF($AC$7:$AC$30&lt;&gt;"",ROW($AC$7:$AC$30)-MIN(ROW($AC$7:$AC$30))+1,""),""),ROW()-ROW(A$32)+1)),"##0"),),"")</f>
        <v/>
      </c>
      <c r="AD33" t="str">
        <f t="array" ref="AD33">IFERROR(CONCATENATE((INDEX($AF$7:$AF$30,SMALL(IF($AF$7:$AF$30&lt;&gt;"",IF($AC$7:$AC$30&lt;&gt;"",ROW($AC$7:$AC$30)-MIN(ROW($AC$7:$AC$30))+1,""),""),ROW()-ROW(A$32)+1))),),"")</f>
        <v/>
      </c>
      <c r="AE33" t="str">
        <f t="array" ref="AE33">IFERROR(CONCATENATE((INDEX($A$7:$A$30,SMALL(IF($AF$7:$AF$30&lt;&gt;"",IF($AC$7:$AC$30&lt;&gt;"",ROW($AC$7:$AC$30)-MIN(ROW($AC$7:$AC$30))+1,""),""),ROW()-ROW(A$32)+1))),),"")</f>
        <v/>
      </c>
      <c r="AI33" t="str">
        <f t="array" ref="AI33">IFERROR(CONCATENATE(TEXT(INDEX($AI$7:$AI$30,SMALL(IF($AL$7:$AL$30&lt;&gt;"",IF($AI$7:$AI$30&lt;&gt;"",ROW($AI$7:$AI$30)-MIN(ROW($AI$7:$AI$30))+1,""),""),ROW()-ROW(A$32)+1)),"##0"),),"")</f>
        <v/>
      </c>
      <c r="AJ33" t="str">
        <f t="array" ref="AJ33">IFERROR(CONCATENATE((INDEX($AL$7:$AL$30,SMALL(IF($AL$7:$AL$30&lt;&gt;"",IF($AI$7:$AI$30&lt;&gt;"",ROW($AI$7:$AI$30)-MIN(ROW($AI$7:$AI$30))+1,""),""),ROW()-ROW(A$32)+1))),),"")</f>
        <v/>
      </c>
      <c r="AK33" t="str">
        <f t="array" ref="AK33">IFERROR(CONCATENATE((INDEX($A$7:$A$30,SMALL(IF($AL$7:$AL$30&lt;&gt;"",IF($AI$7:$AI$30&lt;&gt;"",ROW($AI$7:$AI$30)-MIN(ROW($AI$7:$AI$30))+1,""),""),ROW()-ROW(A$32)+1))),),"")</f>
        <v/>
      </c>
    </row>
    <row r="34" spans="11:37" x14ac:dyDescent="0.25">
      <c r="K34" t="str">
        <f t="array" ref="K34">IFERROR(CONCATENATE(TEXT(INDEX($K$7:$K$30,SMALL(IF($N$7:$N$30&lt;&gt;"",IF($K$7:$K$30&lt;&gt;"",ROW($K$7:$K$30)-MIN(ROW($K$7:$K$30))+1,""),""),ROW()-ROW(A$32)+1)),"##0"),","),"")</f>
        <v/>
      </c>
      <c r="L34" t="str">
        <f t="array" ref="L34">IFERROR(CONCATENATE((INDEX($N$7:$N$30,SMALL(IF($N$7:$N$30&lt;&gt;"",IF($K$7:$K$30&lt;&gt;"",ROW($K$7:$K$30)-MIN(ROW($K$7:$K$30))+1,""),""),ROW()-ROW(A$32)+1))),","),"")</f>
        <v/>
      </c>
      <c r="M34" t="str">
        <f t="array" ref="M34">IFERROR(CONCATENATE((INDEX($A$7:$A$30,SMALL(IF($N$7:$N$30&lt;&gt;"",IF($K$7:$K$30&lt;&gt;"",ROW($K$7:$K$30)-MIN(ROW($K$7:$K$30))+1,""),""),ROW()-ROW(A$32)+1))),),"")</f>
        <v/>
      </c>
      <c r="Q34" t="str">
        <f t="array" ref="Q34">IFERROR(CONCATENATE((INDEX($T$7:$T$30,SMALL(IF($T$7:$T$30&lt;&gt;"",IF($Q$7:$Q$30&lt;&gt;"",ROW($Q$7:$Q$30)-MIN(ROW($Q$7:$Q$30))+1,""),""),ROW()-ROW(A$32)+1)))," "),"")</f>
        <v/>
      </c>
      <c r="R34" t="str">
        <f t="array" ref="R34">IFERROR(CONCATENATE(TEXT(INDEX($Q$7:$Q$30,SMALL(IF($T$7:$T$30&lt;&gt;"",IF($Q$7:$Q$30&lt;&gt;"",ROW($Q$7:$Q$30)-MIN(ROW($Q$7:$Q$30))+1,""),""),ROW()-ROW(A$32)+1)),"##0")," "),"")</f>
        <v/>
      </c>
      <c r="S34" t="str">
        <f t="array" ref="S34">IFERROR(CONCATENATE((INDEX($A$7:$A$30,SMALL(IF($T$7:$T$30&lt;&gt;"",IF($Q$7:$Q$30&lt;&gt;"",ROW($Q$7:$Q$30)-MIN(ROW($Q$7:$Q$30))+1,""),""),ROW()-ROW(A$32)+1))),),"")</f>
        <v/>
      </c>
      <c r="W34" t="str">
        <f t="array" ref="W34">IFERROR(CONCATENATE((INDEX($Z$7:$Z$30,SMALL(IF($Z$7:$Z$30&lt;&gt;"",IF($W$7:$W$30&lt;&gt;"",ROW($W$7:$W$30)-MIN(ROW($W$7:$W$30))+1,""),""),ROW()-ROW(A$32)+1))),","),"")</f>
        <v/>
      </c>
      <c r="X34" t="str">
        <f t="array" ref="X34">IFERROR(CONCATENATE(TEXT(INDEX($W$7:$W$30,SMALL(IF($Z$7:$Z$30&lt;&gt;"",IF($W$7:$W$30&lt;&gt;"",ROW($W$7:$W$30)-MIN(ROW($W$7:$W$30))+1,""),""),ROW()-ROW(A$32)+1)),"##0"),","),"")</f>
        <v/>
      </c>
      <c r="Y34" t="str">
        <f t="array" ref="Y34">IFERROR(CONCATENATE((INDEX($A$7:$A$30,SMALL(IF($Z$7:$Z$30&lt;&gt;"",IF($W$7:$W$30&lt;&gt;"",ROW($W$7:$W$30)-MIN(ROW($W$7:$W$30))+1,""),""),ROW()-ROW(A$32)+1))),),"")</f>
        <v/>
      </c>
      <c r="AC34" t="str">
        <f t="array" ref="AC34">IFERROR(CONCATENATE(TEXT(INDEX($AC$7:$AC$30,SMALL(IF($AF$7:$AF$30&lt;&gt;"",IF($AC$7:$AC$30&lt;&gt;"",ROW($AC$7:$AC$30)-MIN(ROW($AC$7:$AC$30))+1,""),""),ROW()-ROW(A$32)+1)),"##0"),),"")</f>
        <v/>
      </c>
      <c r="AD34" t="str">
        <f t="array" ref="AD34">IFERROR(CONCATENATE((INDEX($AF$7:$AF$30,SMALL(IF($AF$7:$AF$30&lt;&gt;"",IF($AC$7:$AC$30&lt;&gt;"",ROW($AC$7:$AC$30)-MIN(ROW($AC$7:$AC$30))+1,""),""),ROW()-ROW(A$32)+1))),),"")</f>
        <v/>
      </c>
      <c r="AE34" t="str">
        <f t="array" ref="AE34">IFERROR(CONCATENATE((INDEX($A$7:$A$30,SMALL(IF($AF$7:$AF$30&lt;&gt;"",IF($AC$7:$AC$30&lt;&gt;"",ROW($AC$7:$AC$30)-MIN(ROW($AC$7:$AC$30))+1,""),""),ROW()-ROW(A$32)+1))),),"")</f>
        <v/>
      </c>
      <c r="AI34" t="str">
        <f t="array" ref="AI34">IFERROR(CONCATENATE(TEXT(INDEX($AI$7:$AI$30,SMALL(IF($AL$7:$AL$30&lt;&gt;"",IF($AI$7:$AI$30&lt;&gt;"",ROW($AI$7:$AI$30)-MIN(ROW($AI$7:$AI$30))+1,""),""),ROW()-ROW(A$32)+1)),"##0"),),"")</f>
        <v/>
      </c>
      <c r="AJ34" t="str">
        <f t="array" ref="AJ34">IFERROR(CONCATENATE((INDEX($AL$7:$AL$30,SMALL(IF($AL$7:$AL$30&lt;&gt;"",IF($AI$7:$AI$30&lt;&gt;"",ROW($AI$7:$AI$30)-MIN(ROW($AI$7:$AI$30))+1,""),""),ROW()-ROW(A$32)+1))),),"")</f>
        <v/>
      </c>
      <c r="AK34" t="str">
        <f t="array" ref="AK34">IFERROR(CONCATENATE((INDEX($A$7:$A$30,SMALL(IF($AL$7:$AL$30&lt;&gt;"",IF($AI$7:$AI$30&lt;&gt;"",ROW($AI$7:$AI$30)-MIN(ROW($AI$7:$AI$30))+1,""),""),ROW()-ROW(A$32)+1))),),"")</f>
        <v/>
      </c>
    </row>
    <row r="35" spans="11:37" x14ac:dyDescent="0.25">
      <c r="K35" t="str">
        <f t="array" ref="K35">IFERROR(CONCATENATE(TEXT(INDEX($K$7:$K$30,SMALL(IF($N$7:$N$30&lt;&gt;"",IF($K$7:$K$30&lt;&gt;"",ROW($K$7:$K$30)-MIN(ROW($K$7:$K$30))+1,""),""),ROW()-ROW(A$32)+1)),"##0"),","),"")</f>
        <v/>
      </c>
      <c r="L35" t="str">
        <f t="array" ref="L35">IFERROR(CONCATENATE((INDEX($N$7:$N$30,SMALL(IF($N$7:$N$30&lt;&gt;"",IF($K$7:$K$30&lt;&gt;"",ROW($K$7:$K$30)-MIN(ROW($K$7:$K$30))+1,""),""),ROW()-ROW(A$32)+1))),","),"")</f>
        <v/>
      </c>
      <c r="M35" t="str">
        <f t="array" ref="M35">IFERROR(CONCATENATE((INDEX($A$7:$A$30,SMALL(IF($N$7:$N$30&lt;&gt;"",IF($K$7:$K$30&lt;&gt;"",ROW($K$7:$K$30)-MIN(ROW($K$7:$K$30))+1,""),""),ROW()-ROW(A$32)+1))),),"")</f>
        <v/>
      </c>
      <c r="Q35" t="str">
        <f t="array" ref="Q35">IFERROR(CONCATENATE((INDEX($T$7:$T$30,SMALL(IF($T$7:$T$30&lt;&gt;"",IF($Q$7:$Q$30&lt;&gt;"",ROW($Q$7:$Q$30)-MIN(ROW($Q$7:$Q$30))+1,""),""),ROW()-ROW(A$32)+1)))," "),"")</f>
        <v/>
      </c>
      <c r="R35" t="str">
        <f t="array" ref="R35">IFERROR(CONCATENATE(TEXT(INDEX($Q$7:$Q$30,SMALL(IF($T$7:$T$30&lt;&gt;"",IF($Q$7:$Q$30&lt;&gt;"",ROW($Q$7:$Q$30)-MIN(ROW($Q$7:$Q$30))+1,""),""),ROW()-ROW(A$32)+1)),"##0")," "),"")</f>
        <v/>
      </c>
      <c r="S35" t="str">
        <f t="array" ref="S35">IFERROR(CONCATENATE((INDEX($A$7:$A$30,SMALL(IF($T$7:$T$30&lt;&gt;"",IF($Q$7:$Q$30&lt;&gt;"",ROW($Q$7:$Q$30)-MIN(ROW($Q$7:$Q$30))+1,""),""),ROW()-ROW(A$32)+1))),),"")</f>
        <v/>
      </c>
      <c r="W35" t="str">
        <f t="array" ref="W35">IFERROR(CONCATENATE((INDEX($Z$7:$Z$30,SMALL(IF($Z$7:$Z$30&lt;&gt;"",IF($W$7:$W$30&lt;&gt;"",ROW($W$7:$W$30)-MIN(ROW($W$7:$W$30))+1,""),""),ROW()-ROW(A$32)+1))),","),"")</f>
        <v/>
      </c>
      <c r="X35" t="str">
        <f t="array" ref="X35">IFERROR(CONCATENATE(TEXT(INDEX($W$7:$W$30,SMALL(IF($Z$7:$Z$30&lt;&gt;"",IF($W$7:$W$30&lt;&gt;"",ROW($W$7:$W$30)-MIN(ROW($W$7:$W$30))+1,""),""),ROW()-ROW(A$32)+1)),"##0"),","),"")</f>
        <v/>
      </c>
      <c r="Y35" t="str">
        <f t="array" ref="Y35">IFERROR(CONCATENATE((INDEX($A$7:$A$30,SMALL(IF($Z$7:$Z$30&lt;&gt;"",IF($W$7:$W$30&lt;&gt;"",ROW($W$7:$W$30)-MIN(ROW($W$7:$W$30))+1,""),""),ROW()-ROW(A$32)+1))),),"")</f>
        <v/>
      </c>
      <c r="AC35" t="str">
        <f t="array" ref="AC35">IFERROR(CONCATENATE(TEXT(INDEX($AC$7:$AC$30,SMALL(IF($AF$7:$AF$30&lt;&gt;"",IF($AC$7:$AC$30&lt;&gt;"",ROW($AC$7:$AC$30)-MIN(ROW($AC$7:$AC$30))+1,""),""),ROW()-ROW(A$32)+1)),"##0"),),"")</f>
        <v/>
      </c>
      <c r="AD35" t="str">
        <f t="array" ref="AD35">IFERROR(CONCATENATE((INDEX($AF$7:$AF$30,SMALL(IF($AF$7:$AF$30&lt;&gt;"",IF($AC$7:$AC$30&lt;&gt;"",ROW($AC$7:$AC$30)-MIN(ROW($AC$7:$AC$30))+1,""),""),ROW()-ROW(A$32)+1))),),"")</f>
        <v/>
      </c>
      <c r="AE35" t="str">
        <f t="array" ref="AE35">IFERROR(CONCATENATE((INDEX($A$7:$A$30,SMALL(IF($AF$7:$AF$30&lt;&gt;"",IF($AC$7:$AC$30&lt;&gt;"",ROW($AC$7:$AC$30)-MIN(ROW($AC$7:$AC$30))+1,""),""),ROW()-ROW(A$32)+1))),),"")</f>
        <v/>
      </c>
      <c r="AI35" t="str">
        <f t="array" ref="AI35">IFERROR(CONCATENATE(TEXT(INDEX($AI$7:$AI$30,SMALL(IF($AL$7:$AL$30&lt;&gt;"",IF($AI$7:$AI$30&lt;&gt;"",ROW($AI$7:$AI$30)-MIN(ROW($AI$7:$AI$30))+1,""),""),ROW()-ROW(A$32)+1)),"##0"),),"")</f>
        <v/>
      </c>
      <c r="AJ35" t="str">
        <f t="array" ref="AJ35">IFERROR(CONCATENATE((INDEX($AL$7:$AL$30,SMALL(IF($AL$7:$AL$30&lt;&gt;"",IF($AI$7:$AI$30&lt;&gt;"",ROW($AI$7:$AI$30)-MIN(ROW($AI$7:$AI$30))+1,""),""),ROW()-ROW(A$32)+1))),),"")</f>
        <v/>
      </c>
      <c r="AK35" t="str">
        <f t="array" ref="AK35">IFERROR(CONCATENATE((INDEX($A$7:$A$30,SMALL(IF($AL$7:$AL$30&lt;&gt;"",IF($AI$7:$AI$30&lt;&gt;"",ROW($AI$7:$AI$30)-MIN(ROW($AI$7:$AI$30))+1,""),""),ROW()-ROW(A$32)+1))),),"")</f>
        <v/>
      </c>
    </row>
    <row r="36" spans="11:37" x14ac:dyDescent="0.25">
      <c r="K36" t="str">
        <f t="array" ref="K36">IFERROR(CONCATENATE(TEXT(INDEX($K$7:$K$30,SMALL(IF($N$7:$N$30&lt;&gt;"",IF($K$7:$K$30&lt;&gt;"",ROW($K$7:$K$30)-MIN(ROW($K$7:$K$30))+1,""),""),ROW()-ROW(A$32)+1)),"##0"),","),"")</f>
        <v/>
      </c>
      <c r="L36" t="str">
        <f t="array" ref="L36">IFERROR(CONCATENATE((INDEX($N$7:$N$30,SMALL(IF($N$7:$N$30&lt;&gt;"",IF($K$7:$K$30&lt;&gt;"",ROW($K$7:$K$30)-MIN(ROW($K$7:$K$30))+1,""),""),ROW()-ROW(A$32)+1))),","),"")</f>
        <v/>
      </c>
      <c r="M36" t="str">
        <f t="array" ref="M36">IFERROR(CONCATENATE((INDEX($A$7:$A$30,SMALL(IF($N$7:$N$30&lt;&gt;"",IF($K$7:$K$30&lt;&gt;"",ROW($K$7:$K$30)-MIN(ROW($K$7:$K$30))+1,""),""),ROW()-ROW(A$32)+1))),),"")</f>
        <v/>
      </c>
      <c r="Q36" t="str">
        <f t="array" ref="Q36">IFERROR(CONCATENATE((INDEX($T$7:$T$30,SMALL(IF($T$7:$T$30&lt;&gt;"",IF($Q$7:$Q$30&lt;&gt;"",ROW($Q$7:$Q$30)-MIN(ROW($Q$7:$Q$30))+1,""),""),ROW()-ROW(A$32)+1)))," "),"")</f>
        <v/>
      </c>
      <c r="R36" t="str">
        <f t="array" ref="R36">IFERROR(CONCATENATE(TEXT(INDEX($Q$7:$Q$30,SMALL(IF($T$7:$T$30&lt;&gt;"",IF($Q$7:$Q$30&lt;&gt;"",ROW($Q$7:$Q$30)-MIN(ROW($Q$7:$Q$30))+1,""),""),ROW()-ROW(A$32)+1)),"##0")," "),"")</f>
        <v/>
      </c>
      <c r="S36" t="str">
        <f t="array" ref="S36">IFERROR(CONCATENATE((INDEX($A$7:$A$30,SMALL(IF($T$7:$T$30&lt;&gt;"",IF($Q$7:$Q$30&lt;&gt;"",ROW($Q$7:$Q$30)-MIN(ROW($Q$7:$Q$30))+1,""),""),ROW()-ROW(A$32)+1))),),"")</f>
        <v/>
      </c>
      <c r="W36" t="str">
        <f t="array" ref="W36">IFERROR(CONCATENATE((INDEX($Z$7:$Z$30,SMALL(IF($Z$7:$Z$30&lt;&gt;"",IF($W$7:$W$30&lt;&gt;"",ROW($W$7:$W$30)-MIN(ROW($W$7:$W$30))+1,""),""),ROW()-ROW(A$32)+1))),","),"")</f>
        <v/>
      </c>
      <c r="X36" t="str">
        <f t="array" ref="X36">IFERROR(CONCATENATE(TEXT(INDEX($W$7:$W$30,SMALL(IF($Z$7:$Z$30&lt;&gt;"",IF($W$7:$W$30&lt;&gt;"",ROW($W$7:$W$30)-MIN(ROW($W$7:$W$30))+1,""),""),ROW()-ROW(A$32)+1)),"##0"),","),"")</f>
        <v/>
      </c>
      <c r="Y36" t="str">
        <f t="array" ref="Y36">IFERROR(CONCATENATE((INDEX($A$7:$A$30,SMALL(IF($Z$7:$Z$30&lt;&gt;"",IF($W$7:$W$30&lt;&gt;"",ROW($W$7:$W$30)-MIN(ROW($W$7:$W$30))+1,""),""),ROW()-ROW(A$32)+1))),),"")</f>
        <v/>
      </c>
      <c r="AC36" t="str">
        <f t="array" ref="AC36">IFERROR(CONCATENATE(TEXT(INDEX($AC$7:$AC$30,SMALL(IF($AF$7:$AF$30&lt;&gt;"",IF($AC$7:$AC$30&lt;&gt;"",ROW($AC$7:$AC$30)-MIN(ROW($AC$7:$AC$30))+1,""),""),ROW()-ROW(A$32)+1)),"##0"),),"")</f>
        <v/>
      </c>
      <c r="AD36" t="str">
        <f t="array" ref="AD36">IFERROR(CONCATENATE((INDEX($AF$7:$AF$30,SMALL(IF($AF$7:$AF$30&lt;&gt;"",IF($AC$7:$AC$30&lt;&gt;"",ROW($AC$7:$AC$30)-MIN(ROW($AC$7:$AC$30))+1,""),""),ROW()-ROW(A$32)+1))),),"")</f>
        <v/>
      </c>
      <c r="AE36" t="str">
        <f t="array" ref="AE36">IFERROR(CONCATENATE((INDEX($A$7:$A$30,SMALL(IF($AF$7:$AF$30&lt;&gt;"",IF($AC$7:$AC$30&lt;&gt;"",ROW($AC$7:$AC$30)-MIN(ROW($AC$7:$AC$30))+1,""),""),ROW()-ROW(A$32)+1))),),"")</f>
        <v/>
      </c>
      <c r="AI36" t="str">
        <f t="array" ref="AI36">IFERROR(CONCATENATE(TEXT(INDEX($AI$7:$AI$30,SMALL(IF($AL$7:$AL$30&lt;&gt;"",IF($AI$7:$AI$30&lt;&gt;"",ROW($AI$7:$AI$30)-MIN(ROW($AI$7:$AI$30))+1,""),""),ROW()-ROW(A$32)+1)),"##0"),),"")</f>
        <v/>
      </c>
      <c r="AJ36" t="str">
        <f t="array" ref="AJ36">IFERROR(CONCATENATE((INDEX($AL$7:$AL$30,SMALL(IF($AL$7:$AL$30&lt;&gt;"",IF($AI$7:$AI$30&lt;&gt;"",ROW($AI$7:$AI$30)-MIN(ROW($AI$7:$AI$30))+1,""),""),ROW()-ROW(A$32)+1))),),"")</f>
        <v/>
      </c>
      <c r="AK36" t="str">
        <f t="array" ref="AK36">IFERROR(CONCATENATE((INDEX($A$7:$A$30,SMALL(IF($AL$7:$AL$30&lt;&gt;"",IF($AI$7:$AI$30&lt;&gt;"",ROW($AI$7:$AI$30)-MIN(ROW($AI$7:$AI$30))+1,""),""),ROW()-ROW(A$32)+1))),),"")</f>
        <v/>
      </c>
    </row>
    <row r="37" spans="11:37" x14ac:dyDescent="0.25">
      <c r="K37" t="str">
        <f t="array" ref="K37">IFERROR(CONCATENATE(TEXT(INDEX($K$7:$K$30,SMALL(IF($N$7:$N$30&lt;&gt;"",IF($K$7:$K$30&lt;&gt;"",ROW($K$7:$K$30)-MIN(ROW($K$7:$K$30))+1,""),""),ROW()-ROW(A$32)+1)),"##0"),","),"")</f>
        <v/>
      </c>
      <c r="L37" t="str">
        <f t="array" ref="L37">IFERROR(CONCATENATE((INDEX($N$7:$N$30,SMALL(IF($N$7:$N$30&lt;&gt;"",IF($K$7:$K$30&lt;&gt;"",ROW($K$7:$K$30)-MIN(ROW($K$7:$K$30))+1,""),""),ROW()-ROW(A$32)+1))),","),"")</f>
        <v/>
      </c>
      <c r="M37" t="str">
        <f t="array" ref="M37">IFERROR(CONCATENATE((INDEX($A$7:$A$30,SMALL(IF($N$7:$N$30&lt;&gt;"",IF($K$7:$K$30&lt;&gt;"",ROW($K$7:$K$30)-MIN(ROW($K$7:$K$30))+1,""),""),ROW()-ROW(A$32)+1))),),"")</f>
        <v/>
      </c>
      <c r="Q37" t="str">
        <f t="array" ref="Q37">IFERROR(CONCATENATE((INDEX($T$7:$T$30,SMALL(IF($T$7:$T$30&lt;&gt;"",IF($Q$7:$Q$30&lt;&gt;"",ROW($Q$7:$Q$30)-MIN(ROW($Q$7:$Q$30))+1,""),""),ROW()-ROW(A$32)+1)))," "),"")</f>
        <v/>
      </c>
      <c r="R37" t="str">
        <f t="array" ref="R37">IFERROR(CONCATENATE(TEXT(INDEX($Q$7:$Q$30,SMALL(IF($T$7:$T$30&lt;&gt;"",IF($Q$7:$Q$30&lt;&gt;"",ROW($Q$7:$Q$30)-MIN(ROW($Q$7:$Q$30))+1,""),""),ROW()-ROW(A$32)+1)),"##0")," "),"")</f>
        <v/>
      </c>
      <c r="S37" t="str">
        <f t="array" ref="S37">IFERROR(CONCATENATE((INDEX($A$7:$A$30,SMALL(IF($T$7:$T$30&lt;&gt;"",IF($Q$7:$Q$30&lt;&gt;"",ROW($Q$7:$Q$30)-MIN(ROW($Q$7:$Q$30))+1,""),""),ROW()-ROW(A$32)+1))),),"")</f>
        <v/>
      </c>
      <c r="W37" t="str">
        <f t="array" ref="W37">IFERROR(CONCATENATE((INDEX($Z$7:$Z$30,SMALL(IF($Z$7:$Z$30&lt;&gt;"",IF($W$7:$W$30&lt;&gt;"",ROW($W$7:$W$30)-MIN(ROW($W$7:$W$30))+1,""),""),ROW()-ROW(A$32)+1))),","),"")</f>
        <v/>
      </c>
      <c r="X37" t="str">
        <f t="array" ref="X37">IFERROR(CONCATENATE(TEXT(INDEX($W$7:$W$30,SMALL(IF($Z$7:$Z$30&lt;&gt;"",IF($W$7:$W$30&lt;&gt;"",ROW($W$7:$W$30)-MIN(ROW($W$7:$W$30))+1,""),""),ROW()-ROW(A$32)+1)),"##0"),","),"")</f>
        <v/>
      </c>
      <c r="Y37" t="str">
        <f t="array" ref="Y37">IFERROR(CONCATENATE((INDEX($A$7:$A$30,SMALL(IF($Z$7:$Z$30&lt;&gt;"",IF($W$7:$W$30&lt;&gt;"",ROW($W$7:$W$30)-MIN(ROW($W$7:$W$30))+1,""),""),ROW()-ROW(A$32)+1))),),"")</f>
        <v/>
      </c>
      <c r="AC37" t="str">
        <f t="array" ref="AC37">IFERROR(CONCATENATE(TEXT(INDEX($AC$7:$AC$30,SMALL(IF($AF$7:$AF$30&lt;&gt;"",IF($AC$7:$AC$30&lt;&gt;"",ROW($AC$7:$AC$30)-MIN(ROW($AC$7:$AC$30))+1,""),""),ROW()-ROW(A$32)+1)),"##0"),),"")</f>
        <v/>
      </c>
      <c r="AD37" t="str">
        <f t="array" ref="AD37">IFERROR(CONCATENATE((INDEX($AF$7:$AF$30,SMALL(IF($AF$7:$AF$30&lt;&gt;"",IF($AC$7:$AC$30&lt;&gt;"",ROW($AC$7:$AC$30)-MIN(ROW($AC$7:$AC$30))+1,""),""),ROW()-ROW(A$32)+1))),),"")</f>
        <v/>
      </c>
      <c r="AE37" t="str">
        <f t="array" ref="AE37">IFERROR(CONCATENATE((INDEX($A$7:$A$30,SMALL(IF($AF$7:$AF$30&lt;&gt;"",IF($AC$7:$AC$30&lt;&gt;"",ROW($AC$7:$AC$30)-MIN(ROW($AC$7:$AC$30))+1,""),""),ROW()-ROW(A$32)+1))),),"")</f>
        <v/>
      </c>
      <c r="AI37" t="str">
        <f t="array" ref="AI37">IFERROR(CONCATENATE(TEXT(INDEX($AI$7:$AI$30,SMALL(IF($AL$7:$AL$30&lt;&gt;"",IF($AI$7:$AI$30&lt;&gt;"",ROW($AI$7:$AI$30)-MIN(ROW($AI$7:$AI$30))+1,""),""),ROW()-ROW(A$32)+1)),"##0"),),"")</f>
        <v/>
      </c>
      <c r="AJ37" t="str">
        <f t="array" ref="AJ37">IFERROR(CONCATENATE((INDEX($AL$7:$AL$30,SMALL(IF($AL$7:$AL$30&lt;&gt;"",IF($AI$7:$AI$30&lt;&gt;"",ROW($AI$7:$AI$30)-MIN(ROW($AI$7:$AI$30))+1,""),""),ROW()-ROW(A$32)+1))),),"")</f>
        <v/>
      </c>
      <c r="AK37" t="str">
        <f t="array" ref="AK37">IFERROR(CONCATENATE((INDEX($A$7:$A$30,SMALL(IF($AL$7:$AL$30&lt;&gt;"",IF($AI$7:$AI$30&lt;&gt;"",ROW($AI$7:$AI$30)-MIN(ROW($AI$7:$AI$30))+1,""),""),ROW()-ROW(A$32)+1))),),"")</f>
        <v/>
      </c>
    </row>
    <row r="38" spans="11:37" x14ac:dyDescent="0.25">
      <c r="K38" t="str">
        <f t="array" ref="K38">IFERROR(CONCATENATE(TEXT(INDEX($K$7:$K$30,SMALL(IF($N$7:$N$30&lt;&gt;"",IF($K$7:$K$30&lt;&gt;"",ROW($K$7:$K$30)-MIN(ROW($K$7:$K$30))+1,""),""),ROW()-ROW(A$32)+1)),"##0"),","),"")</f>
        <v/>
      </c>
      <c r="L38" t="str">
        <f t="array" ref="L38">IFERROR(CONCATENATE((INDEX($N$7:$N$30,SMALL(IF($N$7:$N$30&lt;&gt;"",IF($K$7:$K$30&lt;&gt;"",ROW($K$7:$K$30)-MIN(ROW($K$7:$K$30))+1,""),""),ROW()-ROW(A$32)+1))),","),"")</f>
        <v/>
      </c>
      <c r="M38" t="str">
        <f t="array" ref="M38">IFERROR(CONCATENATE((INDEX($A$7:$A$30,SMALL(IF($N$7:$N$30&lt;&gt;"",IF($K$7:$K$30&lt;&gt;"",ROW($K$7:$K$30)-MIN(ROW($K$7:$K$30))+1,""),""),ROW()-ROW(A$32)+1))),),"")</f>
        <v/>
      </c>
      <c r="Q38" t="str">
        <f t="array" ref="Q38">IFERROR(CONCATENATE((INDEX($T$7:$T$30,SMALL(IF($T$7:$T$30&lt;&gt;"",IF($Q$7:$Q$30&lt;&gt;"",ROW($Q$7:$Q$30)-MIN(ROW($Q$7:$Q$30))+1,""),""),ROW()-ROW(A$32)+1)))," "),"")</f>
        <v/>
      </c>
      <c r="R38" t="str">
        <f t="array" ref="R38">IFERROR(CONCATENATE(TEXT(INDEX($Q$7:$Q$30,SMALL(IF($T$7:$T$30&lt;&gt;"",IF($Q$7:$Q$30&lt;&gt;"",ROW($Q$7:$Q$30)-MIN(ROW($Q$7:$Q$30))+1,""),""),ROW()-ROW(A$32)+1)),"##0")," "),"")</f>
        <v/>
      </c>
      <c r="S38" t="str">
        <f t="array" ref="S38">IFERROR(CONCATENATE((INDEX($A$7:$A$30,SMALL(IF($T$7:$T$30&lt;&gt;"",IF($Q$7:$Q$30&lt;&gt;"",ROW($Q$7:$Q$30)-MIN(ROW($Q$7:$Q$30))+1,""),""),ROW()-ROW(A$32)+1))),),"")</f>
        <v/>
      </c>
      <c r="W38" t="str">
        <f t="array" ref="W38">IFERROR(CONCATENATE((INDEX($Z$7:$Z$30,SMALL(IF($Z$7:$Z$30&lt;&gt;"",IF($W$7:$W$30&lt;&gt;"",ROW($W$7:$W$30)-MIN(ROW($W$7:$W$30))+1,""),""),ROW()-ROW(A$32)+1))),","),"")</f>
        <v/>
      </c>
      <c r="X38" t="str">
        <f t="array" ref="X38">IFERROR(CONCATENATE(TEXT(INDEX($W$7:$W$30,SMALL(IF($Z$7:$Z$30&lt;&gt;"",IF($W$7:$W$30&lt;&gt;"",ROW($W$7:$W$30)-MIN(ROW($W$7:$W$30))+1,""),""),ROW()-ROW(A$32)+1)),"##0"),","),"")</f>
        <v/>
      </c>
      <c r="Y38" t="str">
        <f t="array" ref="Y38">IFERROR(CONCATENATE((INDEX($A$7:$A$30,SMALL(IF($Z$7:$Z$30&lt;&gt;"",IF($W$7:$W$30&lt;&gt;"",ROW($W$7:$W$30)-MIN(ROW($W$7:$W$30))+1,""),""),ROW()-ROW(A$32)+1))),),"")</f>
        <v/>
      </c>
      <c r="AC38" t="str">
        <f t="array" ref="AC38">IFERROR(CONCATENATE(TEXT(INDEX($AC$7:$AC$30,SMALL(IF($AF$7:$AF$30&lt;&gt;"",IF($AC$7:$AC$30&lt;&gt;"",ROW($AC$7:$AC$30)-MIN(ROW($AC$7:$AC$30))+1,""),""),ROW()-ROW(A$32)+1)),"##0"),),"")</f>
        <v/>
      </c>
      <c r="AD38" t="str">
        <f t="array" ref="AD38">IFERROR(CONCATENATE((INDEX($AF$7:$AF$30,SMALL(IF($AF$7:$AF$30&lt;&gt;"",IF($AC$7:$AC$30&lt;&gt;"",ROW($AC$7:$AC$30)-MIN(ROW($AC$7:$AC$30))+1,""),""),ROW()-ROW(A$32)+1))),),"")</f>
        <v/>
      </c>
      <c r="AE38" t="str">
        <f t="array" ref="AE38">IFERROR(CONCATENATE((INDEX($A$7:$A$30,SMALL(IF($AF$7:$AF$30&lt;&gt;"",IF($AC$7:$AC$30&lt;&gt;"",ROW($AC$7:$AC$30)-MIN(ROW($AC$7:$AC$30))+1,""),""),ROW()-ROW(A$32)+1))),),"")</f>
        <v/>
      </c>
      <c r="AI38" t="str">
        <f t="array" ref="AI38">IFERROR(CONCATENATE(TEXT(INDEX($AI$7:$AI$30,SMALL(IF($AL$7:$AL$30&lt;&gt;"",IF($AI$7:$AI$30&lt;&gt;"",ROW($AI$7:$AI$30)-MIN(ROW($AI$7:$AI$30))+1,""),""),ROW()-ROW(A$32)+1)),"##0"),),"")</f>
        <v/>
      </c>
      <c r="AJ38" t="str">
        <f t="array" ref="AJ38">IFERROR(CONCATENATE((INDEX($AL$7:$AL$30,SMALL(IF($AL$7:$AL$30&lt;&gt;"",IF($AI$7:$AI$30&lt;&gt;"",ROW($AI$7:$AI$30)-MIN(ROW($AI$7:$AI$30))+1,""),""),ROW()-ROW(A$32)+1))),),"")</f>
        <v/>
      </c>
      <c r="AK38" t="str">
        <f t="array" ref="AK38">IFERROR(CONCATENATE((INDEX($A$7:$A$30,SMALL(IF($AL$7:$AL$30&lt;&gt;"",IF($AI$7:$AI$30&lt;&gt;"",ROW($AI$7:$AI$30)-MIN(ROW($AI$7:$AI$30))+1,""),""),ROW()-ROW(A$32)+1))),),"")</f>
        <v/>
      </c>
    </row>
    <row r="39" spans="11:37" x14ac:dyDescent="0.25">
      <c r="K39" t="str">
        <f t="array" ref="K39">IFERROR(CONCATENATE(TEXT(INDEX($K$7:$K$30,SMALL(IF($N$7:$N$30&lt;&gt;"",IF($K$7:$K$30&lt;&gt;"",ROW($K$7:$K$30)-MIN(ROW($K$7:$K$30))+1,""),""),ROW()-ROW(A$32)+1)),"##0"),","),"")</f>
        <v/>
      </c>
      <c r="L39" t="str">
        <f t="array" ref="L39">IFERROR(CONCATENATE((INDEX($N$7:$N$30,SMALL(IF($N$7:$N$30&lt;&gt;"",IF($K$7:$K$30&lt;&gt;"",ROW($K$7:$K$30)-MIN(ROW($K$7:$K$30))+1,""),""),ROW()-ROW(A$32)+1))),","),"")</f>
        <v/>
      </c>
      <c r="M39" t="str">
        <f t="array" ref="M39">IFERROR(CONCATENATE((INDEX($A$7:$A$30,SMALL(IF($N$7:$N$30&lt;&gt;"",IF($K$7:$K$30&lt;&gt;"",ROW($K$7:$K$30)-MIN(ROW($K$7:$K$30))+1,""),""),ROW()-ROW(A$32)+1))),),"")</f>
        <v/>
      </c>
      <c r="Q39" t="str">
        <f t="array" ref="Q39">IFERROR(CONCATENATE((INDEX($T$7:$T$30,SMALL(IF($T$7:$T$30&lt;&gt;"",IF($Q$7:$Q$30&lt;&gt;"",ROW($Q$7:$Q$30)-MIN(ROW($Q$7:$Q$30))+1,""),""),ROW()-ROW(A$32)+1)))," "),"")</f>
        <v/>
      </c>
      <c r="R39" t="str">
        <f t="array" ref="R39">IFERROR(CONCATENATE(TEXT(INDEX($Q$7:$Q$30,SMALL(IF($T$7:$T$30&lt;&gt;"",IF($Q$7:$Q$30&lt;&gt;"",ROW($Q$7:$Q$30)-MIN(ROW($Q$7:$Q$30))+1,""),""),ROW()-ROW(A$32)+1)),"##0")," "),"")</f>
        <v/>
      </c>
      <c r="S39" t="str">
        <f t="array" ref="S39">IFERROR(CONCATENATE((INDEX($A$7:$A$30,SMALL(IF($T$7:$T$30&lt;&gt;"",IF($Q$7:$Q$30&lt;&gt;"",ROW($Q$7:$Q$30)-MIN(ROW($Q$7:$Q$30))+1,""),""),ROW()-ROW(A$32)+1))),),"")</f>
        <v/>
      </c>
      <c r="W39" t="str">
        <f t="array" ref="W39">IFERROR(CONCATENATE((INDEX($Z$7:$Z$30,SMALL(IF($Z$7:$Z$30&lt;&gt;"",IF($W$7:$W$30&lt;&gt;"",ROW($W$7:$W$30)-MIN(ROW($W$7:$W$30))+1,""),""),ROW()-ROW(A$32)+1))),","),"")</f>
        <v/>
      </c>
      <c r="X39" t="str">
        <f t="array" ref="X39">IFERROR(CONCATENATE(TEXT(INDEX($W$7:$W$30,SMALL(IF($Z$7:$Z$30&lt;&gt;"",IF($W$7:$W$30&lt;&gt;"",ROW($W$7:$W$30)-MIN(ROW($W$7:$W$30))+1,""),""),ROW()-ROW(A$32)+1)),"##0"),","),"")</f>
        <v/>
      </c>
      <c r="Y39" t="str">
        <f t="array" ref="Y39">IFERROR(CONCATENATE((INDEX($A$7:$A$30,SMALL(IF($Z$7:$Z$30&lt;&gt;"",IF($W$7:$W$30&lt;&gt;"",ROW($W$7:$W$30)-MIN(ROW($W$7:$W$30))+1,""),""),ROW()-ROW(A$32)+1))),),"")</f>
        <v/>
      </c>
      <c r="AC39" t="str">
        <f t="array" ref="AC39">IFERROR(CONCATENATE(TEXT(INDEX($AC$7:$AC$30,SMALL(IF($AF$7:$AF$30&lt;&gt;"",IF($AC$7:$AC$30&lt;&gt;"",ROW($AC$7:$AC$30)-MIN(ROW($AC$7:$AC$30))+1,""),""),ROW()-ROW(A$32)+1)),"##0"),),"")</f>
        <v/>
      </c>
      <c r="AD39" t="str">
        <f t="array" ref="AD39">IFERROR(CONCATENATE((INDEX($AF$7:$AF$30,SMALL(IF($AF$7:$AF$30&lt;&gt;"",IF($AC$7:$AC$30&lt;&gt;"",ROW($AC$7:$AC$30)-MIN(ROW($AC$7:$AC$30))+1,""),""),ROW()-ROW(A$32)+1))),),"")</f>
        <v/>
      </c>
      <c r="AE39" t="str">
        <f t="array" ref="AE39">IFERROR(CONCATENATE((INDEX($A$7:$A$30,SMALL(IF($AF$7:$AF$30&lt;&gt;"",IF($AC$7:$AC$30&lt;&gt;"",ROW($AC$7:$AC$30)-MIN(ROW($AC$7:$AC$30))+1,""),""),ROW()-ROW(A$32)+1))),),"")</f>
        <v/>
      </c>
      <c r="AI39" t="str">
        <f t="array" ref="AI39">IFERROR(CONCATENATE(TEXT(INDEX($AI$7:$AI$30,SMALL(IF($AL$7:$AL$30&lt;&gt;"",IF($AI$7:$AI$30&lt;&gt;"",ROW($AI$7:$AI$30)-MIN(ROW($AI$7:$AI$30))+1,""),""),ROW()-ROW(A$32)+1)),"##0"),),"")</f>
        <v/>
      </c>
      <c r="AJ39" t="str">
        <f t="array" ref="AJ39">IFERROR(CONCATENATE((INDEX($AL$7:$AL$30,SMALL(IF($AL$7:$AL$30&lt;&gt;"",IF($AI$7:$AI$30&lt;&gt;"",ROW($AI$7:$AI$30)-MIN(ROW($AI$7:$AI$30))+1,""),""),ROW()-ROW(A$32)+1))),),"")</f>
        <v/>
      </c>
      <c r="AK39" t="str">
        <f t="array" ref="AK39">IFERROR(CONCATENATE((INDEX($A$7:$A$30,SMALL(IF($AL$7:$AL$30&lt;&gt;"",IF($AI$7:$AI$30&lt;&gt;"",ROW($AI$7:$AI$30)-MIN(ROW($AI$7:$AI$30))+1,""),""),ROW()-ROW(A$32)+1))),),"")</f>
        <v/>
      </c>
    </row>
    <row r="40" spans="11:37" x14ac:dyDescent="0.25">
      <c r="K40" t="str">
        <f t="array" ref="K40">IFERROR(CONCATENATE(TEXT(INDEX($K$7:$K$30,SMALL(IF($N$7:$N$30&lt;&gt;"",IF($K$7:$K$30&lt;&gt;"",ROW($K$7:$K$30)-MIN(ROW($K$7:$K$30))+1,""),""),ROW()-ROW(A$32)+1)),"##0"),","),"")</f>
        <v/>
      </c>
      <c r="L40" t="str">
        <f t="array" ref="L40">IFERROR(CONCATENATE((INDEX($N$7:$N$30,SMALL(IF($N$7:$N$30&lt;&gt;"",IF($K$7:$K$30&lt;&gt;"",ROW($K$7:$K$30)-MIN(ROW($K$7:$K$30))+1,""),""),ROW()-ROW(A$32)+1))),","),"")</f>
        <v/>
      </c>
      <c r="M40" t="str">
        <f t="array" ref="M40">IFERROR(CONCATENATE((INDEX($A$7:$A$30,SMALL(IF($N$7:$N$30&lt;&gt;"",IF($K$7:$K$30&lt;&gt;"",ROW($K$7:$K$30)-MIN(ROW($K$7:$K$30))+1,""),""),ROW()-ROW(A$32)+1))),),"")</f>
        <v/>
      </c>
      <c r="Q40" t="str">
        <f t="array" ref="Q40">IFERROR(CONCATENATE((INDEX($T$7:$T$30,SMALL(IF($T$7:$T$30&lt;&gt;"",IF($Q$7:$Q$30&lt;&gt;"",ROW($Q$7:$Q$30)-MIN(ROW($Q$7:$Q$30))+1,""),""),ROW()-ROW(A$32)+1)))," "),"")</f>
        <v/>
      </c>
      <c r="R40" t="str">
        <f t="array" ref="R40">IFERROR(CONCATENATE(TEXT(INDEX($Q$7:$Q$30,SMALL(IF($T$7:$T$30&lt;&gt;"",IF($Q$7:$Q$30&lt;&gt;"",ROW($Q$7:$Q$30)-MIN(ROW($Q$7:$Q$30))+1,""),""),ROW()-ROW(A$32)+1)),"##0")," "),"")</f>
        <v/>
      </c>
      <c r="S40" t="str">
        <f t="array" ref="S40">IFERROR(CONCATENATE((INDEX($A$7:$A$30,SMALL(IF($T$7:$T$30&lt;&gt;"",IF($Q$7:$Q$30&lt;&gt;"",ROW($Q$7:$Q$30)-MIN(ROW($Q$7:$Q$30))+1,""),""),ROW()-ROW(A$32)+1))),),"")</f>
        <v/>
      </c>
      <c r="W40" t="str">
        <f t="array" ref="W40">IFERROR(CONCATENATE((INDEX($Z$7:$Z$30,SMALL(IF($Z$7:$Z$30&lt;&gt;"",IF($W$7:$W$30&lt;&gt;"",ROW($W$7:$W$30)-MIN(ROW($W$7:$W$30))+1,""),""),ROW()-ROW(A$32)+1))),","),"")</f>
        <v/>
      </c>
      <c r="X40" t="str">
        <f t="array" ref="X40">IFERROR(CONCATENATE(TEXT(INDEX($W$7:$W$30,SMALL(IF($Z$7:$Z$30&lt;&gt;"",IF($W$7:$W$30&lt;&gt;"",ROW($W$7:$W$30)-MIN(ROW($W$7:$W$30))+1,""),""),ROW()-ROW(A$32)+1)),"##0"),","),"")</f>
        <v/>
      </c>
      <c r="Y40" t="str">
        <f t="array" ref="Y40">IFERROR(CONCATENATE((INDEX($A$7:$A$30,SMALL(IF($Z$7:$Z$30&lt;&gt;"",IF($W$7:$W$30&lt;&gt;"",ROW($W$7:$W$30)-MIN(ROW($W$7:$W$30))+1,""),""),ROW()-ROW(A$32)+1))),),"")</f>
        <v/>
      </c>
      <c r="AC40" t="str">
        <f t="array" ref="AC40">IFERROR(CONCATENATE(TEXT(INDEX($AC$7:$AC$30,SMALL(IF($AF$7:$AF$30&lt;&gt;"",IF($AC$7:$AC$30&lt;&gt;"",ROW($AC$7:$AC$30)-MIN(ROW($AC$7:$AC$30))+1,""),""),ROW()-ROW(A$32)+1)),"##0"),),"")</f>
        <v/>
      </c>
      <c r="AD40" t="str">
        <f t="array" ref="AD40">IFERROR(CONCATENATE((INDEX($AF$7:$AF$30,SMALL(IF($AF$7:$AF$30&lt;&gt;"",IF($AC$7:$AC$30&lt;&gt;"",ROW($AC$7:$AC$30)-MIN(ROW($AC$7:$AC$30))+1,""),""),ROW()-ROW(A$32)+1))),),"")</f>
        <v/>
      </c>
      <c r="AE40" t="str">
        <f t="array" ref="AE40">IFERROR(CONCATENATE((INDEX($A$7:$A$30,SMALL(IF($AF$7:$AF$30&lt;&gt;"",IF($AC$7:$AC$30&lt;&gt;"",ROW($AC$7:$AC$30)-MIN(ROW($AC$7:$AC$30))+1,""),""),ROW()-ROW(A$32)+1))),),"")</f>
        <v/>
      </c>
      <c r="AI40" t="str">
        <f t="array" ref="AI40">IFERROR(CONCATENATE(TEXT(INDEX($AI$7:$AI$30,SMALL(IF($AL$7:$AL$30&lt;&gt;"",IF($AI$7:$AI$30&lt;&gt;"",ROW($AI$7:$AI$30)-MIN(ROW($AI$7:$AI$30))+1,""),""),ROW()-ROW(A$32)+1)),"##0"),),"")</f>
        <v/>
      </c>
      <c r="AJ40" t="str">
        <f t="array" ref="AJ40">IFERROR(CONCATENATE((INDEX($AL$7:$AL$30,SMALL(IF($AL$7:$AL$30&lt;&gt;"",IF($AI$7:$AI$30&lt;&gt;"",ROW($AI$7:$AI$30)-MIN(ROW($AI$7:$AI$30))+1,""),""),ROW()-ROW(A$32)+1))),),"")</f>
        <v/>
      </c>
      <c r="AK40" t="str">
        <f t="array" ref="AK40">IFERROR(CONCATENATE((INDEX($A$7:$A$30,SMALL(IF($AL$7:$AL$30&lt;&gt;"",IF($AI$7:$AI$30&lt;&gt;"",ROW($AI$7:$AI$30)-MIN(ROW($AI$7:$AI$30))+1,""),""),ROW()-ROW(A$32)+1))),),"")</f>
        <v/>
      </c>
    </row>
    <row r="41" spans="11:37" x14ac:dyDescent="0.25">
      <c r="K41" t="str">
        <f t="array" ref="K41">IFERROR(CONCATENATE(TEXT(INDEX($K$7:$K$30,SMALL(IF($N$7:$N$30&lt;&gt;"",IF($K$7:$K$30&lt;&gt;"",ROW($K$7:$K$30)-MIN(ROW($K$7:$K$30))+1,""),""),ROW()-ROW(A$32)+1)),"##0"),","),"")</f>
        <v/>
      </c>
      <c r="L41" t="str">
        <f t="array" ref="L41">IFERROR(CONCATENATE((INDEX($N$7:$N$30,SMALL(IF($N$7:$N$30&lt;&gt;"",IF($K$7:$K$30&lt;&gt;"",ROW($K$7:$K$30)-MIN(ROW($K$7:$K$30))+1,""),""),ROW()-ROW(A$32)+1))),","),"")</f>
        <v/>
      </c>
      <c r="M41" t="str">
        <f t="array" ref="M41">IFERROR(CONCATENATE((INDEX($A$7:$A$30,SMALL(IF($N$7:$N$30&lt;&gt;"",IF($K$7:$K$30&lt;&gt;"",ROW($K$7:$K$30)-MIN(ROW($K$7:$K$30))+1,""),""),ROW()-ROW(A$32)+1))),),"")</f>
        <v/>
      </c>
      <c r="Q41" t="str">
        <f t="array" ref="Q41">IFERROR(CONCATENATE((INDEX($T$7:$T$30,SMALL(IF($T$7:$T$30&lt;&gt;"",IF($Q$7:$Q$30&lt;&gt;"",ROW($Q$7:$Q$30)-MIN(ROW($Q$7:$Q$30))+1,""),""),ROW()-ROW(A$32)+1)))," "),"")</f>
        <v/>
      </c>
      <c r="R41" t="str">
        <f t="array" ref="R41">IFERROR(CONCATENATE(TEXT(INDEX($Q$7:$Q$30,SMALL(IF($T$7:$T$30&lt;&gt;"",IF($Q$7:$Q$30&lt;&gt;"",ROW($Q$7:$Q$30)-MIN(ROW($Q$7:$Q$30))+1,""),""),ROW()-ROW(A$32)+1)),"##0")," "),"")</f>
        <v/>
      </c>
      <c r="S41" t="str">
        <f t="array" ref="S41">IFERROR(CONCATENATE((INDEX($A$7:$A$30,SMALL(IF($T$7:$T$30&lt;&gt;"",IF($Q$7:$Q$30&lt;&gt;"",ROW($Q$7:$Q$30)-MIN(ROW($Q$7:$Q$30))+1,""),""),ROW()-ROW(A$32)+1))),),"")</f>
        <v/>
      </c>
      <c r="W41" t="str">
        <f t="array" ref="W41">IFERROR(CONCATENATE((INDEX($Z$7:$Z$30,SMALL(IF($Z$7:$Z$30&lt;&gt;"",IF($W$7:$W$30&lt;&gt;"",ROW($W$7:$W$30)-MIN(ROW($W$7:$W$30))+1,""),""),ROW()-ROW(A$32)+1))),","),"")</f>
        <v/>
      </c>
      <c r="X41" t="str">
        <f t="array" ref="X41">IFERROR(CONCATENATE(TEXT(INDEX($W$7:$W$30,SMALL(IF($Z$7:$Z$30&lt;&gt;"",IF($W$7:$W$30&lt;&gt;"",ROW($W$7:$W$30)-MIN(ROW($W$7:$W$30))+1,""),""),ROW()-ROW(A$32)+1)),"##0"),","),"")</f>
        <v/>
      </c>
      <c r="Y41" t="str">
        <f t="array" ref="Y41">IFERROR(CONCATENATE((INDEX($A$7:$A$30,SMALL(IF($Z$7:$Z$30&lt;&gt;"",IF($W$7:$W$30&lt;&gt;"",ROW($W$7:$W$30)-MIN(ROW($W$7:$W$30))+1,""),""),ROW()-ROW(A$32)+1))),),"")</f>
        <v/>
      </c>
      <c r="AC41" t="str">
        <f t="array" ref="AC41">IFERROR(CONCATENATE(TEXT(INDEX($AC$7:$AC$30,SMALL(IF($AF$7:$AF$30&lt;&gt;"",IF($AC$7:$AC$30&lt;&gt;"",ROW($AC$7:$AC$30)-MIN(ROW($AC$7:$AC$30))+1,""),""),ROW()-ROW(A$32)+1)),"##0"),),"")</f>
        <v/>
      </c>
      <c r="AD41" t="str">
        <f t="array" ref="AD41">IFERROR(CONCATENATE((INDEX($AF$7:$AF$30,SMALL(IF($AF$7:$AF$30&lt;&gt;"",IF($AC$7:$AC$30&lt;&gt;"",ROW($AC$7:$AC$30)-MIN(ROW($AC$7:$AC$30))+1,""),""),ROW()-ROW(A$32)+1))),),"")</f>
        <v/>
      </c>
      <c r="AE41" t="str">
        <f t="array" ref="AE41">IFERROR(CONCATENATE((INDEX($A$7:$A$30,SMALL(IF($AF$7:$AF$30&lt;&gt;"",IF($AC$7:$AC$30&lt;&gt;"",ROW($AC$7:$AC$30)-MIN(ROW($AC$7:$AC$30))+1,""),""),ROW()-ROW(A$32)+1))),),"")</f>
        <v/>
      </c>
      <c r="AI41" t="str">
        <f t="array" ref="AI41">IFERROR(CONCATENATE(TEXT(INDEX($AI$7:$AI$30,SMALL(IF($AL$7:$AL$30&lt;&gt;"",IF($AI$7:$AI$30&lt;&gt;"",ROW($AI$7:$AI$30)-MIN(ROW($AI$7:$AI$30))+1,""),""),ROW()-ROW(A$32)+1)),"##0"),),"")</f>
        <v/>
      </c>
      <c r="AJ41" t="str">
        <f t="array" ref="AJ41">IFERROR(CONCATENATE((INDEX($AL$7:$AL$30,SMALL(IF($AL$7:$AL$30&lt;&gt;"",IF($AI$7:$AI$30&lt;&gt;"",ROW($AI$7:$AI$30)-MIN(ROW($AI$7:$AI$30))+1,""),""),ROW()-ROW(A$32)+1))),),"")</f>
        <v/>
      </c>
      <c r="AK41" t="str">
        <f t="array" ref="AK41">IFERROR(CONCATENATE((INDEX($A$7:$A$30,SMALL(IF($AL$7:$AL$30&lt;&gt;"",IF($AI$7:$AI$30&lt;&gt;"",ROW($AI$7:$AI$30)-MIN(ROW($AI$7:$AI$30))+1,""),""),ROW()-ROW(A$32)+1))),),"")</f>
        <v/>
      </c>
    </row>
    <row r="42" spans="11:37" x14ac:dyDescent="0.25">
      <c r="K42" t="str">
        <f t="array" ref="K42">IFERROR(CONCATENATE(TEXT(INDEX($K$7:$K$30,SMALL(IF($N$7:$N$30&lt;&gt;"",IF($K$7:$K$30&lt;&gt;"",ROW($K$7:$K$30)-MIN(ROW($K$7:$K$30))+1,""),""),ROW()-ROW(A$32)+1)),"##0"),","),"")</f>
        <v/>
      </c>
      <c r="L42" t="str">
        <f t="array" ref="L42">IFERROR(CONCATENATE((INDEX($N$7:$N$30,SMALL(IF($N$7:$N$30&lt;&gt;"",IF($K$7:$K$30&lt;&gt;"",ROW($K$7:$K$30)-MIN(ROW($K$7:$K$30))+1,""),""),ROW()-ROW(A$32)+1))),","),"")</f>
        <v/>
      </c>
      <c r="M42" t="str">
        <f t="array" ref="M42">IFERROR(CONCATENATE((INDEX($A$7:$A$30,SMALL(IF($N$7:$N$30&lt;&gt;"",IF($K$7:$K$30&lt;&gt;"",ROW($K$7:$K$30)-MIN(ROW($K$7:$K$30))+1,""),""),ROW()-ROW(A$32)+1))),),"")</f>
        <v/>
      </c>
      <c r="Q42" t="str">
        <f t="array" ref="Q42">IFERROR(CONCATENATE((INDEX($T$7:$T$30,SMALL(IF($T$7:$T$30&lt;&gt;"",IF($Q$7:$Q$30&lt;&gt;"",ROW($Q$7:$Q$30)-MIN(ROW($Q$7:$Q$30))+1,""),""),ROW()-ROW(A$32)+1)))," "),"")</f>
        <v/>
      </c>
      <c r="R42" t="str">
        <f t="array" ref="R42">IFERROR(CONCATENATE(TEXT(INDEX($Q$7:$Q$30,SMALL(IF($T$7:$T$30&lt;&gt;"",IF($Q$7:$Q$30&lt;&gt;"",ROW($Q$7:$Q$30)-MIN(ROW($Q$7:$Q$30))+1,""),""),ROW()-ROW(A$32)+1)),"##0")," "),"")</f>
        <v/>
      </c>
      <c r="S42" t="str">
        <f t="array" ref="S42">IFERROR(CONCATENATE((INDEX($A$7:$A$30,SMALL(IF($T$7:$T$30&lt;&gt;"",IF($Q$7:$Q$30&lt;&gt;"",ROW($Q$7:$Q$30)-MIN(ROW($Q$7:$Q$30))+1,""),""),ROW()-ROW(A$32)+1))),),"")</f>
        <v/>
      </c>
      <c r="W42" t="str">
        <f t="array" ref="W42">IFERROR(CONCATENATE((INDEX($Z$7:$Z$30,SMALL(IF($Z$7:$Z$30&lt;&gt;"",IF($W$7:$W$30&lt;&gt;"",ROW($W$7:$W$30)-MIN(ROW($W$7:$W$30))+1,""),""),ROW()-ROW(A$32)+1))),","),"")</f>
        <v/>
      </c>
      <c r="X42" t="str">
        <f t="array" ref="X42">IFERROR(CONCATENATE(TEXT(INDEX($W$7:$W$30,SMALL(IF($Z$7:$Z$30&lt;&gt;"",IF($W$7:$W$30&lt;&gt;"",ROW($W$7:$W$30)-MIN(ROW($W$7:$W$30))+1,""),""),ROW()-ROW(A$32)+1)),"##0"),","),"")</f>
        <v/>
      </c>
      <c r="Y42" t="str">
        <f t="array" ref="Y42">IFERROR(CONCATENATE((INDEX($A$7:$A$30,SMALL(IF($Z$7:$Z$30&lt;&gt;"",IF($W$7:$W$30&lt;&gt;"",ROW($W$7:$W$30)-MIN(ROW($W$7:$W$30))+1,""),""),ROW()-ROW(A$32)+1))),),"")</f>
        <v/>
      </c>
      <c r="AC42" t="str">
        <f t="array" ref="AC42">IFERROR(CONCATENATE(TEXT(INDEX($AC$7:$AC$30,SMALL(IF($AF$7:$AF$30&lt;&gt;"",IF($AC$7:$AC$30&lt;&gt;"",ROW($AC$7:$AC$30)-MIN(ROW($AC$7:$AC$30))+1,""),""),ROW()-ROW(A$32)+1)),"##0"),),"")</f>
        <v/>
      </c>
      <c r="AD42" t="str">
        <f t="array" ref="AD42">IFERROR(CONCATENATE((INDEX($AF$7:$AF$30,SMALL(IF($AF$7:$AF$30&lt;&gt;"",IF($AC$7:$AC$30&lt;&gt;"",ROW($AC$7:$AC$30)-MIN(ROW($AC$7:$AC$30))+1,""),""),ROW()-ROW(A$32)+1))),),"")</f>
        <v/>
      </c>
      <c r="AE42" t="str">
        <f t="array" ref="AE42">IFERROR(CONCATENATE((INDEX($A$7:$A$30,SMALL(IF($AF$7:$AF$30&lt;&gt;"",IF($AC$7:$AC$30&lt;&gt;"",ROW($AC$7:$AC$30)-MIN(ROW($AC$7:$AC$30))+1,""),""),ROW()-ROW(A$32)+1))),),"")</f>
        <v/>
      </c>
      <c r="AI42" t="str">
        <f t="array" ref="AI42">IFERROR(CONCATENATE(TEXT(INDEX($AI$7:$AI$30,SMALL(IF($AL$7:$AL$30&lt;&gt;"",IF($AI$7:$AI$30&lt;&gt;"",ROW($AI$7:$AI$30)-MIN(ROW($AI$7:$AI$30))+1,""),""),ROW()-ROW(A$32)+1)),"##0"),),"")</f>
        <v/>
      </c>
      <c r="AJ42" t="str">
        <f t="array" ref="AJ42">IFERROR(CONCATENATE((INDEX($AL$7:$AL$30,SMALL(IF($AL$7:$AL$30&lt;&gt;"",IF($AI$7:$AI$30&lt;&gt;"",ROW($AI$7:$AI$30)-MIN(ROW($AI$7:$AI$30))+1,""),""),ROW()-ROW(A$32)+1))),),"")</f>
        <v/>
      </c>
      <c r="AK42" t="str">
        <f t="array" ref="AK42">IFERROR(CONCATENATE((INDEX($A$7:$A$30,SMALL(IF($AL$7:$AL$30&lt;&gt;"",IF($AI$7:$AI$30&lt;&gt;"",ROW($AI$7:$AI$30)-MIN(ROW($AI$7:$AI$30))+1,""),""),ROW()-ROW(A$32)+1))),),"")</f>
        <v/>
      </c>
    </row>
    <row r="43" spans="11:37" x14ac:dyDescent="0.25">
      <c r="K43" t="str">
        <f t="array" ref="K43">IFERROR(CONCATENATE(TEXT(INDEX($K$7:$K$30,SMALL(IF($N$7:$N$30&lt;&gt;"",IF($K$7:$K$30&lt;&gt;"",ROW($K$7:$K$30)-MIN(ROW($K$7:$K$30))+1,""),""),ROW()-ROW(A$32)+1)),"##0"),","),"")</f>
        <v/>
      </c>
      <c r="L43" t="str">
        <f t="array" ref="L43">IFERROR(CONCATENATE((INDEX($N$7:$N$30,SMALL(IF($N$7:$N$30&lt;&gt;"",IF($K$7:$K$30&lt;&gt;"",ROW($K$7:$K$30)-MIN(ROW($K$7:$K$30))+1,""),""),ROW()-ROW(A$32)+1))),","),"")</f>
        <v/>
      </c>
      <c r="M43" t="str">
        <f t="array" ref="M43">IFERROR(CONCATENATE((INDEX($A$7:$A$30,SMALL(IF($N$7:$N$30&lt;&gt;"",IF($K$7:$K$30&lt;&gt;"",ROW($K$7:$K$30)-MIN(ROW($K$7:$K$30))+1,""),""),ROW()-ROW(A$32)+1))),),"")</f>
        <v/>
      </c>
      <c r="Q43" t="str">
        <f t="array" ref="Q43">IFERROR(CONCATENATE((INDEX($T$7:$T$30,SMALL(IF($T$7:$T$30&lt;&gt;"",IF($Q$7:$Q$30&lt;&gt;"",ROW($Q$7:$Q$30)-MIN(ROW($Q$7:$Q$30))+1,""),""),ROW()-ROW(A$32)+1)))," "),"")</f>
        <v/>
      </c>
      <c r="R43" t="str">
        <f t="array" ref="R43">IFERROR(CONCATENATE(TEXT(INDEX($Q$7:$Q$30,SMALL(IF($T$7:$T$30&lt;&gt;"",IF($Q$7:$Q$30&lt;&gt;"",ROW($Q$7:$Q$30)-MIN(ROW($Q$7:$Q$30))+1,""),""),ROW()-ROW(A$32)+1)),"##0")," "),"")</f>
        <v/>
      </c>
      <c r="S43" t="str">
        <f t="array" ref="S43">IFERROR(CONCATENATE((INDEX($A$7:$A$30,SMALL(IF($T$7:$T$30&lt;&gt;"",IF($Q$7:$Q$30&lt;&gt;"",ROW($Q$7:$Q$30)-MIN(ROW($Q$7:$Q$30))+1,""),""),ROW()-ROW(A$32)+1))),),"")</f>
        <v/>
      </c>
      <c r="W43" t="str">
        <f t="array" ref="W43">IFERROR(CONCATENATE((INDEX($Z$7:$Z$30,SMALL(IF($Z$7:$Z$30&lt;&gt;"",IF($W$7:$W$30&lt;&gt;"",ROW($W$7:$W$30)-MIN(ROW($W$7:$W$30))+1,""),""),ROW()-ROW(A$32)+1))),","),"")</f>
        <v/>
      </c>
      <c r="X43" t="str">
        <f t="array" ref="X43">IFERROR(CONCATENATE(TEXT(INDEX($W$7:$W$30,SMALL(IF($Z$7:$Z$30&lt;&gt;"",IF($W$7:$W$30&lt;&gt;"",ROW($W$7:$W$30)-MIN(ROW($W$7:$W$30))+1,""),""),ROW()-ROW(A$32)+1)),"##0"),","),"")</f>
        <v/>
      </c>
      <c r="Y43" t="str">
        <f t="array" ref="Y43">IFERROR(CONCATENATE((INDEX($A$7:$A$30,SMALL(IF($Z$7:$Z$30&lt;&gt;"",IF($W$7:$W$30&lt;&gt;"",ROW($W$7:$W$30)-MIN(ROW($W$7:$W$30))+1,""),""),ROW()-ROW(A$32)+1))),),"")</f>
        <v/>
      </c>
      <c r="AC43" t="str">
        <f t="array" ref="AC43">IFERROR(CONCATENATE(TEXT(INDEX($AC$7:$AC$30,SMALL(IF($AF$7:$AF$30&lt;&gt;"",IF($AC$7:$AC$30&lt;&gt;"",ROW($AC$7:$AC$30)-MIN(ROW($AC$7:$AC$30))+1,""),""),ROW()-ROW(A$32)+1)),"##0"),),"")</f>
        <v/>
      </c>
      <c r="AD43" t="str">
        <f t="array" ref="AD43">IFERROR(CONCATENATE((INDEX($AF$7:$AF$30,SMALL(IF($AF$7:$AF$30&lt;&gt;"",IF($AC$7:$AC$30&lt;&gt;"",ROW($AC$7:$AC$30)-MIN(ROW($AC$7:$AC$30))+1,""),""),ROW()-ROW(A$32)+1))),),"")</f>
        <v/>
      </c>
      <c r="AE43" t="str">
        <f t="array" ref="AE43">IFERROR(CONCATENATE((INDEX($A$7:$A$30,SMALL(IF($AF$7:$AF$30&lt;&gt;"",IF($AC$7:$AC$30&lt;&gt;"",ROW($AC$7:$AC$30)-MIN(ROW($AC$7:$AC$30))+1,""),""),ROW()-ROW(A$32)+1))),),"")</f>
        <v/>
      </c>
      <c r="AI43" t="str">
        <f t="array" ref="AI43">IFERROR(CONCATENATE(TEXT(INDEX($AI$7:$AI$30,SMALL(IF($AL$7:$AL$30&lt;&gt;"",IF($AI$7:$AI$30&lt;&gt;"",ROW($AI$7:$AI$30)-MIN(ROW($AI$7:$AI$30))+1,""),""),ROW()-ROW(A$32)+1)),"##0"),),"")</f>
        <v/>
      </c>
      <c r="AJ43" t="str">
        <f t="array" ref="AJ43">IFERROR(CONCATENATE((INDEX($AL$7:$AL$30,SMALL(IF($AL$7:$AL$30&lt;&gt;"",IF($AI$7:$AI$30&lt;&gt;"",ROW($AI$7:$AI$30)-MIN(ROW($AI$7:$AI$30))+1,""),""),ROW()-ROW(A$32)+1))),),"")</f>
        <v/>
      </c>
      <c r="AK43" t="str">
        <f t="array" ref="AK43">IFERROR(CONCATENATE((INDEX($A$7:$A$30,SMALL(IF($AL$7:$AL$30&lt;&gt;"",IF($AI$7:$AI$30&lt;&gt;"",ROW($AI$7:$AI$30)-MIN(ROW($AI$7:$AI$30))+1,""),""),ROW()-ROW(A$32)+1))),),"")</f>
        <v/>
      </c>
    </row>
    <row r="44" spans="11:37" x14ac:dyDescent="0.25">
      <c r="K44" t="str">
        <f t="array" ref="K44">IFERROR(CONCATENATE(TEXT(INDEX($K$7:$K$30,SMALL(IF($N$7:$N$30&lt;&gt;"",IF($K$7:$K$30&lt;&gt;"",ROW($K$7:$K$30)-MIN(ROW($K$7:$K$30))+1,""),""),ROW()-ROW(A$32)+1)),"##0"),","),"")</f>
        <v/>
      </c>
      <c r="L44" t="str">
        <f t="array" ref="L44">IFERROR(CONCATENATE((INDEX($N$7:$N$30,SMALL(IF($N$7:$N$30&lt;&gt;"",IF($K$7:$K$30&lt;&gt;"",ROW($K$7:$K$30)-MIN(ROW($K$7:$K$30))+1,""),""),ROW()-ROW(A$32)+1))),","),"")</f>
        <v/>
      </c>
      <c r="M44" t="str">
        <f t="array" ref="M44">IFERROR(CONCATENATE((INDEX($A$7:$A$30,SMALL(IF($N$7:$N$30&lt;&gt;"",IF($K$7:$K$30&lt;&gt;"",ROW($K$7:$K$30)-MIN(ROW($K$7:$K$30))+1,""),""),ROW()-ROW(A$32)+1))),),"")</f>
        <v/>
      </c>
      <c r="Q44" t="str">
        <f t="array" ref="Q44">IFERROR(CONCATENATE((INDEX($T$7:$T$30,SMALL(IF($T$7:$T$30&lt;&gt;"",IF($Q$7:$Q$30&lt;&gt;"",ROW($Q$7:$Q$30)-MIN(ROW($Q$7:$Q$30))+1,""),""),ROW()-ROW(A$32)+1)))," "),"")</f>
        <v/>
      </c>
      <c r="R44" t="str">
        <f t="array" ref="R44">IFERROR(CONCATENATE(TEXT(INDEX($Q$7:$Q$30,SMALL(IF($T$7:$T$30&lt;&gt;"",IF($Q$7:$Q$30&lt;&gt;"",ROW($Q$7:$Q$30)-MIN(ROW($Q$7:$Q$30))+1,""),""),ROW()-ROW(A$32)+1)),"##0")," "),"")</f>
        <v/>
      </c>
      <c r="S44" t="str">
        <f t="array" ref="S44">IFERROR(CONCATENATE((INDEX($A$7:$A$30,SMALL(IF($T$7:$T$30&lt;&gt;"",IF($Q$7:$Q$30&lt;&gt;"",ROW($Q$7:$Q$30)-MIN(ROW($Q$7:$Q$30))+1,""),""),ROW()-ROW(A$32)+1))),),"")</f>
        <v/>
      </c>
      <c r="W44" t="str">
        <f t="array" ref="W44">IFERROR(CONCATENATE((INDEX($Z$7:$Z$30,SMALL(IF($Z$7:$Z$30&lt;&gt;"",IF($W$7:$W$30&lt;&gt;"",ROW($W$7:$W$30)-MIN(ROW($W$7:$W$30))+1,""),""),ROW()-ROW(A$32)+1))),","),"")</f>
        <v/>
      </c>
      <c r="X44" t="str">
        <f t="array" ref="X44">IFERROR(CONCATENATE(TEXT(INDEX($W$7:$W$30,SMALL(IF($Z$7:$Z$30&lt;&gt;"",IF($W$7:$W$30&lt;&gt;"",ROW($W$7:$W$30)-MIN(ROW($W$7:$W$30))+1,""),""),ROW()-ROW(A$32)+1)),"##0"),","),"")</f>
        <v/>
      </c>
      <c r="Y44" t="str">
        <f t="array" ref="Y44">IFERROR(CONCATENATE((INDEX($A$7:$A$30,SMALL(IF($Z$7:$Z$30&lt;&gt;"",IF($W$7:$W$30&lt;&gt;"",ROW($W$7:$W$30)-MIN(ROW($W$7:$W$30))+1,""),""),ROW()-ROW(A$32)+1))),),"")</f>
        <v/>
      </c>
      <c r="AC44" t="str">
        <f t="array" ref="AC44">IFERROR(CONCATENATE(TEXT(INDEX($AC$7:$AC$30,SMALL(IF($AF$7:$AF$30&lt;&gt;"",IF($AC$7:$AC$30&lt;&gt;"",ROW($AC$7:$AC$30)-MIN(ROW($AC$7:$AC$30))+1,""),""),ROW()-ROW(A$32)+1)),"##0"),),"")</f>
        <v/>
      </c>
      <c r="AD44" t="str">
        <f t="array" ref="AD44">IFERROR(CONCATENATE((INDEX($AF$7:$AF$30,SMALL(IF($AF$7:$AF$30&lt;&gt;"",IF($AC$7:$AC$30&lt;&gt;"",ROW($AC$7:$AC$30)-MIN(ROW($AC$7:$AC$30))+1,""),""),ROW()-ROW(A$32)+1))),),"")</f>
        <v/>
      </c>
      <c r="AE44" t="str">
        <f t="array" ref="AE44">IFERROR(CONCATENATE((INDEX($A$7:$A$30,SMALL(IF($AF$7:$AF$30&lt;&gt;"",IF($AC$7:$AC$30&lt;&gt;"",ROW($AC$7:$AC$30)-MIN(ROW($AC$7:$AC$30))+1,""),""),ROW()-ROW(A$32)+1))),),"")</f>
        <v/>
      </c>
      <c r="AI44" t="str">
        <f t="array" ref="AI44">IFERROR(CONCATENATE(TEXT(INDEX($AI$7:$AI$30,SMALL(IF($AL$7:$AL$30&lt;&gt;"",IF($AI$7:$AI$30&lt;&gt;"",ROW($AI$7:$AI$30)-MIN(ROW($AI$7:$AI$30))+1,""),""),ROW()-ROW(A$32)+1)),"##0"),),"")</f>
        <v/>
      </c>
      <c r="AJ44" t="str">
        <f t="array" ref="AJ44">IFERROR(CONCATENATE((INDEX($AL$7:$AL$30,SMALL(IF($AL$7:$AL$30&lt;&gt;"",IF($AI$7:$AI$30&lt;&gt;"",ROW($AI$7:$AI$30)-MIN(ROW($AI$7:$AI$30))+1,""),""),ROW()-ROW(A$32)+1))),),"")</f>
        <v/>
      </c>
      <c r="AK44" t="str">
        <f t="array" ref="AK44">IFERROR(CONCATENATE((INDEX($A$7:$A$30,SMALL(IF($AL$7:$AL$30&lt;&gt;"",IF($AI$7:$AI$30&lt;&gt;"",ROW($AI$7:$AI$30)-MIN(ROW($AI$7:$AI$30))+1,""),""),ROW()-ROW(A$32)+1))),),"")</f>
        <v/>
      </c>
    </row>
    <row r="45" spans="11:37" x14ac:dyDescent="0.25">
      <c r="K45" t="str">
        <f t="array" ref="K45">IFERROR(CONCATENATE(TEXT(INDEX($K$7:$K$30,SMALL(IF($N$7:$N$30&lt;&gt;"",IF($K$7:$K$30&lt;&gt;"",ROW($K$7:$K$30)-MIN(ROW($K$7:$K$30))+1,""),""),ROW()-ROW(A$32)+1)),"##0"),","),"")</f>
        <v/>
      </c>
      <c r="L45" t="str">
        <f t="array" ref="L45">IFERROR(CONCATENATE((INDEX($N$7:$N$30,SMALL(IF($N$7:$N$30&lt;&gt;"",IF($K$7:$K$30&lt;&gt;"",ROW($K$7:$K$30)-MIN(ROW($K$7:$K$30))+1,""),""),ROW()-ROW(A$32)+1))),","),"")</f>
        <v/>
      </c>
      <c r="M45" t="str">
        <f t="array" ref="M45">IFERROR(CONCATENATE((INDEX($A$7:$A$30,SMALL(IF($N$7:$N$30&lt;&gt;"",IF($K$7:$K$30&lt;&gt;"",ROW($K$7:$K$30)-MIN(ROW($K$7:$K$30))+1,""),""),ROW()-ROW(A$32)+1))),),"")</f>
        <v/>
      </c>
      <c r="Q45" t="str">
        <f t="array" ref="Q45">IFERROR(CONCATENATE((INDEX($T$7:$T$30,SMALL(IF($T$7:$T$30&lt;&gt;"",IF($Q$7:$Q$30&lt;&gt;"",ROW($Q$7:$Q$30)-MIN(ROW($Q$7:$Q$30))+1,""),""),ROW()-ROW(A$32)+1)))," "),"")</f>
        <v/>
      </c>
      <c r="R45" t="str">
        <f t="array" ref="R45">IFERROR(CONCATENATE(TEXT(INDEX($Q$7:$Q$30,SMALL(IF($T$7:$T$30&lt;&gt;"",IF($Q$7:$Q$30&lt;&gt;"",ROW($Q$7:$Q$30)-MIN(ROW($Q$7:$Q$30))+1,""),""),ROW()-ROW(A$32)+1)),"##0")," "),"")</f>
        <v/>
      </c>
      <c r="S45" t="str">
        <f t="array" ref="S45">IFERROR(CONCATENATE((INDEX($A$7:$A$30,SMALL(IF($T$7:$T$30&lt;&gt;"",IF($Q$7:$Q$30&lt;&gt;"",ROW($Q$7:$Q$30)-MIN(ROW($Q$7:$Q$30))+1,""),""),ROW()-ROW(A$32)+1))),),"")</f>
        <v/>
      </c>
      <c r="W45" t="str">
        <f t="array" ref="W45">IFERROR(CONCATENATE((INDEX($Z$7:$Z$30,SMALL(IF($Z$7:$Z$30&lt;&gt;"",IF($W$7:$W$30&lt;&gt;"",ROW($W$7:$W$30)-MIN(ROW($W$7:$W$30))+1,""),""),ROW()-ROW(A$32)+1))),","),"")</f>
        <v/>
      </c>
      <c r="X45" t="str">
        <f t="array" ref="X45">IFERROR(CONCATENATE(TEXT(INDEX($W$7:$W$30,SMALL(IF($Z$7:$Z$30&lt;&gt;"",IF($W$7:$W$30&lt;&gt;"",ROW($W$7:$W$30)-MIN(ROW($W$7:$W$30))+1,""),""),ROW()-ROW(A$32)+1)),"##0"),","),"")</f>
        <v/>
      </c>
      <c r="Y45" t="str">
        <f t="array" ref="Y45">IFERROR(CONCATENATE((INDEX($A$7:$A$30,SMALL(IF($Z$7:$Z$30&lt;&gt;"",IF($W$7:$W$30&lt;&gt;"",ROW($W$7:$W$30)-MIN(ROW($W$7:$W$30))+1,""),""),ROW()-ROW(A$32)+1))),),"")</f>
        <v/>
      </c>
      <c r="AC45" t="str">
        <f t="array" ref="AC45">IFERROR(CONCATENATE(TEXT(INDEX($AC$7:$AC$30,SMALL(IF($AF$7:$AF$30&lt;&gt;"",IF($AC$7:$AC$30&lt;&gt;"",ROW($AC$7:$AC$30)-MIN(ROW($AC$7:$AC$30))+1,""),""),ROW()-ROW(A$32)+1)),"##0"),),"")</f>
        <v/>
      </c>
      <c r="AD45" t="str">
        <f t="array" ref="AD45">IFERROR(CONCATENATE((INDEX($AF$7:$AF$30,SMALL(IF($AF$7:$AF$30&lt;&gt;"",IF($AC$7:$AC$30&lt;&gt;"",ROW($AC$7:$AC$30)-MIN(ROW($AC$7:$AC$30))+1,""),""),ROW()-ROW(A$32)+1))),),"")</f>
        <v/>
      </c>
      <c r="AE45" t="str">
        <f t="array" ref="AE45">IFERROR(CONCATENATE((INDEX($A$7:$A$30,SMALL(IF($AF$7:$AF$30&lt;&gt;"",IF($AC$7:$AC$30&lt;&gt;"",ROW($AC$7:$AC$30)-MIN(ROW($AC$7:$AC$30))+1,""),""),ROW()-ROW(A$32)+1))),),"")</f>
        <v/>
      </c>
      <c r="AI45" t="str">
        <f t="array" ref="AI45">IFERROR(CONCATENATE(TEXT(INDEX($AI$7:$AI$30,SMALL(IF($AL$7:$AL$30&lt;&gt;"",IF($AI$7:$AI$30&lt;&gt;"",ROW($AI$7:$AI$30)-MIN(ROW($AI$7:$AI$30))+1,""),""),ROW()-ROW(A$32)+1)),"##0"),),"")</f>
        <v/>
      </c>
      <c r="AJ45" t="str">
        <f t="array" ref="AJ45">IFERROR(CONCATENATE((INDEX($AL$7:$AL$30,SMALL(IF($AL$7:$AL$30&lt;&gt;"",IF($AI$7:$AI$30&lt;&gt;"",ROW($AI$7:$AI$30)-MIN(ROW($AI$7:$AI$30))+1,""),""),ROW()-ROW(A$32)+1))),),"")</f>
        <v/>
      </c>
      <c r="AK45" t="str">
        <f t="array" ref="AK45">IFERROR(CONCATENATE((INDEX($A$7:$A$30,SMALL(IF($AL$7:$AL$30&lt;&gt;"",IF($AI$7:$AI$30&lt;&gt;"",ROW($AI$7:$AI$30)-MIN(ROW($AI$7:$AI$30))+1,""),""),ROW()-ROW(A$32)+1))),),"")</f>
        <v/>
      </c>
    </row>
    <row r="46" spans="11:37" x14ac:dyDescent="0.25">
      <c r="K46" t="str">
        <f t="array" ref="K46">IFERROR(CONCATENATE(TEXT(INDEX($K$7:$K$30,SMALL(IF($N$7:$N$30&lt;&gt;"",IF($K$7:$K$30&lt;&gt;"",ROW($K$7:$K$30)-MIN(ROW($K$7:$K$30))+1,""),""),ROW()-ROW(A$32)+1)),"##0"),","),"")</f>
        <v/>
      </c>
      <c r="L46" t="str">
        <f t="array" ref="L46">IFERROR(CONCATENATE((INDEX($N$7:$N$30,SMALL(IF($N$7:$N$30&lt;&gt;"",IF($K$7:$K$30&lt;&gt;"",ROW($K$7:$K$30)-MIN(ROW($K$7:$K$30))+1,""),""),ROW()-ROW(A$32)+1))),","),"")</f>
        <v/>
      </c>
      <c r="M46" t="str">
        <f t="array" ref="M46">IFERROR(CONCATENATE((INDEX($A$7:$A$30,SMALL(IF($N$7:$N$30&lt;&gt;"",IF($K$7:$K$30&lt;&gt;"",ROW($K$7:$K$30)-MIN(ROW($K$7:$K$30))+1,""),""),ROW()-ROW(A$32)+1))),),"")</f>
        <v/>
      </c>
      <c r="Q46" t="str">
        <f t="array" ref="Q46">IFERROR(CONCATENATE((INDEX($T$7:$T$30,SMALL(IF($T$7:$T$30&lt;&gt;"",IF($Q$7:$Q$30&lt;&gt;"",ROW($Q$7:$Q$30)-MIN(ROW($Q$7:$Q$30))+1,""),""),ROW()-ROW(A$32)+1)))," "),"")</f>
        <v/>
      </c>
      <c r="R46" t="str">
        <f t="array" ref="R46">IFERROR(CONCATENATE(TEXT(INDEX($Q$7:$Q$30,SMALL(IF($T$7:$T$30&lt;&gt;"",IF($Q$7:$Q$30&lt;&gt;"",ROW($Q$7:$Q$30)-MIN(ROW($Q$7:$Q$30))+1,""),""),ROW()-ROW(A$32)+1)),"##0")," "),"")</f>
        <v/>
      </c>
      <c r="S46" t="str">
        <f t="array" ref="S46">IFERROR(CONCATENATE((INDEX($A$7:$A$30,SMALL(IF($T$7:$T$30&lt;&gt;"",IF($Q$7:$Q$30&lt;&gt;"",ROW($Q$7:$Q$30)-MIN(ROW($Q$7:$Q$30))+1,""),""),ROW()-ROW(A$32)+1))),),"")</f>
        <v/>
      </c>
      <c r="W46" t="str">
        <f t="array" ref="W46">IFERROR(CONCATENATE((INDEX($Z$7:$Z$30,SMALL(IF($Z$7:$Z$30&lt;&gt;"",IF($W$7:$W$30&lt;&gt;"",ROW($W$7:$W$30)-MIN(ROW($W$7:$W$30))+1,""),""),ROW()-ROW(A$32)+1))),","),"")</f>
        <v/>
      </c>
      <c r="X46" t="str">
        <f t="array" ref="X46">IFERROR(CONCATENATE(TEXT(INDEX($W$7:$W$30,SMALL(IF($Z$7:$Z$30&lt;&gt;"",IF($W$7:$W$30&lt;&gt;"",ROW($W$7:$W$30)-MIN(ROW($W$7:$W$30))+1,""),""),ROW()-ROW(A$32)+1)),"##0"),","),"")</f>
        <v/>
      </c>
      <c r="Y46" t="str">
        <f t="array" ref="Y46">IFERROR(CONCATENATE((INDEX($A$7:$A$30,SMALL(IF($Z$7:$Z$30&lt;&gt;"",IF($W$7:$W$30&lt;&gt;"",ROW($W$7:$W$30)-MIN(ROW($W$7:$W$30))+1,""),""),ROW()-ROW(A$32)+1))),),"")</f>
        <v/>
      </c>
      <c r="AC46" t="str">
        <f t="array" ref="AC46">IFERROR(CONCATENATE(TEXT(INDEX($AC$7:$AC$30,SMALL(IF($AF$7:$AF$30&lt;&gt;"",IF($AC$7:$AC$30&lt;&gt;"",ROW($AC$7:$AC$30)-MIN(ROW($AC$7:$AC$30))+1,""),""),ROW()-ROW(A$32)+1)),"##0"),),"")</f>
        <v/>
      </c>
      <c r="AD46" t="str">
        <f t="array" ref="AD46">IFERROR(CONCATENATE((INDEX($AF$7:$AF$30,SMALL(IF($AF$7:$AF$30&lt;&gt;"",IF($AC$7:$AC$30&lt;&gt;"",ROW($AC$7:$AC$30)-MIN(ROW($AC$7:$AC$30))+1,""),""),ROW()-ROW(A$32)+1))),),"")</f>
        <v/>
      </c>
      <c r="AE46" t="str">
        <f t="array" ref="AE46">IFERROR(CONCATENATE((INDEX($A$7:$A$30,SMALL(IF($AF$7:$AF$30&lt;&gt;"",IF($AC$7:$AC$30&lt;&gt;"",ROW($AC$7:$AC$30)-MIN(ROW($AC$7:$AC$30))+1,""),""),ROW()-ROW(A$32)+1))),),"")</f>
        <v/>
      </c>
      <c r="AI46" t="str">
        <f t="array" ref="AI46">IFERROR(CONCATENATE(TEXT(INDEX($AI$7:$AI$30,SMALL(IF($AL$7:$AL$30&lt;&gt;"",IF($AI$7:$AI$30&lt;&gt;"",ROW($AI$7:$AI$30)-MIN(ROW($AI$7:$AI$30))+1,""),""),ROW()-ROW(A$32)+1)),"##0"),),"")</f>
        <v/>
      </c>
      <c r="AJ46" t="str">
        <f t="array" ref="AJ46">IFERROR(CONCATENATE((INDEX($AL$7:$AL$30,SMALL(IF($AL$7:$AL$30&lt;&gt;"",IF($AI$7:$AI$30&lt;&gt;"",ROW($AI$7:$AI$30)-MIN(ROW($AI$7:$AI$30))+1,""),""),ROW()-ROW(A$32)+1))),),"")</f>
        <v/>
      </c>
      <c r="AK46" t="str">
        <f t="array" ref="AK46">IFERROR(CONCATENATE((INDEX($A$7:$A$30,SMALL(IF($AL$7:$AL$30&lt;&gt;"",IF($AI$7:$AI$30&lt;&gt;"",ROW($AI$7:$AI$30)-MIN(ROW($AI$7:$AI$30))+1,""),""),ROW()-ROW(A$32)+1))),),"")</f>
        <v/>
      </c>
    </row>
    <row r="47" spans="11:37" x14ac:dyDescent="0.25">
      <c r="K47" t="str">
        <f t="array" ref="K47">IFERROR(CONCATENATE(TEXT(INDEX($K$7:$K$30,SMALL(IF($N$7:$N$30&lt;&gt;"",IF($K$7:$K$30&lt;&gt;"",ROW($K$7:$K$30)-MIN(ROW($K$7:$K$30))+1,""),""),ROW()-ROW(A$32)+1)),"##0"),","),"")</f>
        <v/>
      </c>
      <c r="L47" t="str">
        <f t="array" ref="L47">IFERROR(CONCATENATE((INDEX($N$7:$N$30,SMALL(IF($N$7:$N$30&lt;&gt;"",IF($K$7:$K$30&lt;&gt;"",ROW($K$7:$K$30)-MIN(ROW($K$7:$K$30))+1,""),""),ROW()-ROW(A$32)+1))),","),"")</f>
        <v/>
      </c>
      <c r="M47" t="str">
        <f t="array" ref="M47">IFERROR(CONCATENATE((INDEX($A$7:$A$30,SMALL(IF($N$7:$N$30&lt;&gt;"",IF($K$7:$K$30&lt;&gt;"",ROW($K$7:$K$30)-MIN(ROW($K$7:$K$30))+1,""),""),ROW()-ROW(A$32)+1))),),"")</f>
        <v/>
      </c>
      <c r="Q47" t="str">
        <f t="array" ref="Q47">IFERROR(CONCATENATE((INDEX($T$7:$T$30,SMALL(IF($T$7:$T$30&lt;&gt;"",IF($Q$7:$Q$30&lt;&gt;"",ROW($Q$7:$Q$30)-MIN(ROW($Q$7:$Q$30))+1,""),""),ROW()-ROW(A$32)+1)))," "),"")</f>
        <v/>
      </c>
      <c r="R47" t="str">
        <f t="array" ref="R47">IFERROR(CONCATENATE(TEXT(INDEX($Q$7:$Q$30,SMALL(IF($T$7:$T$30&lt;&gt;"",IF($Q$7:$Q$30&lt;&gt;"",ROW($Q$7:$Q$30)-MIN(ROW($Q$7:$Q$30))+1,""),""),ROW()-ROW(A$32)+1)),"##0")," "),"")</f>
        <v/>
      </c>
      <c r="S47" t="str">
        <f t="array" ref="S47">IFERROR(CONCATENATE((INDEX($A$7:$A$30,SMALL(IF($T$7:$T$30&lt;&gt;"",IF($Q$7:$Q$30&lt;&gt;"",ROW($Q$7:$Q$30)-MIN(ROW($Q$7:$Q$30))+1,""),""),ROW()-ROW(A$32)+1))),),"")</f>
        <v/>
      </c>
      <c r="W47" t="str">
        <f t="array" ref="W47">IFERROR(CONCATENATE((INDEX($Z$7:$Z$30,SMALL(IF($Z$7:$Z$30&lt;&gt;"",IF($W$7:$W$30&lt;&gt;"",ROW($W$7:$W$30)-MIN(ROW($W$7:$W$30))+1,""),""),ROW()-ROW(A$32)+1))),","),"")</f>
        <v/>
      </c>
      <c r="X47" t="str">
        <f t="array" ref="X47">IFERROR(CONCATENATE(TEXT(INDEX($W$7:$W$30,SMALL(IF($Z$7:$Z$30&lt;&gt;"",IF($W$7:$W$30&lt;&gt;"",ROW($W$7:$W$30)-MIN(ROW($W$7:$W$30))+1,""),""),ROW()-ROW(A$32)+1)),"##0"),","),"")</f>
        <v/>
      </c>
      <c r="Y47" t="str">
        <f t="array" ref="Y47">IFERROR(CONCATENATE((INDEX($A$7:$A$30,SMALL(IF($Z$7:$Z$30&lt;&gt;"",IF($W$7:$W$30&lt;&gt;"",ROW($W$7:$W$30)-MIN(ROW($W$7:$W$30))+1,""),""),ROW()-ROW(A$32)+1))),),"")</f>
        <v/>
      </c>
      <c r="AC47" t="str">
        <f t="array" ref="AC47">IFERROR(CONCATENATE(TEXT(INDEX($AC$7:$AC$30,SMALL(IF($AF$7:$AF$30&lt;&gt;"",IF($AC$7:$AC$30&lt;&gt;"",ROW($AC$7:$AC$30)-MIN(ROW($AC$7:$AC$30))+1,""),""),ROW()-ROW(A$32)+1)),"##0"),),"")</f>
        <v/>
      </c>
      <c r="AD47" t="str">
        <f t="array" ref="AD47">IFERROR(CONCATENATE((INDEX($AF$7:$AF$30,SMALL(IF($AF$7:$AF$30&lt;&gt;"",IF($AC$7:$AC$30&lt;&gt;"",ROW($AC$7:$AC$30)-MIN(ROW($AC$7:$AC$30))+1,""),""),ROW()-ROW(A$32)+1))),),"")</f>
        <v/>
      </c>
      <c r="AE47" t="str">
        <f t="array" ref="AE47">IFERROR(CONCATENATE((INDEX($A$7:$A$30,SMALL(IF($AF$7:$AF$30&lt;&gt;"",IF($AC$7:$AC$30&lt;&gt;"",ROW($AC$7:$AC$30)-MIN(ROW($AC$7:$AC$30))+1,""),""),ROW()-ROW(A$32)+1))),),"")</f>
        <v/>
      </c>
      <c r="AI47" t="str">
        <f t="array" ref="AI47">IFERROR(CONCATENATE(TEXT(INDEX($AI$7:$AI$30,SMALL(IF($AL$7:$AL$30&lt;&gt;"",IF($AI$7:$AI$30&lt;&gt;"",ROW($AI$7:$AI$30)-MIN(ROW($AI$7:$AI$30))+1,""),""),ROW()-ROW(A$32)+1)),"##0"),),"")</f>
        <v/>
      </c>
      <c r="AJ47" t="str">
        <f t="array" ref="AJ47">IFERROR(CONCATENATE((INDEX($AL$7:$AL$30,SMALL(IF($AL$7:$AL$30&lt;&gt;"",IF($AI$7:$AI$30&lt;&gt;"",ROW($AI$7:$AI$30)-MIN(ROW($AI$7:$AI$30))+1,""),""),ROW()-ROW(A$32)+1))),),"")</f>
        <v/>
      </c>
      <c r="AK47" t="str">
        <f t="array" ref="AK47">IFERROR(CONCATENATE((INDEX($A$7:$A$30,SMALL(IF($AL$7:$AL$30&lt;&gt;"",IF($AI$7:$AI$30&lt;&gt;"",ROW($AI$7:$AI$30)-MIN(ROW($AI$7:$AI$30))+1,""),""),ROW()-ROW(A$32)+1))),),"")</f>
        <v/>
      </c>
    </row>
    <row r="48" spans="11:37" x14ac:dyDescent="0.25">
      <c r="K48" t="str">
        <f t="array" ref="K48">IFERROR(CONCATENATE(TEXT(INDEX($K$7:$K$30,SMALL(IF($N$7:$N$30&lt;&gt;"",IF($K$7:$K$30&lt;&gt;"",ROW($K$7:$K$30)-MIN(ROW($K$7:$K$30))+1,""),""),ROW()-ROW(A$32)+1)),"##0"),","),"")</f>
        <v/>
      </c>
      <c r="L48" t="str">
        <f t="array" ref="L48">IFERROR(CONCATENATE((INDEX($N$7:$N$30,SMALL(IF($N$7:$N$30&lt;&gt;"",IF($K$7:$K$30&lt;&gt;"",ROW($K$7:$K$30)-MIN(ROW($K$7:$K$30))+1,""),""),ROW()-ROW(A$32)+1))),","),"")</f>
        <v/>
      </c>
      <c r="M48" t="str">
        <f t="array" ref="M48">IFERROR(CONCATENATE((INDEX($A$7:$A$30,SMALL(IF($N$7:$N$30&lt;&gt;"",IF($K$7:$K$30&lt;&gt;"",ROW($K$7:$K$30)-MIN(ROW($K$7:$K$30))+1,""),""),ROW()-ROW(A$32)+1))),),"")</f>
        <v/>
      </c>
      <c r="Q48" t="str">
        <f t="array" ref="Q48">IFERROR(CONCATENATE((INDEX($T$7:$T$30,SMALL(IF($T$7:$T$30&lt;&gt;"",IF($Q$7:$Q$30&lt;&gt;"",ROW($Q$7:$Q$30)-MIN(ROW($Q$7:$Q$30))+1,""),""),ROW()-ROW(A$32)+1)))," "),"")</f>
        <v/>
      </c>
      <c r="R48" t="str">
        <f t="array" ref="R48">IFERROR(CONCATENATE(TEXT(INDEX($Q$7:$Q$30,SMALL(IF($T$7:$T$30&lt;&gt;"",IF($Q$7:$Q$30&lt;&gt;"",ROW($Q$7:$Q$30)-MIN(ROW($Q$7:$Q$30))+1,""),""),ROW()-ROW(A$32)+1)),"##0")," "),"")</f>
        <v/>
      </c>
      <c r="S48" t="str">
        <f t="array" ref="S48">IFERROR(CONCATENATE((INDEX($A$7:$A$30,SMALL(IF($T$7:$T$30&lt;&gt;"",IF($Q$7:$Q$30&lt;&gt;"",ROW($Q$7:$Q$30)-MIN(ROW($Q$7:$Q$30))+1,""),""),ROW()-ROW(A$32)+1))),),"")</f>
        <v/>
      </c>
      <c r="W48" t="str">
        <f t="array" ref="W48">IFERROR(CONCATENATE((INDEX($Z$7:$Z$30,SMALL(IF($Z$7:$Z$30&lt;&gt;"",IF($W$7:$W$30&lt;&gt;"",ROW($W$7:$W$30)-MIN(ROW($W$7:$W$30))+1,""),""),ROW()-ROW(A$32)+1))),","),"")</f>
        <v/>
      </c>
      <c r="X48" t="str">
        <f t="array" ref="X48">IFERROR(CONCATENATE(TEXT(INDEX($W$7:$W$30,SMALL(IF($Z$7:$Z$30&lt;&gt;"",IF($W$7:$W$30&lt;&gt;"",ROW($W$7:$W$30)-MIN(ROW($W$7:$W$30))+1,""),""),ROW()-ROW(A$32)+1)),"##0"),","),"")</f>
        <v/>
      </c>
      <c r="Y48" t="str">
        <f t="array" ref="Y48">IFERROR(CONCATENATE((INDEX($A$7:$A$30,SMALL(IF($Z$7:$Z$30&lt;&gt;"",IF($W$7:$W$30&lt;&gt;"",ROW($W$7:$W$30)-MIN(ROW($W$7:$W$30))+1,""),""),ROW()-ROW(A$32)+1))),),"")</f>
        <v/>
      </c>
      <c r="AC48" t="str">
        <f t="array" ref="AC48">IFERROR(CONCATENATE(TEXT(INDEX($AC$7:$AC$30,SMALL(IF($AF$7:$AF$30&lt;&gt;"",IF($AC$7:$AC$30&lt;&gt;"",ROW($AC$7:$AC$30)-MIN(ROW($AC$7:$AC$30))+1,""),""),ROW()-ROW(A$32)+1)),"##0"),),"")</f>
        <v/>
      </c>
      <c r="AD48" t="str">
        <f t="array" ref="AD48">IFERROR(CONCATENATE((INDEX($AF$7:$AF$30,SMALL(IF($AF$7:$AF$30&lt;&gt;"",IF($AC$7:$AC$30&lt;&gt;"",ROW($AC$7:$AC$30)-MIN(ROW($AC$7:$AC$30))+1,""),""),ROW()-ROW(A$32)+1))),),"")</f>
        <v/>
      </c>
      <c r="AE48" t="str">
        <f t="array" ref="AE48">IFERROR(CONCATENATE((INDEX($A$7:$A$30,SMALL(IF($AF$7:$AF$30&lt;&gt;"",IF($AC$7:$AC$30&lt;&gt;"",ROW($AC$7:$AC$30)-MIN(ROW($AC$7:$AC$30))+1,""),""),ROW()-ROW(A$32)+1))),),"")</f>
        <v/>
      </c>
      <c r="AI48" t="str">
        <f t="array" ref="AI48">IFERROR(CONCATENATE(TEXT(INDEX($AI$7:$AI$30,SMALL(IF($AL$7:$AL$30&lt;&gt;"",IF($AI$7:$AI$30&lt;&gt;"",ROW($AI$7:$AI$30)-MIN(ROW($AI$7:$AI$30))+1,""),""),ROW()-ROW(A$32)+1)),"##0"),),"")</f>
        <v/>
      </c>
      <c r="AJ48" t="str">
        <f t="array" ref="AJ48">IFERROR(CONCATENATE((INDEX($AL$7:$AL$30,SMALL(IF($AL$7:$AL$30&lt;&gt;"",IF($AI$7:$AI$30&lt;&gt;"",ROW($AI$7:$AI$30)-MIN(ROW($AI$7:$AI$30))+1,""),""),ROW()-ROW(A$32)+1))),),"")</f>
        <v/>
      </c>
      <c r="AK48" t="str">
        <f t="array" ref="AK48">IFERROR(CONCATENATE((INDEX($A$7:$A$30,SMALL(IF($AL$7:$AL$30&lt;&gt;"",IF($AI$7:$AI$30&lt;&gt;"",ROW($AI$7:$AI$30)-MIN(ROW($AI$7:$AI$30))+1,""),""),ROW()-ROW(A$32)+1))),),"")</f>
        <v/>
      </c>
    </row>
    <row r="49" spans="11:37" x14ac:dyDescent="0.25">
      <c r="K49" t="str">
        <f t="array" ref="K49">IFERROR(CONCATENATE(TEXT(INDEX($K$7:$K$30,SMALL(IF($N$7:$N$30&lt;&gt;"",IF($K$7:$K$30&lt;&gt;"",ROW($K$7:$K$30)-MIN(ROW($K$7:$K$30))+1,""),""),ROW()-ROW(A$32)+1)),"##0"),","),"")</f>
        <v/>
      </c>
      <c r="L49" t="str">
        <f t="array" ref="L49">IFERROR(CONCATENATE((INDEX($N$7:$N$30,SMALL(IF($N$7:$N$30&lt;&gt;"",IF($K$7:$K$30&lt;&gt;"",ROW($K$7:$K$30)-MIN(ROW($K$7:$K$30))+1,""),""),ROW()-ROW(A$32)+1))),","),"")</f>
        <v/>
      </c>
      <c r="M49" t="str">
        <f t="array" ref="M49">IFERROR(CONCATENATE((INDEX($A$7:$A$30,SMALL(IF($N$7:$N$30&lt;&gt;"",IF($K$7:$K$30&lt;&gt;"",ROW($K$7:$K$30)-MIN(ROW($K$7:$K$30))+1,""),""),ROW()-ROW(A$32)+1))),),"")</f>
        <v/>
      </c>
      <c r="Q49" t="str">
        <f t="array" ref="Q49">IFERROR(CONCATENATE((INDEX($T$7:$T$30,SMALL(IF($T$7:$T$30&lt;&gt;"",IF($Q$7:$Q$30&lt;&gt;"",ROW($Q$7:$Q$30)-MIN(ROW($Q$7:$Q$30))+1,""),""),ROW()-ROW(A$32)+1)))," "),"")</f>
        <v/>
      </c>
      <c r="R49" t="str">
        <f t="array" ref="R49">IFERROR(CONCATENATE(TEXT(INDEX($Q$7:$Q$30,SMALL(IF($T$7:$T$30&lt;&gt;"",IF($Q$7:$Q$30&lt;&gt;"",ROW($Q$7:$Q$30)-MIN(ROW($Q$7:$Q$30))+1,""),""),ROW()-ROW(A$32)+1)),"##0")," "),"")</f>
        <v/>
      </c>
      <c r="S49" t="str">
        <f t="array" ref="S49">IFERROR(CONCATENATE((INDEX($A$7:$A$30,SMALL(IF($T$7:$T$30&lt;&gt;"",IF($Q$7:$Q$30&lt;&gt;"",ROW($Q$7:$Q$30)-MIN(ROW($Q$7:$Q$30))+1,""),""),ROW()-ROW(A$32)+1))),),"")</f>
        <v/>
      </c>
      <c r="W49" t="str">
        <f t="array" ref="W49">IFERROR(CONCATENATE((INDEX($Z$7:$Z$30,SMALL(IF($Z$7:$Z$30&lt;&gt;"",IF($W$7:$W$30&lt;&gt;"",ROW($W$7:$W$30)-MIN(ROW($W$7:$W$30))+1,""),""),ROW()-ROW(A$32)+1))),","),"")</f>
        <v/>
      </c>
      <c r="X49" t="str">
        <f t="array" ref="X49">IFERROR(CONCATENATE(TEXT(INDEX($W$7:$W$30,SMALL(IF($Z$7:$Z$30&lt;&gt;"",IF($W$7:$W$30&lt;&gt;"",ROW($W$7:$W$30)-MIN(ROW($W$7:$W$30))+1,""),""),ROW()-ROW(A$32)+1)),"##0"),","),"")</f>
        <v/>
      </c>
      <c r="Y49" t="str">
        <f t="array" ref="Y49">IFERROR(CONCATENATE((INDEX($A$7:$A$30,SMALL(IF($Z$7:$Z$30&lt;&gt;"",IF($W$7:$W$30&lt;&gt;"",ROW($W$7:$W$30)-MIN(ROW($W$7:$W$30))+1,""),""),ROW()-ROW(A$32)+1))),),"")</f>
        <v/>
      </c>
      <c r="AC49" t="str">
        <f t="array" ref="AC49">IFERROR(CONCATENATE(TEXT(INDEX($AC$7:$AC$30,SMALL(IF($AF$7:$AF$30&lt;&gt;"",IF($AC$7:$AC$30&lt;&gt;"",ROW($AC$7:$AC$30)-MIN(ROW($AC$7:$AC$30))+1,""),""),ROW()-ROW(A$32)+1)),"##0"),),"")</f>
        <v/>
      </c>
      <c r="AD49" t="str">
        <f t="array" ref="AD49">IFERROR(CONCATENATE((INDEX($AF$7:$AF$30,SMALL(IF($AF$7:$AF$30&lt;&gt;"",IF($AC$7:$AC$30&lt;&gt;"",ROW($AC$7:$AC$30)-MIN(ROW($AC$7:$AC$30))+1,""),""),ROW()-ROW(A$32)+1))),),"")</f>
        <v/>
      </c>
      <c r="AE49" t="str">
        <f t="array" ref="AE49">IFERROR(CONCATENATE((INDEX($A$7:$A$30,SMALL(IF($AF$7:$AF$30&lt;&gt;"",IF($AC$7:$AC$30&lt;&gt;"",ROW($AC$7:$AC$30)-MIN(ROW($AC$7:$AC$30))+1,""),""),ROW()-ROW(A$32)+1))),),"")</f>
        <v/>
      </c>
      <c r="AI49" t="str">
        <f t="array" ref="AI49">IFERROR(CONCATENATE(TEXT(INDEX($AI$7:$AI$30,SMALL(IF($AL$7:$AL$30&lt;&gt;"",IF($AI$7:$AI$30&lt;&gt;"",ROW($AI$7:$AI$30)-MIN(ROW($AI$7:$AI$30))+1,""),""),ROW()-ROW(A$32)+1)),"##0"),),"")</f>
        <v/>
      </c>
      <c r="AJ49" t="str">
        <f t="array" ref="AJ49">IFERROR(CONCATENATE((INDEX($AL$7:$AL$30,SMALL(IF($AL$7:$AL$30&lt;&gt;"",IF($AI$7:$AI$30&lt;&gt;"",ROW($AI$7:$AI$30)-MIN(ROW($AI$7:$AI$30))+1,""),""),ROW()-ROW(A$32)+1))),),"")</f>
        <v/>
      </c>
      <c r="AK49" t="str">
        <f t="array" ref="AK49">IFERROR(CONCATENATE((INDEX($A$7:$A$30,SMALL(IF($AL$7:$AL$30&lt;&gt;"",IF($AI$7:$AI$30&lt;&gt;"",ROW($AI$7:$AI$30)-MIN(ROW($AI$7:$AI$30))+1,""),""),ROW()-ROW(A$32)+1))),),"")</f>
        <v/>
      </c>
    </row>
    <row r="50" spans="11:37" x14ac:dyDescent="0.25">
      <c r="K50" t="str">
        <f t="array" ref="K50">IFERROR(CONCATENATE(TEXT(INDEX($K$7:$K$30,SMALL(IF($N$7:$N$30&lt;&gt;"",IF($K$7:$K$30&lt;&gt;"",ROW($K$7:$K$30)-MIN(ROW($K$7:$K$30))+1,""),""),ROW()-ROW(A$32)+1)),"##0"),","),"")</f>
        <v/>
      </c>
      <c r="L50" t="str">
        <f t="array" ref="L50">IFERROR(CONCATENATE((INDEX($N$7:$N$30,SMALL(IF($N$7:$N$30&lt;&gt;"",IF($K$7:$K$30&lt;&gt;"",ROW($K$7:$K$30)-MIN(ROW($K$7:$K$30))+1,""),""),ROW()-ROW(A$32)+1))),","),"")</f>
        <v/>
      </c>
      <c r="M50" t="str">
        <f t="array" ref="M50">IFERROR(CONCATENATE((INDEX($A$7:$A$30,SMALL(IF($N$7:$N$30&lt;&gt;"",IF($K$7:$K$30&lt;&gt;"",ROW($K$7:$K$30)-MIN(ROW($K$7:$K$30))+1,""),""),ROW()-ROW(A$32)+1))),),"")</f>
        <v/>
      </c>
      <c r="Q50" t="str">
        <f t="array" ref="Q50">IFERROR(CONCATENATE((INDEX($T$7:$T$30,SMALL(IF($T$7:$T$30&lt;&gt;"",IF($Q$7:$Q$30&lt;&gt;"",ROW($Q$7:$Q$30)-MIN(ROW($Q$7:$Q$30))+1,""),""),ROW()-ROW(A$32)+1)))," "),"")</f>
        <v/>
      </c>
      <c r="R50" t="str">
        <f t="array" ref="R50">IFERROR(CONCATENATE(TEXT(INDEX($Q$7:$Q$30,SMALL(IF($T$7:$T$30&lt;&gt;"",IF($Q$7:$Q$30&lt;&gt;"",ROW($Q$7:$Q$30)-MIN(ROW($Q$7:$Q$30))+1,""),""),ROW()-ROW(A$32)+1)),"##0")," "),"")</f>
        <v/>
      </c>
      <c r="S50" t="str">
        <f t="array" ref="S50">IFERROR(CONCATENATE((INDEX($A$7:$A$30,SMALL(IF($T$7:$T$30&lt;&gt;"",IF($Q$7:$Q$30&lt;&gt;"",ROW($Q$7:$Q$30)-MIN(ROW($Q$7:$Q$30))+1,""),""),ROW()-ROW(A$32)+1))),),"")</f>
        <v/>
      </c>
      <c r="W50" t="str">
        <f t="array" ref="W50">IFERROR(CONCATENATE((INDEX($Z$7:$Z$30,SMALL(IF($Z$7:$Z$30&lt;&gt;"",IF($W$7:$W$30&lt;&gt;"",ROW($W$7:$W$30)-MIN(ROW($W$7:$W$30))+1,""),""),ROW()-ROW(A$32)+1))),","),"")</f>
        <v/>
      </c>
      <c r="X50" t="str">
        <f t="array" ref="X50">IFERROR(CONCATENATE(TEXT(INDEX($W$7:$W$30,SMALL(IF($Z$7:$Z$30&lt;&gt;"",IF($W$7:$W$30&lt;&gt;"",ROW($W$7:$W$30)-MIN(ROW($W$7:$W$30))+1,""),""),ROW()-ROW(A$32)+1)),"##0"),","),"")</f>
        <v/>
      </c>
      <c r="Y50" t="str">
        <f t="array" ref="Y50">IFERROR(CONCATENATE((INDEX($A$7:$A$30,SMALL(IF($Z$7:$Z$30&lt;&gt;"",IF($W$7:$W$30&lt;&gt;"",ROW($W$7:$W$30)-MIN(ROW($W$7:$W$30))+1,""),""),ROW()-ROW(A$32)+1))),),"")</f>
        <v/>
      </c>
      <c r="AC50" t="str">
        <f t="array" ref="AC50">IFERROR(CONCATENATE(TEXT(INDEX($AC$7:$AC$30,SMALL(IF($AF$7:$AF$30&lt;&gt;"",IF($AC$7:$AC$30&lt;&gt;"",ROW($AC$7:$AC$30)-MIN(ROW($AC$7:$AC$30))+1,""),""),ROW()-ROW(A$32)+1)),"##0"),),"")</f>
        <v/>
      </c>
      <c r="AD50" t="str">
        <f t="array" ref="AD50">IFERROR(CONCATENATE((INDEX($AF$7:$AF$30,SMALL(IF($AF$7:$AF$30&lt;&gt;"",IF($AC$7:$AC$30&lt;&gt;"",ROW($AC$7:$AC$30)-MIN(ROW($AC$7:$AC$30))+1,""),""),ROW()-ROW(A$32)+1))),),"")</f>
        <v/>
      </c>
      <c r="AE50" t="str">
        <f t="array" ref="AE50">IFERROR(CONCATENATE((INDEX($A$7:$A$30,SMALL(IF($AF$7:$AF$30&lt;&gt;"",IF($AC$7:$AC$30&lt;&gt;"",ROW($AC$7:$AC$30)-MIN(ROW($AC$7:$AC$30))+1,""),""),ROW()-ROW(A$32)+1))),),"")</f>
        <v/>
      </c>
      <c r="AI50" t="str">
        <f t="array" ref="AI50">IFERROR(CONCATENATE(TEXT(INDEX($AI$7:$AI$30,SMALL(IF($AL$7:$AL$30&lt;&gt;"",IF($AI$7:$AI$30&lt;&gt;"",ROW($AI$7:$AI$30)-MIN(ROW($AI$7:$AI$30))+1,""),""),ROW()-ROW(A$32)+1)),"##0"),),"")</f>
        <v/>
      </c>
      <c r="AJ50" t="str">
        <f t="array" ref="AJ50">IFERROR(CONCATENATE((INDEX($AL$7:$AL$30,SMALL(IF($AL$7:$AL$30&lt;&gt;"",IF($AI$7:$AI$30&lt;&gt;"",ROW($AI$7:$AI$30)-MIN(ROW($AI$7:$AI$30))+1,""),""),ROW()-ROW(A$32)+1))),),"")</f>
        <v/>
      </c>
      <c r="AK50" t="str">
        <f t="array" ref="AK50">IFERROR(CONCATENATE((INDEX($A$7:$A$30,SMALL(IF($AL$7:$AL$30&lt;&gt;"",IF($AI$7:$AI$30&lt;&gt;"",ROW($AI$7:$AI$30)-MIN(ROW($AI$7:$AI$30))+1,""),""),ROW()-ROW(A$32)+1))),),"")</f>
        <v/>
      </c>
    </row>
    <row r="51" spans="11:37" x14ac:dyDescent="0.25">
      <c r="K51" t="str">
        <f t="array" ref="K51">IFERROR(CONCATENATE(TEXT(INDEX($K$7:$K$30,SMALL(IF($N$7:$N$30&lt;&gt;"",IF($K$7:$K$30&lt;&gt;"",ROW($K$7:$K$30)-MIN(ROW($K$7:$K$30))+1,""),""),ROW()-ROW(A$32)+1)),"##0"),","),"")</f>
        <v/>
      </c>
      <c r="L51" t="str">
        <f t="array" ref="L51">IFERROR(CONCATENATE((INDEX($N$7:$N$30,SMALL(IF($N$7:$N$30&lt;&gt;"",IF($K$7:$K$30&lt;&gt;"",ROW($K$7:$K$30)-MIN(ROW($K$7:$K$30))+1,""),""),ROW()-ROW(A$32)+1))),","),"")</f>
        <v/>
      </c>
      <c r="M51" t="str">
        <f t="array" ref="M51">IFERROR(CONCATENATE((INDEX($A$7:$A$30,SMALL(IF($N$7:$N$30&lt;&gt;"",IF($K$7:$K$30&lt;&gt;"",ROW($K$7:$K$30)-MIN(ROW($K$7:$K$30))+1,""),""),ROW()-ROW(A$32)+1))),),"")</f>
        <v/>
      </c>
      <c r="Q51" t="str">
        <f t="array" ref="Q51">IFERROR(CONCATENATE((INDEX($T$7:$T$30,SMALL(IF($T$7:$T$30&lt;&gt;"",IF($Q$7:$Q$30&lt;&gt;"",ROW($Q$7:$Q$30)-MIN(ROW($Q$7:$Q$30))+1,""),""),ROW()-ROW(A$32)+1)))," "),"")</f>
        <v/>
      </c>
      <c r="R51" t="str">
        <f t="array" ref="R51">IFERROR(CONCATENATE(TEXT(INDEX($Q$7:$Q$30,SMALL(IF($T$7:$T$30&lt;&gt;"",IF($Q$7:$Q$30&lt;&gt;"",ROW($Q$7:$Q$30)-MIN(ROW($Q$7:$Q$30))+1,""),""),ROW()-ROW(A$32)+1)),"##0")," "),"")</f>
        <v/>
      </c>
      <c r="S51" t="str">
        <f t="array" ref="S51">IFERROR(CONCATENATE((INDEX($A$7:$A$30,SMALL(IF($T$7:$T$30&lt;&gt;"",IF($Q$7:$Q$30&lt;&gt;"",ROW($Q$7:$Q$30)-MIN(ROW($Q$7:$Q$30))+1,""),""),ROW()-ROW(A$32)+1))),),"")</f>
        <v/>
      </c>
      <c r="W51" t="str">
        <f t="array" ref="W51">IFERROR(CONCATENATE((INDEX($Z$7:$Z$30,SMALL(IF($Z$7:$Z$30&lt;&gt;"",IF($W$7:$W$30&lt;&gt;"",ROW($W$7:$W$30)-MIN(ROW($W$7:$W$30))+1,""),""),ROW()-ROW(A$32)+1))),","),"")</f>
        <v/>
      </c>
      <c r="X51" t="str">
        <f t="array" ref="X51">IFERROR(CONCATENATE(TEXT(INDEX($W$7:$W$30,SMALL(IF($Z$7:$Z$30&lt;&gt;"",IF($W$7:$W$30&lt;&gt;"",ROW($W$7:$W$30)-MIN(ROW($W$7:$W$30))+1,""),""),ROW()-ROW(A$32)+1)),"##0"),","),"")</f>
        <v/>
      </c>
      <c r="Y51" t="str">
        <f t="array" ref="Y51">IFERROR(CONCATENATE((INDEX($A$7:$A$30,SMALL(IF($Z$7:$Z$30&lt;&gt;"",IF($W$7:$W$30&lt;&gt;"",ROW($W$7:$W$30)-MIN(ROW($W$7:$W$30))+1,""),""),ROW()-ROW(A$32)+1))),),"")</f>
        <v/>
      </c>
      <c r="AC51" t="str">
        <f t="array" ref="AC51">IFERROR(CONCATENATE(TEXT(INDEX($AC$7:$AC$30,SMALL(IF($AF$7:$AF$30&lt;&gt;"",IF($AC$7:$AC$30&lt;&gt;"",ROW($AC$7:$AC$30)-MIN(ROW($AC$7:$AC$30))+1,""),""),ROW()-ROW(A$32)+1)),"##0"),),"")</f>
        <v/>
      </c>
      <c r="AD51" t="str">
        <f t="array" ref="AD51">IFERROR(CONCATENATE((INDEX($AF$7:$AF$30,SMALL(IF($AF$7:$AF$30&lt;&gt;"",IF($AC$7:$AC$30&lt;&gt;"",ROW($AC$7:$AC$30)-MIN(ROW($AC$7:$AC$30))+1,""),""),ROW()-ROW(A$32)+1))),),"")</f>
        <v/>
      </c>
      <c r="AE51" t="str">
        <f t="array" ref="AE51">IFERROR(CONCATENATE((INDEX($A$7:$A$30,SMALL(IF($AF$7:$AF$30&lt;&gt;"",IF($AC$7:$AC$30&lt;&gt;"",ROW($AC$7:$AC$30)-MIN(ROW($AC$7:$AC$30))+1,""),""),ROW()-ROW(A$32)+1))),),"")</f>
        <v/>
      </c>
      <c r="AI51" t="str">
        <f t="array" ref="AI51">IFERROR(CONCATENATE(TEXT(INDEX($AI$7:$AI$30,SMALL(IF($AL$7:$AL$30&lt;&gt;"",IF($AI$7:$AI$30&lt;&gt;"",ROW($AI$7:$AI$30)-MIN(ROW($AI$7:$AI$30))+1,""),""),ROW()-ROW(A$32)+1)),"##0"),),"")</f>
        <v/>
      </c>
      <c r="AJ51" t="str">
        <f t="array" ref="AJ51">IFERROR(CONCATENATE((INDEX($AL$7:$AL$30,SMALL(IF($AL$7:$AL$30&lt;&gt;"",IF($AI$7:$AI$30&lt;&gt;"",ROW($AI$7:$AI$30)-MIN(ROW($AI$7:$AI$30))+1,""),""),ROW()-ROW(A$32)+1))),),"")</f>
        <v/>
      </c>
      <c r="AK51" t="str">
        <f t="array" ref="AK51">IFERROR(CONCATENATE((INDEX($A$7:$A$30,SMALL(IF($AL$7:$AL$30&lt;&gt;"",IF($AI$7:$AI$30&lt;&gt;"",ROW($AI$7:$AI$30)-MIN(ROW($AI$7:$AI$30))+1,""),""),ROW()-ROW(A$32)+1))),),"")</f>
        <v/>
      </c>
    </row>
    <row r="52" spans="11:37" x14ac:dyDescent="0.25">
      <c r="K52" t="str">
        <f t="array" ref="K52">IFERROR(CONCATENATE(TEXT(INDEX($K$7:$K$30,SMALL(IF($N$7:$N$30&lt;&gt;"",IF($K$7:$K$30&lt;&gt;"",ROW($K$7:$K$30)-MIN(ROW($K$7:$K$30))+1,""),""),ROW()-ROW(A$32)+1)),"##0"),","),"")</f>
        <v/>
      </c>
      <c r="L52" t="str">
        <f t="array" ref="L52">IFERROR(CONCATENATE((INDEX($N$7:$N$30,SMALL(IF($N$7:$N$30&lt;&gt;"",IF($K$7:$K$30&lt;&gt;"",ROW($K$7:$K$30)-MIN(ROW($K$7:$K$30))+1,""),""),ROW()-ROW(A$32)+1))),","),"")</f>
        <v/>
      </c>
      <c r="M52" t="str">
        <f t="array" ref="M52">IFERROR(CONCATENATE((INDEX($A$7:$A$30,SMALL(IF($N$7:$N$30&lt;&gt;"",IF($K$7:$K$30&lt;&gt;"",ROW($K$7:$K$30)-MIN(ROW($K$7:$K$30))+1,""),""),ROW()-ROW(A$32)+1))),),"")</f>
        <v/>
      </c>
      <c r="Q52" t="str">
        <f t="array" ref="Q52">IFERROR(CONCATENATE((INDEX($T$7:$T$30,SMALL(IF($T$7:$T$30&lt;&gt;"",IF($Q$7:$Q$30&lt;&gt;"",ROW($Q$7:$Q$30)-MIN(ROW($Q$7:$Q$30))+1,""),""),ROW()-ROW(A$32)+1)))," "),"")</f>
        <v/>
      </c>
      <c r="R52" t="str">
        <f t="array" ref="R52">IFERROR(CONCATENATE(TEXT(INDEX($Q$7:$Q$30,SMALL(IF($T$7:$T$30&lt;&gt;"",IF($Q$7:$Q$30&lt;&gt;"",ROW($Q$7:$Q$30)-MIN(ROW($Q$7:$Q$30))+1,""),""),ROW()-ROW(A$32)+1)),"##0")," "),"")</f>
        <v/>
      </c>
      <c r="S52" t="str">
        <f t="array" ref="S52">IFERROR(CONCATENATE((INDEX($A$7:$A$30,SMALL(IF($T$7:$T$30&lt;&gt;"",IF($Q$7:$Q$30&lt;&gt;"",ROW($Q$7:$Q$30)-MIN(ROW($Q$7:$Q$30))+1,""),""),ROW()-ROW(A$32)+1))),),"")</f>
        <v/>
      </c>
      <c r="W52" t="str">
        <f t="array" ref="W52">IFERROR(CONCATENATE((INDEX($Z$7:$Z$30,SMALL(IF($Z$7:$Z$30&lt;&gt;"",IF($W$7:$W$30&lt;&gt;"",ROW($W$7:$W$30)-MIN(ROW($W$7:$W$30))+1,""),""),ROW()-ROW(A$32)+1))),","),"")</f>
        <v/>
      </c>
      <c r="X52" t="str">
        <f t="array" ref="X52">IFERROR(CONCATENATE(TEXT(INDEX($W$7:$W$30,SMALL(IF($Z$7:$Z$30&lt;&gt;"",IF($W$7:$W$30&lt;&gt;"",ROW($W$7:$W$30)-MIN(ROW($W$7:$W$30))+1,""),""),ROW()-ROW(A$32)+1)),"##0"),","),"")</f>
        <v/>
      </c>
      <c r="Y52" t="str">
        <f t="array" ref="Y52">IFERROR(CONCATENATE((INDEX($A$7:$A$30,SMALL(IF($Z$7:$Z$30&lt;&gt;"",IF($W$7:$W$30&lt;&gt;"",ROW($W$7:$W$30)-MIN(ROW($W$7:$W$30))+1,""),""),ROW()-ROW(A$32)+1))),),"")</f>
        <v/>
      </c>
      <c r="AC52" t="str">
        <f t="array" ref="AC52">IFERROR(CONCATENATE(TEXT(INDEX($AC$7:$AC$30,SMALL(IF($AF$7:$AF$30&lt;&gt;"",IF($AC$7:$AC$30&lt;&gt;"",ROW($AC$7:$AC$30)-MIN(ROW($AC$7:$AC$30))+1,""),""),ROW()-ROW(A$32)+1)),"##0"),),"")</f>
        <v/>
      </c>
      <c r="AD52" t="str">
        <f t="array" ref="AD52">IFERROR(CONCATENATE((INDEX($AF$7:$AF$30,SMALL(IF($AF$7:$AF$30&lt;&gt;"",IF($AC$7:$AC$30&lt;&gt;"",ROW($AC$7:$AC$30)-MIN(ROW($AC$7:$AC$30))+1,""),""),ROW()-ROW(A$32)+1))),),"")</f>
        <v/>
      </c>
      <c r="AE52" t="str">
        <f t="array" ref="AE52">IFERROR(CONCATENATE((INDEX($A$7:$A$30,SMALL(IF($AF$7:$AF$30&lt;&gt;"",IF($AC$7:$AC$30&lt;&gt;"",ROW($AC$7:$AC$30)-MIN(ROW($AC$7:$AC$30))+1,""),""),ROW()-ROW(A$32)+1))),),"")</f>
        <v/>
      </c>
      <c r="AI52" t="str">
        <f t="array" ref="AI52">IFERROR(CONCATENATE(TEXT(INDEX($AI$7:$AI$30,SMALL(IF($AL$7:$AL$30&lt;&gt;"",IF($AI$7:$AI$30&lt;&gt;"",ROW($AI$7:$AI$30)-MIN(ROW($AI$7:$AI$30))+1,""),""),ROW()-ROW(A$32)+1)),"##0"),),"")</f>
        <v/>
      </c>
      <c r="AJ52" t="str">
        <f t="array" ref="AJ52">IFERROR(CONCATENATE((INDEX($AL$7:$AL$30,SMALL(IF($AL$7:$AL$30&lt;&gt;"",IF($AI$7:$AI$30&lt;&gt;"",ROW($AI$7:$AI$30)-MIN(ROW($AI$7:$AI$30))+1,""),""),ROW()-ROW(A$32)+1))),),"")</f>
        <v/>
      </c>
      <c r="AK52" t="str">
        <f t="array" ref="AK52">IFERROR(CONCATENATE((INDEX($A$7:$A$30,SMALL(IF($AL$7:$AL$30&lt;&gt;"",IF($AI$7:$AI$30&lt;&gt;"",ROW($AI$7:$AI$30)-MIN(ROW($AI$7:$AI$30))+1,""),""),ROW()-ROW(A$32)+1))),),"")</f>
        <v/>
      </c>
    </row>
    <row r="53" spans="11:37" x14ac:dyDescent="0.25">
      <c r="K53" t="str">
        <f t="array" ref="K53">IFERROR(CONCATENATE(TEXT(INDEX($K$7:$K$30,SMALL(IF($N$7:$N$30&lt;&gt;"",IF($K$7:$K$30&lt;&gt;"",ROW($K$7:$K$30)-MIN(ROW($K$7:$K$30))+1,""),""),ROW()-ROW(A$32)+1)),"##0"),","),"")</f>
        <v/>
      </c>
      <c r="L53" t="str">
        <f t="array" ref="L53">IFERROR(CONCATENATE((INDEX($N$7:$N$30,SMALL(IF($N$7:$N$30&lt;&gt;"",IF($K$7:$K$30&lt;&gt;"",ROW($K$7:$K$30)-MIN(ROW($K$7:$K$30))+1,""),""),ROW()-ROW(A$32)+1))),","),"")</f>
        <v/>
      </c>
      <c r="M53" t="str">
        <f t="array" ref="M53">IFERROR(CONCATENATE((INDEX($A$7:$A$30,SMALL(IF($N$7:$N$30&lt;&gt;"",IF($K$7:$K$30&lt;&gt;"",ROW($K$7:$K$30)-MIN(ROW($K$7:$K$30))+1,""),""),ROW()-ROW(A$32)+1))),),"")</f>
        <v/>
      </c>
      <c r="Q53" t="str">
        <f t="array" ref="Q53">IFERROR(CONCATENATE((INDEX($T$7:$T$30,SMALL(IF($T$7:$T$30&lt;&gt;"",IF($Q$7:$Q$30&lt;&gt;"",ROW($Q$7:$Q$30)-MIN(ROW($Q$7:$Q$30))+1,""),""),ROW()-ROW(A$32)+1)))," "),"")</f>
        <v/>
      </c>
      <c r="R53" t="str">
        <f t="array" ref="R53">IFERROR(CONCATENATE(TEXT(INDEX($Q$7:$Q$30,SMALL(IF($T$7:$T$30&lt;&gt;"",IF($Q$7:$Q$30&lt;&gt;"",ROW($Q$7:$Q$30)-MIN(ROW($Q$7:$Q$30))+1,""),""),ROW()-ROW(A$32)+1)),"##0")," "),"")</f>
        <v/>
      </c>
      <c r="S53" t="str">
        <f t="array" ref="S53">IFERROR(CONCATENATE((INDEX($A$7:$A$30,SMALL(IF($T$7:$T$30&lt;&gt;"",IF($Q$7:$Q$30&lt;&gt;"",ROW($Q$7:$Q$30)-MIN(ROW($Q$7:$Q$30))+1,""),""),ROW()-ROW(A$32)+1))),),"")</f>
        <v/>
      </c>
      <c r="W53" t="str">
        <f t="array" ref="W53">IFERROR(CONCATENATE((INDEX($Z$7:$Z$30,SMALL(IF($Z$7:$Z$30&lt;&gt;"",IF($W$7:$W$30&lt;&gt;"",ROW($W$7:$W$30)-MIN(ROW($W$7:$W$30))+1,""),""),ROW()-ROW(A$32)+1))),","),"")</f>
        <v/>
      </c>
      <c r="X53" t="str">
        <f t="array" ref="X53">IFERROR(CONCATENATE(TEXT(INDEX($W$7:$W$30,SMALL(IF($Z$7:$Z$30&lt;&gt;"",IF($W$7:$W$30&lt;&gt;"",ROW($W$7:$W$30)-MIN(ROW($W$7:$W$30))+1,""),""),ROW()-ROW(A$32)+1)),"##0"),","),"")</f>
        <v/>
      </c>
      <c r="Y53" t="str">
        <f t="array" ref="Y53">IFERROR(CONCATENATE((INDEX($A$7:$A$30,SMALL(IF($Z$7:$Z$30&lt;&gt;"",IF($W$7:$W$30&lt;&gt;"",ROW($W$7:$W$30)-MIN(ROW($W$7:$W$30))+1,""),""),ROW()-ROW(A$32)+1))),),"")</f>
        <v/>
      </c>
      <c r="AC53" t="str">
        <f t="array" ref="AC53">IFERROR(CONCATENATE(TEXT(INDEX($AC$7:$AC$30,SMALL(IF($AF$7:$AF$30&lt;&gt;"",IF($AC$7:$AC$30&lt;&gt;"",ROW($AC$7:$AC$30)-MIN(ROW($AC$7:$AC$30))+1,""),""),ROW()-ROW(A$32)+1)),"##0"),),"")</f>
        <v/>
      </c>
      <c r="AD53" t="str">
        <f t="array" ref="AD53">IFERROR(CONCATENATE((INDEX($AF$7:$AF$30,SMALL(IF($AF$7:$AF$30&lt;&gt;"",IF($AC$7:$AC$30&lt;&gt;"",ROW($AC$7:$AC$30)-MIN(ROW($AC$7:$AC$30))+1,""),""),ROW()-ROW(A$32)+1))),),"")</f>
        <v/>
      </c>
      <c r="AE53" t="str">
        <f t="array" ref="AE53">IFERROR(CONCATENATE((INDEX($A$7:$A$30,SMALL(IF($AF$7:$AF$30&lt;&gt;"",IF($AC$7:$AC$30&lt;&gt;"",ROW($AC$7:$AC$30)-MIN(ROW($AC$7:$AC$30))+1,""),""),ROW()-ROW(A$32)+1))),),"")</f>
        <v/>
      </c>
      <c r="AI53" t="str">
        <f t="array" ref="AI53">IFERROR(CONCATENATE(TEXT(INDEX($AI$7:$AI$30,SMALL(IF($AL$7:$AL$30&lt;&gt;"",IF($AI$7:$AI$30&lt;&gt;"",ROW($AI$7:$AI$30)-MIN(ROW($AI$7:$AI$30))+1,""),""),ROW()-ROW(A$32)+1)),"##0"),),"")</f>
        <v/>
      </c>
      <c r="AJ53" t="str">
        <f t="array" ref="AJ53">IFERROR(CONCATENATE((INDEX($AL$7:$AL$30,SMALL(IF($AL$7:$AL$30&lt;&gt;"",IF($AI$7:$AI$30&lt;&gt;"",ROW($AI$7:$AI$30)-MIN(ROW($AI$7:$AI$30))+1,""),""),ROW()-ROW(A$32)+1))),),"")</f>
        <v/>
      </c>
      <c r="AK53" t="str">
        <f t="array" ref="AK53">IFERROR(CONCATENATE((INDEX($A$7:$A$30,SMALL(IF($AL$7:$AL$30&lt;&gt;"",IF($AI$7:$AI$30&lt;&gt;"",ROW($AI$7:$AI$30)-MIN(ROW($AI$7:$AI$30))+1,""),""),ROW()-ROW(A$32)+1))),),"")</f>
        <v/>
      </c>
    </row>
    <row r="54" spans="11:37" x14ac:dyDescent="0.25">
      <c r="K54" t="str">
        <f t="array" ref="K54">IFERROR(CONCATENATE(TEXT(INDEX($K$7:$K$30,SMALL(IF($N$7:$N$30&lt;&gt;"",IF($K$7:$K$30&lt;&gt;"",ROW($K$7:$K$30)-MIN(ROW($K$7:$K$30))+1,""),""),ROW()-ROW(A$32)+1)),"##0"),","),"")</f>
        <v/>
      </c>
      <c r="L54" t="str">
        <f t="array" ref="L54">IFERROR(CONCATENATE((INDEX($N$7:$N$30,SMALL(IF($N$7:$N$30&lt;&gt;"",IF($K$7:$K$30&lt;&gt;"",ROW($K$7:$K$30)-MIN(ROW($K$7:$K$30))+1,""),""),ROW()-ROW(A$32)+1))),","),"")</f>
        <v/>
      </c>
      <c r="M54" t="str">
        <f t="array" ref="M54">IFERROR(CONCATENATE((INDEX($A$7:$A$30,SMALL(IF($N$7:$N$30&lt;&gt;"",IF($K$7:$K$30&lt;&gt;"",ROW($K$7:$K$30)-MIN(ROW($K$7:$K$30))+1,""),""),ROW()-ROW(A$32)+1))),),"")</f>
        <v/>
      </c>
      <c r="Q54" t="str">
        <f t="array" ref="Q54">IFERROR(CONCATENATE((INDEX($T$7:$T$30,SMALL(IF($T$7:$T$30&lt;&gt;"",IF($Q$7:$Q$30&lt;&gt;"",ROW($Q$7:$Q$30)-MIN(ROW($Q$7:$Q$30))+1,""),""),ROW()-ROW(A$32)+1)))," "),"")</f>
        <v/>
      </c>
      <c r="R54" t="str">
        <f t="array" ref="R54">IFERROR(CONCATENATE(TEXT(INDEX($Q$7:$Q$30,SMALL(IF($T$7:$T$30&lt;&gt;"",IF($Q$7:$Q$30&lt;&gt;"",ROW($Q$7:$Q$30)-MIN(ROW($Q$7:$Q$30))+1,""),""),ROW()-ROW(A$32)+1)),"##0")," "),"")</f>
        <v/>
      </c>
      <c r="S54" t="str">
        <f t="array" ref="S54">IFERROR(CONCATENATE((INDEX($A$7:$A$30,SMALL(IF($T$7:$T$30&lt;&gt;"",IF($Q$7:$Q$30&lt;&gt;"",ROW($Q$7:$Q$30)-MIN(ROW($Q$7:$Q$30))+1,""),""),ROW()-ROW(A$32)+1))),),"")</f>
        <v/>
      </c>
      <c r="W54" t="str">
        <f t="array" ref="W54">IFERROR(CONCATENATE((INDEX($Z$7:$Z$30,SMALL(IF($Z$7:$Z$30&lt;&gt;"",IF($W$7:$W$30&lt;&gt;"",ROW($W$7:$W$30)-MIN(ROW($W$7:$W$30))+1,""),""),ROW()-ROW(A$32)+1))),","),"")</f>
        <v/>
      </c>
      <c r="X54" t="str">
        <f t="array" ref="X54">IFERROR(CONCATENATE(TEXT(INDEX($W$7:$W$30,SMALL(IF($Z$7:$Z$30&lt;&gt;"",IF($W$7:$W$30&lt;&gt;"",ROW($W$7:$W$30)-MIN(ROW($W$7:$W$30))+1,""),""),ROW()-ROW(A$32)+1)),"##0"),","),"")</f>
        <v/>
      </c>
      <c r="Y54" t="str">
        <f t="array" ref="Y54">IFERROR(CONCATENATE((INDEX($A$7:$A$30,SMALL(IF($Z$7:$Z$30&lt;&gt;"",IF($W$7:$W$30&lt;&gt;"",ROW($W$7:$W$30)-MIN(ROW($W$7:$W$30))+1,""),""),ROW()-ROW(A$32)+1))),),"")</f>
        <v/>
      </c>
      <c r="AC54" t="str">
        <f t="array" ref="AC54">IFERROR(CONCATENATE(TEXT(INDEX($AC$7:$AC$30,SMALL(IF($AF$7:$AF$30&lt;&gt;"",IF($AC$7:$AC$30&lt;&gt;"",ROW($AC$7:$AC$30)-MIN(ROW($AC$7:$AC$30))+1,""),""),ROW()-ROW(A$32)+1)),"##0"),),"")</f>
        <v/>
      </c>
      <c r="AD54" t="str">
        <f t="array" ref="AD54">IFERROR(CONCATENATE((INDEX($AF$7:$AF$30,SMALL(IF($AF$7:$AF$30&lt;&gt;"",IF($AC$7:$AC$30&lt;&gt;"",ROW($AC$7:$AC$30)-MIN(ROW($AC$7:$AC$30))+1,""),""),ROW()-ROW(A$32)+1))),),"")</f>
        <v/>
      </c>
      <c r="AE54" t="str">
        <f t="array" ref="AE54">IFERROR(CONCATENATE((INDEX($A$7:$A$30,SMALL(IF($AF$7:$AF$30&lt;&gt;"",IF($AC$7:$AC$30&lt;&gt;"",ROW($AC$7:$AC$30)-MIN(ROW($AC$7:$AC$30))+1,""),""),ROW()-ROW(A$32)+1))),),"")</f>
        <v/>
      </c>
      <c r="AI54" t="str">
        <f t="array" ref="AI54">IFERROR(CONCATENATE(TEXT(INDEX($AI$7:$AI$30,SMALL(IF($AL$7:$AL$30&lt;&gt;"",IF($AI$7:$AI$30&lt;&gt;"",ROW($AI$7:$AI$30)-MIN(ROW($AI$7:$AI$30))+1,""),""),ROW()-ROW(A$32)+1)),"##0"),),"")</f>
        <v/>
      </c>
      <c r="AJ54" t="str">
        <f t="array" ref="AJ54">IFERROR(CONCATENATE((INDEX($AL$7:$AL$30,SMALL(IF($AL$7:$AL$30&lt;&gt;"",IF($AI$7:$AI$30&lt;&gt;"",ROW($AI$7:$AI$30)-MIN(ROW($AI$7:$AI$30))+1,""),""),ROW()-ROW(A$32)+1))),),"")</f>
        <v/>
      </c>
      <c r="AK54" t="str">
        <f t="array" ref="AK54">IFERROR(CONCATENATE((INDEX($A$7:$A$30,SMALL(IF($AL$7:$AL$30&lt;&gt;"",IF($AI$7:$AI$30&lt;&gt;"",ROW($AI$7:$AI$30)-MIN(ROW($AI$7:$AI$30))+1,""),""),ROW()-ROW(A$32)+1))),),"")</f>
        <v/>
      </c>
    </row>
    <row r="55" spans="11:37" x14ac:dyDescent="0.25">
      <c r="K55" t="str">
        <f t="array" ref="K55">IFERROR(CONCATENATE(TEXT(INDEX($K$7:$K$30,SMALL(IF($N$7:$N$30&lt;&gt;"",IF($K$7:$K$30&lt;&gt;"",ROW($K$7:$K$30)-MIN(ROW($K$7:$K$30))+1,""),""),ROW()-ROW(A$32)+1)),"##0"),","),"")</f>
        <v/>
      </c>
      <c r="L55" t="str">
        <f t="array" ref="L55">IFERROR(CONCATENATE((INDEX($N$7:$N$30,SMALL(IF($N$7:$N$30&lt;&gt;"",IF($K$7:$K$30&lt;&gt;"",ROW($K$7:$K$30)-MIN(ROW($K$7:$K$30))+1,""),""),ROW()-ROW(A$32)+1))),","),"")</f>
        <v/>
      </c>
      <c r="M55" t="str">
        <f t="array" ref="M55">IFERROR(CONCATENATE((INDEX($A$7:$A$30,SMALL(IF($N$7:$N$30&lt;&gt;"",IF($K$7:$K$30&lt;&gt;"",ROW($K$7:$K$30)-MIN(ROW($K$7:$K$30))+1,""),""),ROW()-ROW(A$32)+1))),),"")</f>
        <v/>
      </c>
      <c r="Q55" t="str">
        <f t="array" ref="Q55">IFERROR(CONCATENATE((INDEX($T$7:$T$30,SMALL(IF($T$7:$T$30&lt;&gt;"",IF($Q$7:$Q$30&lt;&gt;"",ROW($Q$7:$Q$30)-MIN(ROW($Q$7:$Q$30))+1,""),""),ROW()-ROW(A$32)+1)))," "),"")</f>
        <v/>
      </c>
      <c r="R55" t="str">
        <f t="array" ref="R55">IFERROR(CONCATENATE(TEXT(INDEX($Q$7:$Q$30,SMALL(IF($T$7:$T$30&lt;&gt;"",IF($Q$7:$Q$30&lt;&gt;"",ROW($Q$7:$Q$30)-MIN(ROW($Q$7:$Q$30))+1,""),""),ROW()-ROW(A$32)+1)),"##0")," "),"")</f>
        <v/>
      </c>
      <c r="S55" t="str">
        <f t="array" ref="S55">IFERROR(CONCATENATE((INDEX($A$7:$A$30,SMALL(IF($T$7:$T$30&lt;&gt;"",IF($Q$7:$Q$30&lt;&gt;"",ROW($Q$7:$Q$30)-MIN(ROW($Q$7:$Q$30))+1,""),""),ROW()-ROW(A$32)+1))),),"")</f>
        <v/>
      </c>
      <c r="W55" t="str">
        <f t="array" ref="W55">IFERROR(CONCATENATE((INDEX($Z$7:$Z$30,SMALL(IF($Z$7:$Z$30&lt;&gt;"",IF($W$7:$W$30&lt;&gt;"",ROW($W$7:$W$30)-MIN(ROW($W$7:$W$30))+1,""),""),ROW()-ROW(A$32)+1))),","),"")</f>
        <v/>
      </c>
      <c r="X55" t="str">
        <f t="array" ref="X55">IFERROR(CONCATENATE(TEXT(INDEX($W$7:$W$30,SMALL(IF($Z$7:$Z$30&lt;&gt;"",IF($W$7:$W$30&lt;&gt;"",ROW($W$7:$W$30)-MIN(ROW($W$7:$W$30))+1,""),""),ROW()-ROW(A$32)+1)),"##0"),","),"")</f>
        <v/>
      </c>
      <c r="Y55" t="str">
        <f t="array" ref="Y55">IFERROR(CONCATENATE((INDEX($A$7:$A$30,SMALL(IF($Z$7:$Z$30&lt;&gt;"",IF($W$7:$W$30&lt;&gt;"",ROW($W$7:$W$30)-MIN(ROW($W$7:$W$30))+1,""),""),ROW()-ROW(A$32)+1))),),"")</f>
        <v/>
      </c>
      <c r="AC55" t="str">
        <f t="array" ref="AC55">IFERROR(CONCATENATE(TEXT(INDEX($AC$7:$AC$30,SMALL(IF($AF$7:$AF$30&lt;&gt;"",IF($AC$7:$AC$30&lt;&gt;"",ROW($AC$7:$AC$30)-MIN(ROW($AC$7:$AC$30))+1,""),""),ROW()-ROW(A$32)+1)),"##0"),),"")</f>
        <v/>
      </c>
      <c r="AD55" t="str">
        <f t="array" ref="AD55">IFERROR(CONCATENATE((INDEX($AF$7:$AF$30,SMALL(IF($AF$7:$AF$30&lt;&gt;"",IF($AC$7:$AC$30&lt;&gt;"",ROW($AC$7:$AC$30)-MIN(ROW($AC$7:$AC$30))+1,""),""),ROW()-ROW(A$32)+1))),),"")</f>
        <v/>
      </c>
      <c r="AE55" t="str">
        <f t="array" ref="AE55">IFERROR(CONCATENATE((INDEX($A$7:$A$30,SMALL(IF($AF$7:$AF$30&lt;&gt;"",IF($AC$7:$AC$30&lt;&gt;"",ROW($AC$7:$AC$30)-MIN(ROW($AC$7:$AC$30))+1,""),""),ROW()-ROW(A$32)+1))),),"")</f>
        <v/>
      </c>
      <c r="AI55" t="str">
        <f t="array" ref="AI55">IFERROR(CONCATENATE(TEXT(INDEX($AI$7:$AI$30,SMALL(IF($AL$7:$AL$30&lt;&gt;"",IF($AI$7:$AI$30&lt;&gt;"",ROW($AI$7:$AI$30)-MIN(ROW($AI$7:$AI$30))+1,""),""),ROW()-ROW(A$32)+1)),"##0"),),"")</f>
        <v/>
      </c>
      <c r="AJ55" t="str">
        <f t="array" ref="AJ55">IFERROR(CONCATENATE((INDEX($AL$7:$AL$30,SMALL(IF($AL$7:$AL$30&lt;&gt;"",IF($AI$7:$AI$30&lt;&gt;"",ROW($AI$7:$AI$30)-MIN(ROW($AI$7:$AI$30))+1,""),""),ROW()-ROW(A$32)+1))),),"")</f>
        <v/>
      </c>
      <c r="AK55" t="str">
        <f t="array" ref="AK55">IFERROR(CONCATENATE((INDEX($A$7:$A$30,SMALL(IF($AL$7:$AL$30&lt;&gt;"",IF($AI$7:$AI$30&lt;&gt;"",ROW($AI$7:$AI$30)-MIN(ROW($AI$7:$AI$30))+1,""),""),ROW()-ROW(A$32)+1))),),"")</f>
        <v/>
      </c>
    </row>
  </sheetData>
  <mergeCells count="6">
    <mergeCell ref="AH5:AM5"/>
    <mergeCell ref="A5:I5"/>
    <mergeCell ref="J5:O5"/>
    <mergeCell ref="P5:U5"/>
    <mergeCell ref="V5:AA5"/>
    <mergeCell ref="AB5:AG5"/>
  </mergeCells>
  <conditionalFormatting sqref="AD10">
    <cfRule type="cellIs" dxfId="73" priority="53" operator="lessThanOrEqual">
      <formula>H10</formula>
    </cfRule>
  </conditionalFormatting>
  <conditionalFormatting sqref="AD15">
    <cfRule type="cellIs" dxfId="72" priority="55" operator="lessThanOrEqual">
      <formula>H15</formula>
    </cfRule>
  </conditionalFormatting>
  <conditionalFormatting sqref="AD17">
    <cfRule type="cellIs" dxfId="71" priority="57" operator="lessThanOrEqual">
      <formula>H17</formula>
    </cfRule>
  </conditionalFormatting>
  <conditionalFormatting sqref="AD20">
    <cfRule type="cellIs" dxfId="70" priority="59" operator="lessThanOrEqual">
      <formula>H20</formula>
    </cfRule>
  </conditionalFormatting>
  <conditionalFormatting sqref="AD21">
    <cfRule type="cellIs" dxfId="69" priority="61" operator="lessThanOrEqual">
      <formula>H21</formula>
    </cfRule>
  </conditionalFormatting>
  <conditionalFormatting sqref="AD25">
    <cfRule type="cellIs" dxfId="68" priority="63" operator="lessThanOrEqual">
      <formula>H25</formula>
    </cfRule>
  </conditionalFormatting>
  <conditionalFormatting sqref="AD26">
    <cfRule type="cellIs" dxfId="67" priority="65" operator="lessThanOrEqual">
      <formula>H26</formula>
    </cfRule>
  </conditionalFormatting>
  <conditionalFormatting sqref="AD28">
    <cfRule type="cellIs" dxfId="66" priority="67" operator="lessThanOrEqual">
      <formula>H28</formula>
    </cfRule>
  </conditionalFormatting>
  <conditionalFormatting sqref="AD29">
    <cfRule type="cellIs" dxfId="65" priority="69" operator="lessThanOrEqual">
      <formula>H29</formula>
    </cfRule>
  </conditionalFormatting>
  <conditionalFormatting sqref="AD30">
    <cfRule type="cellIs" dxfId="64" priority="71" operator="lessThanOrEqual">
      <formula>H30</formula>
    </cfRule>
  </conditionalFormatting>
  <conditionalFormatting sqref="AD8">
    <cfRule type="cellIs" dxfId="63" priority="51" operator="lessThanOrEqual">
      <formula>H8</formula>
    </cfRule>
  </conditionalFormatting>
  <conditionalFormatting sqref="AE10">
    <cfRule type="cellIs" dxfId="62" priority="54" operator="lessThanOrEqual">
      <formula>I10</formula>
    </cfRule>
  </conditionalFormatting>
  <conditionalFormatting sqref="AE15">
    <cfRule type="cellIs" dxfId="61" priority="56" operator="lessThanOrEqual">
      <formula>I15</formula>
    </cfRule>
  </conditionalFormatting>
  <conditionalFormatting sqref="AE17">
    <cfRule type="cellIs" dxfId="60" priority="58" operator="lessThanOrEqual">
      <formula>I17</formula>
    </cfRule>
  </conditionalFormatting>
  <conditionalFormatting sqref="AE20">
    <cfRule type="cellIs" dxfId="59" priority="60" operator="lessThanOrEqual">
      <formula>I20</formula>
    </cfRule>
  </conditionalFormatting>
  <conditionalFormatting sqref="AE21">
    <cfRule type="cellIs" dxfId="58" priority="62" operator="lessThanOrEqual">
      <formula>I21</formula>
    </cfRule>
  </conditionalFormatting>
  <conditionalFormatting sqref="AE25">
    <cfRule type="cellIs" dxfId="57" priority="64" operator="lessThanOrEqual">
      <formula>I25</formula>
    </cfRule>
  </conditionalFormatting>
  <conditionalFormatting sqref="AE26">
    <cfRule type="cellIs" dxfId="56" priority="66" operator="lessThanOrEqual">
      <formula>I26</formula>
    </cfRule>
  </conditionalFormatting>
  <conditionalFormatting sqref="AE28">
    <cfRule type="cellIs" dxfId="55" priority="68" operator="lessThanOrEqual">
      <formula>I28</formula>
    </cfRule>
  </conditionalFormatting>
  <conditionalFormatting sqref="AE29">
    <cfRule type="cellIs" dxfId="54" priority="70" operator="lessThanOrEqual">
      <formula>I29</formula>
    </cfRule>
  </conditionalFormatting>
  <conditionalFormatting sqref="AE30">
    <cfRule type="cellIs" dxfId="53" priority="72" operator="lessThanOrEqual">
      <formula>I30</formula>
    </cfRule>
  </conditionalFormatting>
  <conditionalFormatting sqref="AE8">
    <cfRule type="cellIs" dxfId="52" priority="52" operator="lessThanOrEqual">
      <formula>I8</formula>
    </cfRule>
  </conditionalFormatting>
  <conditionalFormatting sqref="AJ30">
    <cfRule type="cellIs" dxfId="51" priority="73" operator="lessThanOrEqual">
      <formula>H30</formula>
    </cfRule>
  </conditionalFormatting>
  <conditionalFormatting sqref="AK30">
    <cfRule type="cellIs" dxfId="50" priority="74" operator="lessThanOrEqual">
      <formula>I30</formula>
    </cfRule>
  </conditionalFormatting>
  <conditionalFormatting sqref="L11">
    <cfRule type="cellIs" dxfId="49" priority="5" operator="lessThanOrEqual">
      <formula>H11</formula>
    </cfRule>
  </conditionalFormatting>
  <conditionalFormatting sqref="L13">
    <cfRule type="cellIs" dxfId="48" priority="7" operator="lessThanOrEqual">
      <formula>H13</formula>
    </cfRule>
  </conditionalFormatting>
  <conditionalFormatting sqref="L14">
    <cfRule type="cellIs" dxfId="47" priority="9" operator="lessThanOrEqual">
      <formula>H14</formula>
    </cfRule>
  </conditionalFormatting>
  <conditionalFormatting sqref="L20">
    <cfRule type="cellIs" dxfId="46" priority="11" operator="lessThanOrEqual">
      <formula>H20</formula>
    </cfRule>
  </conditionalFormatting>
  <conditionalFormatting sqref="L22">
    <cfRule type="cellIs" dxfId="45" priority="13" operator="lessThanOrEqual">
      <formula>H22</formula>
    </cfRule>
  </conditionalFormatting>
  <conditionalFormatting sqref="L23">
    <cfRule type="cellIs" dxfId="44" priority="15" operator="lessThanOrEqual">
      <formula>H23</formula>
    </cfRule>
  </conditionalFormatting>
  <conditionalFormatting sqref="L7">
    <cfRule type="cellIs" dxfId="43" priority="1" operator="lessThanOrEqual">
      <formula>H7</formula>
    </cfRule>
  </conditionalFormatting>
  <conditionalFormatting sqref="L9">
    <cfRule type="cellIs" dxfId="42" priority="3" operator="lessThanOrEqual">
      <formula>H9</formula>
    </cfRule>
  </conditionalFormatting>
  <conditionalFormatting sqref="M11">
    <cfRule type="cellIs" dxfId="41" priority="6" operator="lessThanOrEqual">
      <formula>I11</formula>
    </cfRule>
  </conditionalFormatting>
  <conditionalFormatting sqref="M13">
    <cfRule type="cellIs" dxfId="40" priority="8" operator="lessThanOrEqual">
      <formula>I13</formula>
    </cfRule>
  </conditionalFormatting>
  <conditionalFormatting sqref="M14">
    <cfRule type="cellIs" dxfId="39" priority="10" operator="lessThanOrEqual">
      <formula>I14</formula>
    </cfRule>
  </conditionalFormatting>
  <conditionalFormatting sqref="M20">
    <cfRule type="cellIs" dxfId="38" priority="12" operator="lessThanOrEqual">
      <formula>I20</formula>
    </cfRule>
  </conditionalFormatting>
  <conditionalFormatting sqref="M22">
    <cfRule type="cellIs" dxfId="37" priority="14" operator="lessThanOrEqual">
      <formula>I22</formula>
    </cfRule>
  </conditionalFormatting>
  <conditionalFormatting sqref="M23">
    <cfRule type="cellIs" dxfId="36" priority="16" operator="lessThanOrEqual">
      <formula>I23</formula>
    </cfRule>
  </conditionalFormatting>
  <conditionalFormatting sqref="M7">
    <cfRule type="cellIs" dxfId="35" priority="2" operator="lessThanOrEqual">
      <formula>I7</formula>
    </cfRule>
  </conditionalFormatting>
  <conditionalFormatting sqref="M9">
    <cfRule type="cellIs" dxfId="34" priority="4" operator="lessThanOrEqual">
      <formula>I9</formula>
    </cfRule>
  </conditionalFormatting>
  <conditionalFormatting sqref="R11">
    <cfRule type="cellIs" dxfId="33" priority="21" operator="lessThanOrEqual">
      <formula>H11</formula>
    </cfRule>
  </conditionalFormatting>
  <conditionalFormatting sqref="R13">
    <cfRule type="cellIs" dxfId="32" priority="23" operator="lessThanOrEqual">
      <formula>H13</formula>
    </cfRule>
  </conditionalFormatting>
  <conditionalFormatting sqref="R14">
    <cfRule type="cellIs" dxfId="31" priority="25" operator="lessThanOrEqual">
      <formula>H14</formula>
    </cfRule>
  </conditionalFormatting>
  <conditionalFormatting sqref="R18">
    <cfRule type="cellIs" dxfId="30" priority="27" operator="lessThanOrEqual">
      <formula>H18</formula>
    </cfRule>
  </conditionalFormatting>
  <conditionalFormatting sqref="R20">
    <cfRule type="cellIs" dxfId="29" priority="29" operator="lessThanOrEqual">
      <formula>H20</formula>
    </cfRule>
  </conditionalFormatting>
  <conditionalFormatting sqref="R22">
    <cfRule type="cellIs" dxfId="28" priority="31" operator="lessThanOrEqual">
      <formula>H22</formula>
    </cfRule>
  </conditionalFormatting>
  <conditionalFormatting sqref="R23">
    <cfRule type="cellIs" dxfId="27" priority="33" operator="lessThanOrEqual">
      <formula>H23</formula>
    </cfRule>
  </conditionalFormatting>
  <conditionalFormatting sqref="R29">
    <cfRule type="cellIs" dxfId="26" priority="35" operator="lessThanOrEqual">
      <formula>H29</formula>
    </cfRule>
  </conditionalFormatting>
  <conditionalFormatting sqref="R7">
    <cfRule type="cellIs" dxfId="25" priority="17" operator="lessThanOrEqual">
      <formula>H7</formula>
    </cfRule>
  </conditionalFormatting>
  <conditionalFormatting sqref="R9">
    <cfRule type="cellIs" dxfId="24" priority="19" operator="lessThanOrEqual">
      <formula>H9</formula>
    </cfRule>
  </conditionalFormatting>
  <conditionalFormatting sqref="S11">
    <cfRule type="cellIs" dxfId="23" priority="22" operator="lessThanOrEqual">
      <formula>I11</formula>
    </cfRule>
  </conditionalFormatting>
  <conditionalFormatting sqref="S13">
    <cfRule type="cellIs" dxfId="22" priority="24" operator="lessThanOrEqual">
      <formula>I13</formula>
    </cfRule>
  </conditionalFormatting>
  <conditionalFormatting sqref="S14">
    <cfRule type="cellIs" dxfId="21" priority="26" operator="lessThanOrEqual">
      <formula>I14</formula>
    </cfRule>
  </conditionalFormatting>
  <conditionalFormatting sqref="S18">
    <cfRule type="cellIs" dxfId="20" priority="28" operator="lessThanOrEqual">
      <formula>I18</formula>
    </cfRule>
  </conditionalFormatting>
  <conditionalFormatting sqref="S20">
    <cfRule type="cellIs" dxfId="19" priority="30" operator="lessThanOrEqual">
      <formula>I20</formula>
    </cfRule>
  </conditionalFormatting>
  <conditionalFormatting sqref="S22">
    <cfRule type="cellIs" dxfId="18" priority="32" operator="lessThanOrEqual">
      <formula>I22</formula>
    </cfRule>
  </conditionalFormatting>
  <conditionalFormatting sqref="S23">
    <cfRule type="cellIs" dxfId="17" priority="34" operator="lessThanOrEqual">
      <formula>I23</formula>
    </cfRule>
  </conditionalFormatting>
  <conditionalFormatting sqref="S29">
    <cfRule type="cellIs" dxfId="16" priority="36" operator="lessThanOrEqual">
      <formula>I29</formula>
    </cfRule>
  </conditionalFormatting>
  <conditionalFormatting sqref="S7">
    <cfRule type="cellIs" dxfId="15" priority="18" operator="lessThanOrEqual">
      <formula>I7</formula>
    </cfRule>
  </conditionalFormatting>
  <conditionalFormatting sqref="S9">
    <cfRule type="cellIs" dxfId="14" priority="20" operator="lessThanOrEqual">
      <formula>I9</formula>
    </cfRule>
  </conditionalFormatting>
  <conditionalFormatting sqref="X11">
    <cfRule type="cellIs" dxfId="13" priority="41" operator="lessThanOrEqual">
      <formula>H11</formula>
    </cfRule>
  </conditionalFormatting>
  <conditionalFormatting sqref="X13">
    <cfRule type="cellIs" dxfId="12" priority="43" operator="lessThanOrEqual">
      <formula>H13</formula>
    </cfRule>
  </conditionalFormatting>
  <conditionalFormatting sqref="X14">
    <cfRule type="cellIs" dxfId="11" priority="45" operator="lessThanOrEqual">
      <formula>H14</formula>
    </cfRule>
  </conditionalFormatting>
  <conditionalFormatting sqref="X22">
    <cfRule type="cellIs" dxfId="10" priority="47" operator="lessThanOrEqual">
      <formula>H22</formula>
    </cfRule>
  </conditionalFormatting>
  <conditionalFormatting sqref="X29">
    <cfRule type="cellIs" dxfId="9" priority="49" operator="lessThanOrEqual">
      <formula>H29</formula>
    </cfRule>
  </conditionalFormatting>
  <conditionalFormatting sqref="X7">
    <cfRule type="cellIs" dxfId="8" priority="37" operator="lessThanOrEqual">
      <formula>H7</formula>
    </cfRule>
  </conditionalFormatting>
  <conditionalFormatting sqref="X9">
    <cfRule type="cellIs" dxfId="7" priority="39" operator="lessThanOrEqual">
      <formula>H9</formula>
    </cfRule>
  </conditionalFormatting>
  <conditionalFormatting sqref="Y11">
    <cfRule type="cellIs" dxfId="6" priority="42" operator="lessThanOrEqual">
      <formula>I11</formula>
    </cfRule>
  </conditionalFormatting>
  <conditionalFormatting sqref="Y13">
    <cfRule type="cellIs" dxfId="5" priority="44" operator="lessThanOrEqual">
      <formula>I13</formula>
    </cfRule>
  </conditionalFormatting>
  <conditionalFormatting sqref="Y14">
    <cfRule type="cellIs" dxfId="4" priority="46" operator="lessThanOrEqual">
      <formula>I14</formula>
    </cfRule>
  </conditionalFormatting>
  <conditionalFormatting sqref="Y22">
    <cfRule type="cellIs" dxfId="3" priority="48" operator="lessThanOrEqual">
      <formula>I22</formula>
    </cfRule>
  </conditionalFormatting>
  <conditionalFormatting sqref="Y29">
    <cfRule type="cellIs" dxfId="2" priority="50" operator="lessThanOrEqual">
      <formula>I29</formula>
    </cfRule>
  </conditionalFormatting>
  <conditionalFormatting sqref="Y7">
    <cfRule type="cellIs" dxfId="1" priority="38" operator="lessThanOrEqual">
      <formula>I7</formula>
    </cfRule>
  </conditionalFormatting>
  <conditionalFormatting sqref="Y9">
    <cfRule type="cellIs" dxfId="0" priority="40" operator="lessThanOrEqual">
      <formula>I9</formula>
    </cfRule>
  </conditionalFormatting>
  <hyperlinks>
    <hyperlink ref="O7" r:id="rId1"/>
    <hyperlink ref="U7" r:id="rId2"/>
    <hyperlink ref="AA7" r:id="rId3"/>
    <hyperlink ref="O9" r:id="rId4"/>
    <hyperlink ref="U9" r:id="rId5"/>
    <hyperlink ref="AA9" r:id="rId6"/>
    <hyperlink ref="O11" r:id="rId7"/>
    <hyperlink ref="U11" r:id="rId8"/>
    <hyperlink ref="AA11" r:id="rId9"/>
    <hyperlink ref="O13" r:id="rId10"/>
    <hyperlink ref="U13" r:id="rId11"/>
    <hyperlink ref="AA13" r:id="rId12"/>
    <hyperlink ref="O14" r:id="rId13"/>
    <hyperlink ref="U14" r:id="rId14"/>
    <hyperlink ref="AA14" r:id="rId15"/>
    <hyperlink ref="U18" r:id="rId16"/>
    <hyperlink ref="O20" r:id="rId17"/>
    <hyperlink ref="U20" r:id="rId18"/>
    <hyperlink ref="O22" r:id="rId19"/>
    <hyperlink ref="U22" r:id="rId20"/>
    <hyperlink ref="AA22" r:id="rId21"/>
    <hyperlink ref="O23" r:id="rId22"/>
    <hyperlink ref="U23" r:id="rId23"/>
    <hyperlink ref="U29" r:id="rId24"/>
    <hyperlink ref="AA29" r:id="rId25"/>
  </hyperlinks>
  <pageMargins left="0.7" right="0.7" top="0.75" bottom="0.75" header="0.3" footer="0.3"/>
  <legacy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N1" sqref="N1"/>
    </sheetView>
  </sheetViews>
  <sheetFormatPr defaultRowHeight="15" x14ac:dyDescent="0.25"/>
  <cols>
    <col min="5" max="5" width="28" customWidth="1"/>
    <col min="6" max="6" width="18.85546875" customWidth="1"/>
    <col min="11" max="11" width="12.42578125" customWidth="1"/>
    <col min="12" max="12" width="17" customWidth="1"/>
    <col min="14" max="14" width="11.140625" customWidth="1"/>
  </cols>
  <sheetData>
    <row r="1" spans="1:14" x14ac:dyDescent="0.25">
      <c r="A1" t="s">
        <v>6</v>
      </c>
      <c r="B1" t="s">
        <v>8</v>
      </c>
      <c r="C1" t="s">
        <v>9</v>
      </c>
      <c r="D1" t="s">
        <v>5</v>
      </c>
      <c r="E1" t="s">
        <v>4</v>
      </c>
      <c r="F1" t="s">
        <v>1</v>
      </c>
      <c r="G1" t="s">
        <v>7</v>
      </c>
      <c r="H1" t="s">
        <v>3</v>
      </c>
      <c r="I1" t="s">
        <v>2</v>
      </c>
      <c r="J1" t="s">
        <v>134</v>
      </c>
      <c r="K1" t="s">
        <v>137</v>
      </c>
      <c r="L1" t="s">
        <v>135</v>
      </c>
      <c r="M1" t="s">
        <v>136</v>
      </c>
      <c r="N1" t="s">
        <v>138</v>
      </c>
    </row>
    <row r="2" spans="1:14" x14ac:dyDescent="0.25">
      <c r="A2" t="s">
        <v>80</v>
      </c>
      <c r="B2" t="s">
        <v>81</v>
      </c>
      <c r="D2" t="s">
        <v>43</v>
      </c>
      <c r="F2" t="s">
        <v>82</v>
      </c>
      <c r="G2">
        <v>20</v>
      </c>
      <c r="H2">
        <v>0.01</v>
      </c>
      <c r="I2">
        <v>0.2</v>
      </c>
      <c r="J2">
        <v>100</v>
      </c>
      <c r="K2" s="14">
        <f>H2*J2</f>
        <v>1</v>
      </c>
      <c r="L2">
        <f>CEILING(G2/J2,1)</f>
        <v>1</v>
      </c>
      <c r="M2" s="14">
        <f>L2*K2</f>
        <v>1</v>
      </c>
      <c r="N2" t="s">
        <v>139</v>
      </c>
    </row>
    <row r="3" spans="1:14" x14ac:dyDescent="0.25">
      <c r="A3" t="s">
        <v>41</v>
      </c>
      <c r="B3" t="s">
        <v>42</v>
      </c>
      <c r="D3" t="s">
        <v>43</v>
      </c>
      <c r="F3" t="s">
        <v>44</v>
      </c>
      <c r="G3">
        <v>20</v>
      </c>
      <c r="H3">
        <v>0.01</v>
      </c>
      <c r="I3">
        <v>0.2</v>
      </c>
      <c r="J3">
        <v>100</v>
      </c>
      <c r="K3" s="14">
        <f t="shared" ref="K3:K12" si="0">H3*J3</f>
        <v>1</v>
      </c>
      <c r="L3">
        <f t="shared" ref="L3:L12" si="1">CEILING(G3/J3,1)</f>
        <v>1</v>
      </c>
      <c r="M3" s="14">
        <f t="shared" ref="M3:M12" si="2">L3*K3</f>
        <v>1</v>
      </c>
      <c r="N3" t="s">
        <v>139</v>
      </c>
    </row>
    <row r="4" spans="1:14" x14ac:dyDescent="0.25">
      <c r="A4" t="s">
        <v>90</v>
      </c>
      <c r="B4" t="s">
        <v>91</v>
      </c>
      <c r="D4" t="s">
        <v>43</v>
      </c>
      <c r="F4" t="s">
        <v>92</v>
      </c>
      <c r="G4">
        <v>40</v>
      </c>
      <c r="H4">
        <v>0.01</v>
      </c>
      <c r="I4">
        <v>0.4</v>
      </c>
      <c r="J4">
        <v>100</v>
      </c>
      <c r="K4" s="14">
        <f t="shared" si="0"/>
        <v>1</v>
      </c>
      <c r="L4">
        <f t="shared" si="1"/>
        <v>1</v>
      </c>
      <c r="M4" s="14">
        <f t="shared" si="2"/>
        <v>1</v>
      </c>
      <c r="N4" t="s">
        <v>139</v>
      </c>
    </row>
    <row r="5" spans="1:14" x14ac:dyDescent="0.25">
      <c r="A5" t="s">
        <v>93</v>
      </c>
      <c r="B5" t="s">
        <v>94</v>
      </c>
      <c r="D5" t="s">
        <v>24</v>
      </c>
      <c r="F5" t="s">
        <v>95</v>
      </c>
      <c r="G5">
        <v>40</v>
      </c>
      <c r="H5">
        <v>0.01</v>
      </c>
      <c r="I5">
        <v>0.4</v>
      </c>
      <c r="J5">
        <v>100</v>
      </c>
      <c r="K5" s="14">
        <f t="shared" si="0"/>
        <v>1</v>
      </c>
      <c r="L5">
        <f t="shared" si="1"/>
        <v>1</v>
      </c>
      <c r="M5" s="14">
        <f t="shared" si="2"/>
        <v>1</v>
      </c>
      <c r="N5" t="s">
        <v>139</v>
      </c>
    </row>
    <row r="6" spans="1:14" x14ac:dyDescent="0.25">
      <c r="A6" t="s">
        <v>77</v>
      </c>
      <c r="B6" t="s">
        <v>78</v>
      </c>
      <c r="D6" t="s">
        <v>24</v>
      </c>
      <c r="F6" t="s">
        <v>79</v>
      </c>
      <c r="G6">
        <v>80</v>
      </c>
      <c r="H6">
        <v>0.02</v>
      </c>
      <c r="I6">
        <v>1.6</v>
      </c>
      <c r="J6">
        <v>100</v>
      </c>
      <c r="K6" s="14">
        <f t="shared" si="0"/>
        <v>2</v>
      </c>
      <c r="L6">
        <f t="shared" si="1"/>
        <v>1</v>
      </c>
      <c r="M6" s="14">
        <f t="shared" si="2"/>
        <v>2</v>
      </c>
      <c r="N6" t="s">
        <v>139</v>
      </c>
    </row>
    <row r="7" spans="1:14" x14ac:dyDescent="0.25">
      <c r="A7" t="s">
        <v>22</v>
      </c>
      <c r="B7" t="s">
        <v>23</v>
      </c>
      <c r="D7" t="s">
        <v>24</v>
      </c>
      <c r="F7" t="s">
        <v>25</v>
      </c>
      <c r="G7">
        <v>20</v>
      </c>
      <c r="H7">
        <v>0.01</v>
      </c>
      <c r="I7">
        <v>0.2</v>
      </c>
      <c r="J7">
        <v>100</v>
      </c>
      <c r="K7" s="14">
        <f t="shared" si="0"/>
        <v>1</v>
      </c>
      <c r="L7">
        <f t="shared" si="1"/>
        <v>1</v>
      </c>
      <c r="M7" s="14">
        <f t="shared" si="2"/>
        <v>1</v>
      </c>
      <c r="N7" t="s">
        <v>139</v>
      </c>
    </row>
    <row r="8" spans="1:14" x14ac:dyDescent="0.25">
      <c r="A8" t="s">
        <v>14</v>
      </c>
      <c r="B8" t="s">
        <v>15</v>
      </c>
      <c r="D8" t="s">
        <v>16</v>
      </c>
      <c r="F8" t="s">
        <v>17</v>
      </c>
      <c r="G8">
        <v>20</v>
      </c>
      <c r="H8">
        <v>0.03</v>
      </c>
      <c r="I8">
        <v>0.6</v>
      </c>
      <c r="J8">
        <v>50</v>
      </c>
      <c r="K8" s="14">
        <f t="shared" si="0"/>
        <v>1.5</v>
      </c>
      <c r="L8">
        <f t="shared" si="1"/>
        <v>1</v>
      </c>
      <c r="M8" s="14">
        <f t="shared" si="2"/>
        <v>1.5</v>
      </c>
      <c r="N8" t="s">
        <v>139</v>
      </c>
    </row>
    <row r="9" spans="1:14" x14ac:dyDescent="0.25">
      <c r="A9" t="s">
        <v>62</v>
      </c>
      <c r="B9" t="s">
        <v>63</v>
      </c>
      <c r="D9" t="s">
        <v>64</v>
      </c>
      <c r="F9" t="s">
        <v>65</v>
      </c>
      <c r="G9">
        <v>20</v>
      </c>
      <c r="H9">
        <v>0.35</v>
      </c>
      <c r="I9">
        <v>7</v>
      </c>
      <c r="J9">
        <v>5</v>
      </c>
      <c r="K9" s="14">
        <f t="shared" si="0"/>
        <v>1.75</v>
      </c>
      <c r="L9">
        <f t="shared" si="1"/>
        <v>4</v>
      </c>
      <c r="M9" s="14">
        <f t="shared" si="2"/>
        <v>7</v>
      </c>
      <c r="N9" t="s">
        <v>139</v>
      </c>
    </row>
    <row r="10" spans="1:14" x14ac:dyDescent="0.25">
      <c r="A10" t="s">
        <v>48</v>
      </c>
      <c r="B10" t="s">
        <v>49</v>
      </c>
      <c r="D10" t="s">
        <v>50</v>
      </c>
      <c r="F10" t="s">
        <v>51</v>
      </c>
      <c r="G10">
        <v>20</v>
      </c>
      <c r="H10">
        <v>0.2036</v>
      </c>
      <c r="I10">
        <v>4.0720000000000001</v>
      </c>
      <c r="J10">
        <v>10</v>
      </c>
      <c r="K10" s="14">
        <f t="shared" si="0"/>
        <v>2.036</v>
      </c>
      <c r="L10">
        <f t="shared" si="1"/>
        <v>2</v>
      </c>
      <c r="M10" s="14">
        <f t="shared" si="2"/>
        <v>4.0720000000000001</v>
      </c>
      <c r="N10" t="s">
        <v>139</v>
      </c>
    </row>
    <row r="11" spans="1:14" x14ac:dyDescent="0.25">
      <c r="A11" t="s">
        <v>58</v>
      </c>
      <c r="B11" t="s">
        <v>59</v>
      </c>
      <c r="D11" t="s">
        <v>60</v>
      </c>
      <c r="F11" t="s">
        <v>61</v>
      </c>
      <c r="G11">
        <v>20</v>
      </c>
      <c r="H11">
        <v>0.3</v>
      </c>
      <c r="I11">
        <v>6</v>
      </c>
      <c r="J11">
        <v>10</v>
      </c>
      <c r="K11" s="14">
        <f t="shared" si="0"/>
        <v>3</v>
      </c>
      <c r="L11">
        <f t="shared" si="1"/>
        <v>2</v>
      </c>
      <c r="M11" s="14">
        <f t="shared" si="2"/>
        <v>6</v>
      </c>
      <c r="N11" t="s">
        <v>139</v>
      </c>
    </row>
    <row r="12" spans="1:14" x14ac:dyDescent="0.25">
      <c r="A12" t="s">
        <v>86</v>
      </c>
      <c r="B12" t="s">
        <v>87</v>
      </c>
      <c r="D12" t="s">
        <v>88</v>
      </c>
      <c r="F12" t="s">
        <v>89</v>
      </c>
      <c r="G12">
        <v>40</v>
      </c>
      <c r="H12">
        <v>0.08</v>
      </c>
      <c r="I12">
        <v>3.2</v>
      </c>
      <c r="J12">
        <v>30</v>
      </c>
      <c r="K12" s="14">
        <f t="shared" si="0"/>
        <v>2.4</v>
      </c>
      <c r="L12">
        <f t="shared" si="1"/>
        <v>2</v>
      </c>
      <c r="M12" s="14">
        <f t="shared" si="2"/>
        <v>4.8</v>
      </c>
      <c r="N12" t="s">
        <v>139</v>
      </c>
    </row>
    <row r="13" spans="1:14" x14ac:dyDescent="0.25">
      <c r="A13" t="s">
        <v>33</v>
      </c>
      <c r="B13" t="s">
        <v>34</v>
      </c>
      <c r="D13" t="s">
        <v>35</v>
      </c>
      <c r="F13" t="s">
        <v>36</v>
      </c>
      <c r="G13">
        <v>20</v>
      </c>
      <c r="H13">
        <v>3.04</v>
      </c>
      <c r="I13">
        <v>60.8</v>
      </c>
      <c r="L13">
        <v>20</v>
      </c>
      <c r="M13" s="14">
        <v>60.8</v>
      </c>
      <c r="N13" t="s">
        <v>124</v>
      </c>
    </row>
    <row r="14" spans="1:14" x14ac:dyDescent="0.25">
      <c r="A14" t="s">
        <v>37</v>
      </c>
      <c r="B14" t="s">
        <v>38</v>
      </c>
      <c r="D14" t="s">
        <v>39</v>
      </c>
      <c r="F14" t="s">
        <v>40</v>
      </c>
      <c r="G14">
        <v>20</v>
      </c>
      <c r="H14">
        <v>0.10299999999999999</v>
      </c>
      <c r="I14">
        <v>2.06</v>
      </c>
      <c r="L14">
        <v>20</v>
      </c>
      <c r="M14" s="14">
        <v>2.06</v>
      </c>
      <c r="N14" t="s">
        <v>124</v>
      </c>
    </row>
    <row r="15" spans="1:14" x14ac:dyDescent="0.25">
      <c r="A15" t="s">
        <v>66</v>
      </c>
      <c r="B15" t="s">
        <v>67</v>
      </c>
      <c r="D15" t="s">
        <v>24</v>
      </c>
      <c r="F15" t="s">
        <v>68</v>
      </c>
      <c r="G15">
        <v>40</v>
      </c>
      <c r="H15">
        <v>5.0799999999999998E-2</v>
      </c>
      <c r="I15">
        <v>2.032</v>
      </c>
      <c r="L15">
        <v>40</v>
      </c>
      <c r="M15" s="14">
        <v>2.032</v>
      </c>
      <c r="N15" t="s">
        <v>113</v>
      </c>
    </row>
    <row r="16" spans="1:14" x14ac:dyDescent="0.25">
      <c r="A16" t="s">
        <v>26</v>
      </c>
      <c r="B16" t="s">
        <v>27</v>
      </c>
      <c r="D16" t="s">
        <v>28</v>
      </c>
      <c r="F16" t="s">
        <v>29</v>
      </c>
      <c r="G16">
        <v>20</v>
      </c>
      <c r="H16">
        <v>0.21199999999999999</v>
      </c>
      <c r="I16">
        <v>4.24</v>
      </c>
      <c r="L16">
        <v>20</v>
      </c>
      <c r="M16" s="14">
        <v>4.24</v>
      </c>
      <c r="N16" t="s">
        <v>124</v>
      </c>
    </row>
    <row r="17" spans="1:14" x14ac:dyDescent="0.25">
      <c r="A17" t="s">
        <v>69</v>
      </c>
      <c r="B17" t="s">
        <v>70</v>
      </c>
      <c r="D17" t="s">
        <v>71</v>
      </c>
      <c r="F17" t="s">
        <v>72</v>
      </c>
      <c r="G17">
        <v>20</v>
      </c>
      <c r="H17">
        <v>0.187</v>
      </c>
      <c r="I17">
        <v>3.74</v>
      </c>
      <c r="L17">
        <v>20</v>
      </c>
      <c r="M17" s="14">
        <v>3.74</v>
      </c>
      <c r="N17" t="s">
        <v>113</v>
      </c>
    </row>
    <row r="18" spans="1:14" x14ac:dyDescent="0.25">
      <c r="A18" t="s">
        <v>18</v>
      </c>
      <c r="B18" t="s">
        <v>19</v>
      </c>
      <c r="D18" t="s">
        <v>20</v>
      </c>
      <c r="F18" t="s">
        <v>21</v>
      </c>
      <c r="G18">
        <v>20</v>
      </c>
      <c r="H18">
        <v>0.49199999999999999</v>
      </c>
      <c r="I18">
        <v>9.84</v>
      </c>
      <c r="L18">
        <v>20</v>
      </c>
      <c r="M18" s="14">
        <v>9.84</v>
      </c>
      <c r="N18" t="s">
        <v>113</v>
      </c>
    </row>
    <row r="19" spans="1:14" x14ac:dyDescent="0.25">
      <c r="A19" t="s">
        <v>10</v>
      </c>
      <c r="B19" t="s">
        <v>11</v>
      </c>
      <c r="D19" t="s">
        <v>12</v>
      </c>
      <c r="F19" t="s">
        <v>13</v>
      </c>
      <c r="G19">
        <v>40</v>
      </c>
      <c r="H19">
        <v>0.13400000000000001</v>
      </c>
      <c r="I19">
        <v>5.36</v>
      </c>
      <c r="L19">
        <v>40</v>
      </c>
      <c r="M19" s="14">
        <v>5.36</v>
      </c>
      <c r="N19" t="s">
        <v>113</v>
      </c>
    </row>
    <row r="20" spans="1:14" x14ac:dyDescent="0.25">
      <c r="M20" s="14"/>
    </row>
    <row r="21" spans="1:14" x14ac:dyDescent="0.25">
      <c r="M21" s="14"/>
    </row>
  </sheetData>
  <sortState ref="A2:J25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KiCost</vt:lpstr>
      <vt:lpstr>BOM X 20 boards</vt:lpstr>
      <vt:lpstr>BoardQty</vt:lpstr>
      <vt:lpstr>digikey_part_data</vt:lpstr>
      <vt:lpstr>global_part_data</vt:lpstr>
      <vt:lpstr>local_part_data</vt:lpstr>
      <vt:lpstr>mouser_part_data</vt:lpstr>
      <vt:lpstr>newark_part_data</vt:lpstr>
      <vt:lpstr>seeedstudio_part_data</vt:lpstr>
      <vt:lpstr>TotalCost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Perla, Michele</cp:lastModifiedBy>
  <dcterms:created xsi:type="dcterms:W3CDTF">2016-01-07T13:50:36Z</dcterms:created>
  <dcterms:modified xsi:type="dcterms:W3CDTF">2016-01-07T14:48:19Z</dcterms:modified>
</cp:coreProperties>
</file>