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KiCost!$J$5:$O$21</definedName>
    <definedName name="global_part_data">KiCost!$A$5:$I$21</definedName>
    <definedName name="mouser_part_data">KiCost!$P$5:$U$21</definedName>
    <definedName name="newark_part_data">KiCost!$V$5:$AA$21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<sst xmlns="http://schemas.openxmlformats.org/spreadsheetml/2006/main" count="159" uniqueCount="99">
  <si>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</si>
  <si>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</si>
  <si>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</si>
  <si>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</si>
  <si>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</si>
  <si>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</si>
  <si>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</si>
  <si>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</si>
  <si>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</si>
  <si>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</si>
  <si>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JP1,JP2</t>
  </si>
  <si>
    <t>Jumper_NO_Small</t>
  </si>
  <si>
    <t>HiFiAudioCodecModule-footprints:SMD_Jumper</t>
  </si>
  <si>
    <t>LOGO1</t>
  </si>
  <si>
    <t>OSHW</t>
  </si>
  <si>
    <t>oshw_logo:LOGO</t>
  </si>
  <si>
    <t>C3</t>
  </si>
  <si>
    <t>1u</t>
  </si>
  <si>
    <t>HiFiAudioCodecModule-footprints:C_0402</t>
  </si>
  <si>
    <t>CC0402KRX7R5BB105</t>
  </si>
  <si>
    <t>P1,P2</t>
  </si>
  <si>
    <t>CONN_01X06</t>
  </si>
  <si>
    <t>HiFiAudioCodecModule-footprints:Pin_Header_Straight_1x06</t>
  </si>
  <si>
    <t>M20-9990645</t>
  </si>
  <si>
    <t>R1,R2</t>
  </si>
  <si>
    <t>220</t>
  </si>
  <si>
    <t>HiFiAudioCodecModule-footprints:R_0402</t>
  </si>
  <si>
    <t>RC0402FR-07220RL</t>
  </si>
  <si>
    <t>R5-R8</t>
  </si>
  <si>
    <t>1K</t>
  </si>
  <si>
    <t>RC0402FR-071KL</t>
  </si>
  <si>
    <t>C4,C5</t>
  </si>
  <si>
    <t>10u</t>
  </si>
  <si>
    <t>HiFiAudioCodecModule-footprints:CAP_ELEC_SMD_3x5mm</t>
  </si>
  <si>
    <t>UWX1C100MCL2GB</t>
  </si>
  <si>
    <t>U1</t>
  </si>
  <si>
    <t>AK4558EN</t>
  </si>
  <si>
    <t>HiFiAudioCodecModule-footprints:QFN-28-2xEP_5x5mm_Pitch0.5mm</t>
  </si>
  <si>
    <t>LOGO2</t>
  </si>
  <si>
    <t>HACKADAY</t>
  </si>
  <si>
    <t>hackaday_logo:LOGO</t>
  </si>
  <si>
    <t>C7,C8</t>
  </si>
  <si>
    <t>HiFiAudioCodecModule-footprints:C_Radial_D5_L11_P2-bipolar</t>
  </si>
  <si>
    <t>UES1E100MDM1TD</t>
  </si>
  <si>
    <t>C1,C2</t>
  </si>
  <si>
    <t>0.1u</t>
  </si>
  <si>
    <t>CC0402KRX7R7BB104</t>
  </si>
  <si>
    <t>R3,R4</t>
  </si>
  <si>
    <t>20K</t>
  </si>
  <si>
    <t>RC0402FR-0720KL</t>
  </si>
  <si>
    <t>C6</t>
  </si>
  <si>
    <t>C9,C10</t>
  </si>
  <si>
    <t>UES1H010MDM1TD</t>
  </si>
  <si>
    <t>P3</t>
  </si>
  <si>
    <t>CONN_02X05</t>
  </si>
  <si>
    <t>HiFiAudioCodecModule-footprints:Pin_Header_Straight_2x05</t>
  </si>
  <si>
    <t>M20-9980545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</si>
  <si>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</si>
  <si>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</si>
  <si>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</si>
  <si>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</si>
  <si>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</si>
  <si>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</si>
  <si>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</si>
  <si>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</si>
  <si>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311-1702-1-ND</t>
  </si>
  <si>
    <t>Link</t>
  </si>
  <si>
    <t>952-2269-ND</t>
  </si>
  <si>
    <t>311-220LRCT-ND</t>
  </si>
  <si>
    <t>311-1.00KLRCT-ND</t>
  </si>
  <si>
    <t>493-2099-1-ND</t>
  </si>
  <si>
    <t>974-1083-1-ND</t>
  </si>
  <si>
    <t>493-10824-1-ND</t>
  </si>
  <si>
    <t>311-1338-1-ND</t>
  </si>
  <si>
    <t>311-20.0KLRCT-ND</t>
  </si>
  <si>
    <t>493-10834-1-ND</t>
  </si>
  <si>
    <t>952-2380-ND</t>
  </si>
  <si>
    <t>Mouser</t>
  </si>
  <si>
    <t>603-CC402KRX7R5BB105</t>
  </si>
  <si>
    <t>855-M20-9990645</t>
  </si>
  <si>
    <t>603-RC0402FR-07220RL</t>
  </si>
  <si>
    <t>603-RC0402FR-071KL</t>
  </si>
  <si>
    <t>647-UWX1C100MCL2</t>
  </si>
  <si>
    <t>647-UES1E100MDM1TD</t>
  </si>
  <si>
    <t>603-CC402KRX7R7BB104</t>
  </si>
  <si>
    <t>603-RC0402FR-0720KL</t>
  </si>
  <si>
    <t>647-UES1H010MDM1TD</t>
  </si>
  <si>
    <t>855-M20-9980545</t>
  </si>
  <si>
    <t>Newark</t>
  </si>
  <si>
    <t>55X1892</t>
  </si>
  <si>
    <t>97K6212</t>
  </si>
  <si>
    <t>67R9914</t>
  </si>
  <si>
    <t>67R9877</t>
  </si>
  <si>
    <t>58R3619</t>
  </si>
  <si>
    <t>58R7475</t>
  </si>
  <si>
    <t>68R4640</t>
  </si>
  <si>
    <t>67R9906</t>
  </si>
  <si>
    <t>58R7486</t>
  </si>
  <si>
    <t>56K0014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</si>
</sst>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CC0402KRX7R5BB105/311-1702-1-ND/5195604" TargetMode="External"/><Relationship Id="rId2" Type="http://schemas.openxmlformats.org/officeDocument/2006/relationships/hyperlink" Target="http://www.mouser.com/Search/Refine.aspx?Keyword=CC0402KRX7R5BB105" TargetMode="External"/><Relationship Id="rId3" Type="http://schemas.openxmlformats.org/officeDocument/2006/relationships/hyperlink" Target="http://www.newark.com/webapp/wcs/stores/servlet/Search?catalogId=15003&amp;langId=-1&amp;storeId=10194&amp;gs=true&amp;st=CC0402KRX7R5BB105" TargetMode="External"/><Relationship Id="rId4" Type="http://schemas.openxmlformats.org/officeDocument/2006/relationships/hyperlink" Target="http://www.digikey.com/scripts/DkSearch/dksus.dll?WT.z_header=search_go&amp;lang=en&amp;keywords=M20-9990645" TargetMode="External"/><Relationship Id="rId5" Type="http://schemas.openxmlformats.org/officeDocument/2006/relationships/hyperlink" Target="http://www.mouser.com/Search/Refine.aspx?Keyword=M20-9990645" TargetMode="External"/><Relationship Id="rId6" Type="http://schemas.openxmlformats.org/officeDocument/2006/relationships/hyperlink" Target="http://www.newark.com/webapp/wcs/stores/servlet/Search?catalogId=15003&amp;langId=-1&amp;storeId=10194&amp;gs=true&amp;st=M20-9990645" TargetMode="External"/><Relationship Id="rId7" Type="http://schemas.openxmlformats.org/officeDocument/2006/relationships/hyperlink" Target="http://www.digikey.com/product-detail/en/RC0402FR-07220RL/311-220LRCT-ND/729512" TargetMode="External"/><Relationship Id="rId8" Type="http://schemas.openxmlformats.org/officeDocument/2006/relationships/hyperlink" Target="http://www.mouser.com/Search/Refine.aspx?Keyword=RC0402FR-07220RL" TargetMode="External"/><Relationship Id="rId9" Type="http://schemas.openxmlformats.org/officeDocument/2006/relationships/hyperlink" Target="http://www.newark.com/yageo/rc0402fr-07220rl/res-thick-film-220r-1-0-0625w/dp/67R9914" TargetMode="External"/><Relationship Id="rId10" Type="http://schemas.openxmlformats.org/officeDocument/2006/relationships/hyperlink" Target="http://www.digikey.com/product-detail/en/RC0402FR-071KL/311-1.00KLRCT-ND/729460" TargetMode="External"/><Relationship Id="rId11" Type="http://schemas.openxmlformats.org/officeDocument/2006/relationships/hyperlink" Target="http://www.mouser.com/Search/Refine.aspx?Keyword=RC0402FR-071KL" TargetMode="External"/><Relationship Id="rId12" Type="http://schemas.openxmlformats.org/officeDocument/2006/relationships/hyperlink" Target="http://www.newark.com/yageo/rc0402fr-071kl/res-thick-film-1k-1-0-0625w-0402/dp/67R9877" TargetMode="External"/><Relationship Id="rId13" Type="http://schemas.openxmlformats.org/officeDocument/2006/relationships/hyperlink" Target="http://www.digikey.com/product-detail/en/UWX1C100MCL2GB/493-2099-1-ND/590074" TargetMode="External"/><Relationship Id="rId14" Type="http://schemas.openxmlformats.org/officeDocument/2006/relationships/hyperlink" Target="http://www.mouser.com/Search/Refine.aspx?Keyword=UWX1C100MCL2GB" TargetMode="External"/><Relationship Id="rId15" Type="http://schemas.openxmlformats.org/officeDocument/2006/relationships/hyperlink" Target="http://www.newark.com/nichicon/uwx1c100mcl2gb/aluminum-electrolytic-capacitor/dp/58R3619" TargetMode="External"/><Relationship Id="rId16" Type="http://schemas.openxmlformats.org/officeDocument/2006/relationships/hyperlink" Target="http://www.digikey.com/product-detail/en/AK4558EN/974-1083-1-ND/5322946" TargetMode="External"/><Relationship Id="rId17" Type="http://schemas.openxmlformats.org/officeDocument/2006/relationships/hyperlink" Target="http://www.digikey.com/product-detail/en/UES1E100MDM1TD/493-10824-1-ND/4317799" TargetMode="External"/><Relationship Id="rId18" Type="http://schemas.openxmlformats.org/officeDocument/2006/relationships/hyperlink" Target="http://www.mouser.com/Search/Refine.aspx?Keyword=UES1E100MDM1TD" TargetMode="External"/><Relationship Id="rId19" Type="http://schemas.openxmlformats.org/officeDocument/2006/relationships/hyperlink" Target="http://www.newark.com/webapp/wcs/stores/servlet/Search?catalogId=15003&amp;langId=-1&amp;storeId=10194&amp;gs=true&amp;st=UES1E100MDM1TD" TargetMode="External"/><Relationship Id="rId20" Type="http://schemas.openxmlformats.org/officeDocument/2006/relationships/hyperlink" Target="http://www.digikey.com/product-detail/en/CC0402KRX7R7BB104/311-1338-1-ND/2103122" TargetMode="External"/><Relationship Id="rId21" Type="http://schemas.openxmlformats.org/officeDocument/2006/relationships/hyperlink" Target="http://www.mouser.com/Search/Refine.aspx?Keyword=CC0402KRX7R7BB104" TargetMode="External"/><Relationship Id="rId22" Type="http://schemas.openxmlformats.org/officeDocument/2006/relationships/hyperlink" Target="http://www.newark.com/yageo/cc0402krx7r7bb104/ceramic-capacitor-0-1uf-16v-x7r/dp/68R4640" TargetMode="External"/><Relationship Id="rId23" Type="http://schemas.openxmlformats.org/officeDocument/2006/relationships/hyperlink" Target="http://www.digikey.com/product-detail/en/RC0402FR-0720KL/311-20.0KLRCT-ND/729504" TargetMode="External"/><Relationship Id="rId24" Type="http://schemas.openxmlformats.org/officeDocument/2006/relationships/hyperlink" Target="http://www.mouser.com/Search/Refine.aspx?Keyword=RC0402FR-0720KL" TargetMode="External"/><Relationship Id="rId25" Type="http://schemas.openxmlformats.org/officeDocument/2006/relationships/hyperlink" Target="http://www.newark.com/yageo/rc0402fr-0720kl/res-thick-film-20k-1-0-0625w-0402/dp/67R9906" TargetMode="External"/><Relationship Id="rId26" Type="http://schemas.openxmlformats.org/officeDocument/2006/relationships/hyperlink" Target="http://www.digikey.com/product-detail/en/UWX1C100MCL2GB/493-2099-1-ND/590074" TargetMode="External"/><Relationship Id="rId27" Type="http://schemas.openxmlformats.org/officeDocument/2006/relationships/hyperlink" Target="http://www.mouser.com/Search/Refine.aspx?Keyword=UWX1C100MCL2GB" TargetMode="External"/><Relationship Id="rId28" Type="http://schemas.openxmlformats.org/officeDocument/2006/relationships/hyperlink" Target="http://www.newark.com/nichicon/uwx1c100mcl2gb/aluminum-electrolytic-capacitor/dp/58R3619" TargetMode="External"/><Relationship Id="rId29" Type="http://schemas.openxmlformats.org/officeDocument/2006/relationships/hyperlink" Target="http://www.digikey.com/product-detail/en/UES1H010MDM1TD/493-10834-1-ND/4317808" TargetMode="External"/><Relationship Id="rId30" Type="http://schemas.openxmlformats.org/officeDocument/2006/relationships/hyperlink" Target="http://www.mouser.com/Search/Refine.aspx?Keyword=UES1H010MDM1TD" TargetMode="External"/><Relationship Id="rId31" Type="http://schemas.openxmlformats.org/officeDocument/2006/relationships/hyperlink" Target="http://www.newark.com/webapp/wcs/stores/servlet/Search?catalogId=15003&amp;langId=-1&amp;storeId=10194&amp;gs=true&amp;st=UES1H010MDM1TD" TargetMode="External"/><Relationship Id="rId32" Type="http://schemas.openxmlformats.org/officeDocument/2006/relationships/hyperlink" Target="http://www.digikey.com/scripts/DkSearch/dksus.dll?WT.z_header=search_go&amp;lang=en&amp;keywords=M20-9980545" TargetMode="External"/><Relationship Id="rId33" Type="http://schemas.openxmlformats.org/officeDocument/2006/relationships/hyperlink" Target="http://www.mouser.com/Search/Refine.aspx?Keyword=M20-9980545" TargetMode="External"/><Relationship Id="rId34" Type="http://schemas.openxmlformats.org/officeDocument/2006/relationships/hyperlink" Target="http://www.newark.com/webapp/wcs/stores/servlet/Search?catalogId=15003&amp;langId=-1&amp;storeId=10194&amp;gs=true&amp;st=M20-9980545" TargetMode="External"/><Relationship Id="rId35" Type="http://schemas.openxmlformats.org/officeDocument/2006/relationships/vmlDrawing" Target="../drawings/vmlDrawing1.vml"/><Relationship Id="rId3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7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57</v>
      </c>
      <c r="I1" s="2">
        <v>100</v>
      </c>
    </row>
    <row r="2" spans="1:27">
      <c r="H2" s="3" t="s">
        <v>58</v>
      </c>
      <c r="I2" s="4">
        <f>sum(I7:I21)</f>
        <v>0</v>
      </c>
      <c r="M2" s="4">
        <f>sum(M7:M21)</f>
        <v>0</v>
      </c>
      <c r="S2" s="4">
        <f>sum(S7:S21)</f>
        <v>0</v>
      </c>
      <c r="Y2" s="4">
        <f>sum(Y7:Y21)</f>
        <v>0</v>
      </c>
    </row>
    <row r="3" spans="1:27">
      <c r="H3" s="3" t="s">
        <v>59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60</v>
      </c>
      <c r="K5" s="7"/>
      <c r="L5" s="7"/>
      <c r="M5" s="7"/>
      <c r="N5" s="7"/>
      <c r="O5" s="7"/>
      <c r="P5" s="8" t="s">
        <v>77</v>
      </c>
      <c r="Q5" s="8"/>
      <c r="R5" s="8"/>
      <c r="S5" s="8"/>
      <c r="T5" s="8"/>
      <c r="U5" s="8"/>
      <c r="V5" s="9" t="s">
        <v>88</v>
      </c>
      <c r="W5" s="9"/>
      <c r="X5" s="9"/>
      <c r="Y5" s="9"/>
      <c r="Z5" s="9"/>
      <c r="AA5" s="9"/>
    </row>
    <row r="6" spans="1:27">
      <c r="A6" s="10" t="s">
        <v>6</v>
      </c>
      <c r="B6" s="10" t="s">
        <v>8</v>
      </c>
      <c r="C6" s="10" t="s">
        <v>9</v>
      </c>
      <c r="D6" s="10" t="s">
        <v>5</v>
      </c>
      <c r="E6" s="10" t="s">
        <v>4</v>
      </c>
      <c r="F6" s="10" t="s">
        <v>1</v>
      </c>
      <c r="G6" s="10" t="s">
        <v>7</v>
      </c>
      <c r="H6" s="10" t="s">
        <v>3</v>
      </c>
      <c r="I6" s="10" t="s">
        <v>2</v>
      </c>
      <c r="J6" s="10" t="s">
        <v>62</v>
      </c>
      <c r="K6" s="10" t="s">
        <v>63</v>
      </c>
      <c r="L6" s="10" t="s">
        <v>3</v>
      </c>
      <c r="M6" s="10" t="s">
        <v>2</v>
      </c>
      <c r="N6" s="10" t="s">
        <v>64</v>
      </c>
      <c r="O6" s="10" t="s">
        <v>61</v>
      </c>
      <c r="P6" s="10" t="s">
        <v>62</v>
      </c>
      <c r="Q6" s="10" t="s">
        <v>63</v>
      </c>
      <c r="R6" s="10" t="s">
        <v>3</v>
      </c>
      <c r="S6" s="10" t="s">
        <v>2</v>
      </c>
      <c r="T6" s="10" t="s">
        <v>64</v>
      </c>
      <c r="U6" s="10" t="s">
        <v>61</v>
      </c>
      <c r="V6" s="10" t="s">
        <v>62</v>
      </c>
      <c r="W6" s="10" t="s">
        <v>63</v>
      </c>
      <c r="X6" s="10" t="s">
        <v>3</v>
      </c>
      <c r="Y6" s="10" t="s">
        <v>2</v>
      </c>
      <c r="Z6" s="10" t="s">
        <v>64</v>
      </c>
      <c r="AA6" s="10" t="s">
        <v>61</v>
      </c>
    </row>
    <row r="7" spans="1:27">
      <c r="A7" t="s">
        <v>10</v>
      </c>
      <c r="B7" t="s">
        <v>11</v>
      </c>
      <c r="D7" t="s">
        <v>12</v>
      </c>
      <c r="G7">
        <f>BoardQty*2</f>
        <v>0</v>
      </c>
      <c r="H7" s="11">
        <f>MINA(INDIRECT(ADDRESS(ROW(),COLUMN(newark_part_data)+2)),INDIRECT(ADDRESS(ROW(),COLUMN(digikey_part_data)+2)),INDIRECT(ADDRESS(ROW(),COLUMN(mouser_part_data)+2)))</f>
        <v>0</v>
      </c>
      <c r="I7" s="11">
        <f>iferror(G7*H7,"")</f>
        <v>0</v>
      </c>
    </row>
    <row r="8" spans="1:27">
      <c r="A8" t="s">
        <v>13</v>
      </c>
      <c r="B8" t="s">
        <v>14</v>
      </c>
      <c r="D8" t="s">
        <v>15</v>
      </c>
      <c r="G8">
        <f>BoardQty*1</f>
        <v>0</v>
      </c>
      <c r="H8" s="11">
        <f>MINA(INDIRECT(ADDRESS(ROW(),COLUMN(newark_part_data)+2)),INDIRECT(ADDRESS(ROW(),COLUMN(digikey_part_data)+2)),INDIRECT(ADDRESS(ROW(),COLUMN(mouser_part_data)+2)))</f>
        <v>0</v>
      </c>
      <c r="I8" s="11">
        <f>iferror(G8*H8,"")</f>
        <v>0</v>
      </c>
    </row>
    <row r="9" spans="1:27">
      <c r="A9" t="s">
        <v>16</v>
      </c>
      <c r="B9" t="s">
        <v>17</v>
      </c>
      <c r="D9" t="s">
        <v>18</v>
      </c>
      <c r="F9" t="s">
        <v>19</v>
      </c>
      <c r="G9">
        <f>BoardQty*1</f>
        <v>0</v>
      </c>
      <c r="H9" s="11">
        <f>MINA(INDIRECT(ADDRESS(ROW(),COLUMN(newark_part_data)+2)),INDIRECT(ADDRESS(ROW(),COLUMN(digikey_part_data)+2)),INDIRECT(ADDRESS(ROW(),COLUMN(mouser_part_data)+2)))</f>
        <v>0</v>
      </c>
      <c r="I9" s="11">
        <f>iferror(G9*H9,"")</f>
        <v>0</v>
      </c>
      <c r="J9">
        <v>1</v>
      </c>
      <c r="L9" s="11">
        <f>iferror(lookup(if(K9="",G9,K9),{0,1,10,25,100,250,500,1000,2500,5000,10000,20000,30000,50000,100000},{0.0,0.2,0.137,0.1032,0.0652,0.05492,0.046,0.03777,0.03468,0.03193,0.02747,0.02609,0.02472,0.02266,0.01872}),"")</f>
        <v>0</v>
      </c>
      <c r="M9" s="11">
        <f>iferror(if(K9="",G9,K9)*L9,"")</f>
        <v>0</v>
      </c>
      <c r="N9" t="s">
        <v>65</v>
      </c>
      <c r="O9" s="12" t="s">
        <v>66</v>
      </c>
      <c r="P9">
        <v>0</v>
      </c>
      <c r="R9" s="11">
        <f>iferror(lookup(if(Q9="",G9,Q9),{0,1,10,100,1000,2500,10000,20000,50000,100000},{0.0,0.19,0.098,0.044,0.036,0.026,0.025,0.023,0.022,0.017}),"")</f>
        <v>0</v>
      </c>
      <c r="S9" s="11">
        <f>iferror(if(Q9="",G9,Q9)*R9,"")</f>
        <v>0</v>
      </c>
      <c r="T9" t="s">
        <v>78</v>
      </c>
      <c r="U9" s="12" t="s">
        <v>66</v>
      </c>
      <c r="V9">
        <v>0</v>
      </c>
      <c r="X9" s="11">
        <f>iferror(lookup(if(W9="",G9,W9),{0,1},{0.0,0.011}),"")</f>
        <v>0</v>
      </c>
      <c r="Y9" s="11">
        <f>iferror(if(W9="",G9,W9)*X9,"")</f>
        <v>0</v>
      </c>
      <c r="Z9" t="s">
        <v>89</v>
      </c>
      <c r="AA9" s="12" t="s">
        <v>66</v>
      </c>
    </row>
    <row r="10" spans="1:27">
      <c r="A10" t="s">
        <v>20</v>
      </c>
      <c r="B10" t="s">
        <v>21</v>
      </c>
      <c r="D10" t="s">
        <v>22</v>
      </c>
      <c r="F10" t="s">
        <v>23</v>
      </c>
      <c r="G10">
        <f>BoardQty*2</f>
        <v>0</v>
      </c>
      <c r="H10" s="11">
        <f>MINA(INDIRECT(ADDRESS(ROW(),COLUMN(newark_part_data)+2)),INDIRECT(ADDRESS(ROW(),COLUMN(digikey_part_data)+2)),INDIRECT(ADDRESS(ROW(),COLUMN(mouser_part_data)+2)))</f>
        <v>0</v>
      </c>
      <c r="I10" s="11">
        <f>iferror(G10*H10,"")</f>
        <v>0</v>
      </c>
      <c r="J10">
        <v>13820</v>
      </c>
      <c r="L10" s="11">
        <f>iferror(lookup(if(K10="",G10,K10),{0,1,10,25,50,100,250,500,1000,2500},{0.0,0.26,0.244,0.208,0.182,0.169,0.14952,0.143,0.117,0.10725}),"")</f>
        <v>0</v>
      </c>
      <c r="M10" s="11">
        <f>iferror(if(K10="",G10,K10)*L10,"")</f>
        <v>0</v>
      </c>
      <c r="N10" t="s">
        <v>67</v>
      </c>
      <c r="O10" s="12" t="s">
        <v>66</v>
      </c>
      <c r="P10">
        <v>6668</v>
      </c>
      <c r="R10" s="11">
        <f>iferror(lookup(if(Q10="",G10,Q10),{0,1,10,100,500,1000,2000},{0.0,0.256,0.18,0.147,0.141,0.116,0.107}),"")</f>
        <v>0</v>
      </c>
      <c r="S10" s="11">
        <f>iferror(if(Q10="",G10,Q10)*R10,"")</f>
        <v>0</v>
      </c>
      <c r="T10" t="s">
        <v>79</v>
      </c>
      <c r="U10" s="12" t="s">
        <v>66</v>
      </c>
      <c r="V10">
        <v>8231</v>
      </c>
      <c r="X10" s="11">
        <f>iferror(lookup(if(W10="",G10,W10),{0,1,250,500,1000,5000},{0.0,0.236,0.198,0.182,0.164,0.148}),"")</f>
        <v>0</v>
      </c>
      <c r="Y10" s="11">
        <f>iferror(if(W10="",G10,W10)*X10,"")</f>
        <v>0</v>
      </c>
      <c r="Z10" t="s">
        <v>90</v>
      </c>
      <c r="AA10" s="12" t="s">
        <v>66</v>
      </c>
    </row>
    <row r="11" spans="1:27">
      <c r="A11" t="s">
        <v>24</v>
      </c>
      <c r="B11" t="s">
        <v>25</v>
      </c>
      <c r="D11" t="s">
        <v>26</v>
      </c>
      <c r="F11" t="s">
        <v>27</v>
      </c>
      <c r="G11">
        <f>BoardQty*2</f>
        <v>0</v>
      </c>
      <c r="H11" s="11">
        <f>MINA(INDIRECT(ADDRESS(ROW(),COLUMN(newark_part_data)+2)),INDIRECT(ADDRESS(ROW(),COLUMN(digikey_part_data)+2)),INDIRECT(ADDRESS(ROW(),COLUMN(mouser_part_data)+2)))</f>
        <v>0</v>
      </c>
      <c r="I11" s="11">
        <f>iferror(G11*H11,"")</f>
        <v>0</v>
      </c>
      <c r="J11">
        <v>345265</v>
      </c>
      <c r="L11" s="11">
        <f>iferror(lookup(if(K11="",G11,K11),{0,1,10,25,100,250,500,1000,2500,5000,10000,30000,50000,100000},{0.0,0.1,0.013,0.0096,0.0054,0.00412,0.00328,0.00242,0.0021,0.00173,0.00137,0.0012,0.0011,0.00108}),"")</f>
        <v>0</v>
      </c>
      <c r="M11" s="11">
        <f>iferror(if(K11="",G11,K11)*L11,"")</f>
        <v>0</v>
      </c>
      <c r="N11" t="s">
        <v>68</v>
      </c>
      <c r="O11" s="12" t="s">
        <v>66</v>
      </c>
      <c r="P11">
        <v>135033</v>
      </c>
      <c r="R11" s="11">
        <f>iferror(lookup(if(Q11="",G11,Q11),{0,1,10,100,1000,10000},{0.0,0.099,0.01,0.003,0.002,0.001}),"")</f>
        <v>0</v>
      </c>
      <c r="S11" s="11">
        <f>iferror(if(Q11="",G11,Q11)*R11,"")</f>
        <v>0</v>
      </c>
      <c r="T11" t="s">
        <v>80</v>
      </c>
      <c r="U11" s="12" t="s">
        <v>66</v>
      </c>
      <c r="V11">
        <v>12940</v>
      </c>
      <c r="X11" s="11">
        <f>iferror(lookup(if(W11="",G11,W11),{0,1,10,25,100,250,1000},{0.0,0.09,0.015,0.011,0.006,0.005,0.003}),"")</f>
        <v>0</v>
      </c>
      <c r="Y11" s="11">
        <f>iferror(if(W11="",G11,W11)*X11,"")</f>
        <v>0</v>
      </c>
      <c r="Z11" t="s">
        <v>91</v>
      </c>
      <c r="AA11" s="12" t="s">
        <v>66</v>
      </c>
    </row>
    <row r="12" spans="1:27">
      <c r="A12" t="s">
        <v>28</v>
      </c>
      <c r="B12" t="s">
        <v>29</v>
      </c>
      <c r="D12" t="s">
        <v>26</v>
      </c>
      <c r="F12" t="s">
        <v>30</v>
      </c>
      <c r="G12">
        <f>BoardQty*4</f>
        <v>0</v>
      </c>
      <c r="H12" s="11">
        <f>MINA(INDIRECT(ADDRESS(ROW(),COLUMN(newark_part_data)+2)),INDIRECT(ADDRESS(ROW(),COLUMN(digikey_part_data)+2)),INDIRECT(ADDRESS(ROW(),COLUMN(mouser_part_data)+2)))</f>
        <v>0</v>
      </c>
      <c r="I12" s="11">
        <f>iferror(G12*H12,"")</f>
        <v>0</v>
      </c>
      <c r="J12">
        <v>4418858</v>
      </c>
      <c r="L12" s="11">
        <f>iferror(lookup(if(K12="",G12,K12),{0,1,10,25,100,250,500,1000,2500,5000,10000,30000,50000,100000},{0.0,0.1,0.013,0.0096,0.0054,0.00412,0.00328,0.00242,0.0021,0.00173,0.00137,0.0012,0.0011,0.00108}),"")</f>
        <v>0</v>
      </c>
      <c r="M12" s="11">
        <f>iferror(if(K12="",G12,K12)*L12,"")</f>
        <v>0</v>
      </c>
      <c r="N12" t="s">
        <v>69</v>
      </c>
      <c r="O12" s="12" t="s">
        <v>66</v>
      </c>
      <c r="P12">
        <v>995543</v>
      </c>
      <c r="R12" s="11">
        <f>iferror(lookup(if(Q12="",G12,Q12),{0,1,10,100,1000,10000},{0.0,0.099,0.01,0.003,0.002,0.001}),"")</f>
        <v>0</v>
      </c>
      <c r="S12" s="11">
        <f>iferror(if(Q12="",G12,Q12)*R12,"")</f>
        <v>0</v>
      </c>
      <c r="T12" t="s">
        <v>81</v>
      </c>
      <c r="U12" s="12" t="s">
        <v>66</v>
      </c>
      <c r="V12">
        <v>7873</v>
      </c>
      <c r="X12" s="11">
        <f>iferror(lookup(if(W12="",G12,W12),{0,1,10,25,100,250,1000},{0.0,0.09,0.015,0.011,0.006,0.005,0.003}),"")</f>
        <v>0</v>
      </c>
      <c r="Y12" s="11">
        <f>iferror(if(W12="",G12,W12)*X12,"")</f>
        <v>0</v>
      </c>
      <c r="Z12" t="s">
        <v>92</v>
      </c>
      <c r="AA12" s="12" t="s">
        <v>66</v>
      </c>
    </row>
    <row r="13" spans="1:27">
      <c r="A13" t="s">
        <v>31</v>
      </c>
      <c r="B13" t="s">
        <v>32</v>
      </c>
      <c r="D13" t="s">
        <v>33</v>
      </c>
      <c r="F13" t="s">
        <v>34</v>
      </c>
      <c r="G13">
        <f>BoardQty*2</f>
        <v>0</v>
      </c>
      <c r="H13" s="11">
        <f>MINA(INDIRECT(ADDRESS(ROW(),COLUMN(newark_part_data)+2)),INDIRECT(ADDRESS(ROW(),COLUMN(digikey_part_data)+2)),INDIRECT(ADDRESS(ROW(),COLUMN(mouser_part_data)+2)))</f>
        <v>0</v>
      </c>
      <c r="I13" s="11">
        <f>iferror(G13*H13,"")</f>
        <v>0</v>
      </c>
      <c r="J13">
        <v>147265</v>
      </c>
      <c r="L13" s="11">
        <f>iferror(lookup(if(K13="",G13,K13),{0,1,10,25,50,100,250,500,1000,2000,4000,10000,14000,50000,100000},{0.0,0.28,0.237,0.1628,0.1332,0.1184,0.0888,0.07844,0.06956,0.0592,0.05476,0.0518,0.04914,0.0444,0.03922}),"")</f>
        <v>0</v>
      </c>
      <c r="M13" s="11">
        <f>iferror(if(K13="",G13,K13)*L13,"")</f>
        <v>0</v>
      </c>
      <c r="N13" t="s">
        <v>70</v>
      </c>
      <c r="O13" s="12" t="s">
        <v>66</v>
      </c>
      <c r="P13">
        <v>23076</v>
      </c>
      <c r="R13" s="11">
        <f>iferror(lookup(if(Q13="",G13,Q13),{0,1,10,100,1000,2000,10000,24000,50000,100000},{0.0,0.279,0.134,0.078,0.07,0.055,0.05,0.048,0.045,0.04}),"")</f>
        <v>0</v>
      </c>
      <c r="S13" s="11">
        <f>iferror(if(Q13="",G13,Q13)*R13,"")</f>
        <v>0</v>
      </c>
      <c r="T13" t="s">
        <v>82</v>
      </c>
      <c r="U13" s="12" t="s">
        <v>66</v>
      </c>
      <c r="V13">
        <v>1079</v>
      </c>
      <c r="X13" s="11">
        <f>iferror(lookup(if(W13="",G13,W13),{0,1,10,25,50,100,250,500,1000},{0.0,0.318,0.296,0.195,0.162,0.138,0.111,0.098,0.087}),"")</f>
        <v>0</v>
      </c>
      <c r="Y13" s="11">
        <f>iferror(if(W13="",G13,W13)*X13,"")</f>
        <v>0</v>
      </c>
      <c r="Z13" t="s">
        <v>93</v>
      </c>
      <c r="AA13" s="12" t="s">
        <v>66</v>
      </c>
    </row>
    <row r="14" spans="1:27">
      <c r="A14" t="s">
        <v>35</v>
      </c>
      <c r="B14" t="s">
        <v>36</v>
      </c>
      <c r="D14" t="s">
        <v>37</v>
      </c>
      <c r="F14" t="s">
        <v>36</v>
      </c>
      <c r="G14">
        <f>BoardQty*1</f>
        <v>0</v>
      </c>
      <c r="H14" s="11">
        <f>MINA(INDIRECT(ADDRESS(ROW(),COLUMN(newark_part_data)+2)),INDIRECT(ADDRESS(ROW(),COLUMN(digikey_part_data)+2)),INDIRECT(ADDRESS(ROW(),COLUMN(mouser_part_data)+2)))</f>
        <v>0</v>
      </c>
      <c r="I14" s="11">
        <f>iferror(G14*H14,"")</f>
        <v>0</v>
      </c>
      <c r="J14">
        <v>2833</v>
      </c>
      <c r="L14" s="11">
        <f>iferror(lookup(if(K14="",G14,K14),{0,1,10,25,100,250,500,1000,2000,5000,10000,25000},{0.0,4.09,3.664,3.2944,2.9962,2.7122,2.4282,1.988,1.8886,1.8176,1.7608,1.704}),"")</f>
        <v>0</v>
      </c>
      <c r="M14" s="11">
        <f>iferror(if(K14="",G14,K14)*L14,"")</f>
        <v>0</v>
      </c>
      <c r="N14" t="s">
        <v>71</v>
      </c>
      <c r="O14" s="12" t="s">
        <v>66</v>
      </c>
    </row>
    <row r="15" spans="1:27">
      <c r="A15" t="s">
        <v>38</v>
      </c>
      <c r="B15" t="s">
        <v>39</v>
      </c>
      <c r="D15" t="s">
        <v>40</v>
      </c>
      <c r="G15">
        <f>BoardQty*1</f>
        <v>0</v>
      </c>
      <c r="H15" s="11">
        <f>MINA(INDIRECT(ADDRESS(ROW(),COLUMN(newark_part_data)+2)),INDIRECT(ADDRESS(ROW(),COLUMN(digikey_part_data)+2)),INDIRECT(ADDRESS(ROW(),COLUMN(mouser_part_data)+2)))</f>
        <v>0</v>
      </c>
      <c r="I15" s="11">
        <f>iferror(G15*H15,"")</f>
        <v>0</v>
      </c>
    </row>
    <row r="16" spans="1:27">
      <c r="A16" t="s">
        <v>41</v>
      </c>
      <c r="B16" t="s">
        <v>32</v>
      </c>
      <c r="D16" t="s">
        <v>42</v>
      </c>
      <c r="F16" t="s">
        <v>43</v>
      </c>
      <c r="G16">
        <f>BoardQty*2</f>
        <v>0</v>
      </c>
      <c r="H16" s="11">
        <f>MINA(INDIRECT(ADDRESS(ROW(),COLUMN(newark_part_data)+2)),INDIRECT(ADDRESS(ROW(),COLUMN(digikey_part_data)+2)),INDIRECT(ADDRESS(ROW(),COLUMN(mouser_part_data)+2)))</f>
        <v>0</v>
      </c>
      <c r="I16" s="11">
        <f>iferror(G16*H16,"")</f>
        <v>0</v>
      </c>
      <c r="J16">
        <v>9451</v>
      </c>
      <c r="L16" s="11">
        <f>iferror(lookup(if(K16="",G16,K16),{0,1,10,25,50,100,250,500,1000,2000,4000,10000,14000,50000,100000},{0.0,0.52,0.5,0.3544,0.2984,0.2425,0.20144,0.18278,0.16785,0.11936,0.1119,0.10444,0.10258,0.09698,0.09325}),"")</f>
        <v>0</v>
      </c>
      <c r="M16" s="11">
        <f>iferror(if(K16="",G16,K16)*L16,"")</f>
        <v>0</v>
      </c>
      <c r="N16" t="s">
        <v>72</v>
      </c>
      <c r="O16" s="12" t="s">
        <v>66</v>
      </c>
      <c r="P16">
        <v>1858</v>
      </c>
      <c r="R16" s="11">
        <f>iferror(lookup(if(Q16="",G16,Q16),{0,1,10,100,500,1000,2000,4000,10000,24000},{0.0,0.519,0.298,0.202,0.182,0.168,0.12,0.111,0.102,0.094}),"")</f>
        <v>0</v>
      </c>
      <c r="S16" s="11">
        <f>iferror(if(Q16="",G16,Q16)*R16,"")</f>
        <v>0</v>
      </c>
      <c r="T16" t="s">
        <v>83</v>
      </c>
      <c r="U16" s="12" t="s">
        <v>66</v>
      </c>
      <c r="V16">
        <v>0</v>
      </c>
      <c r="X16" s="11">
        <f>iferror(lookup(if(W16="",G16,W16),{0,1,1000,5000,10000},{0.0,0.126,0.126,0.112,0.104}),"")</f>
        <v>0</v>
      </c>
      <c r="Y16" s="11">
        <f>iferror(if(W16="",G16,W16)*X16,"")</f>
        <v>0</v>
      </c>
      <c r="Z16" t="s">
        <v>94</v>
      </c>
      <c r="AA16" s="12" t="s">
        <v>66</v>
      </c>
    </row>
    <row r="17" spans="1:27">
      <c r="A17" t="s">
        <v>44</v>
      </c>
      <c r="B17" t="s">
        <v>45</v>
      </c>
      <c r="D17" t="s">
        <v>18</v>
      </c>
      <c r="F17" t="s">
        <v>46</v>
      </c>
      <c r="G17">
        <f>BoardQty*2</f>
        <v>0</v>
      </c>
      <c r="H17" s="11">
        <f>MINA(INDIRECT(ADDRESS(ROW(),COLUMN(newark_part_data)+2)),INDIRECT(ADDRESS(ROW(),COLUMN(digikey_part_data)+2)),INDIRECT(ADDRESS(ROW(),COLUMN(mouser_part_data)+2)))</f>
        <v>0</v>
      </c>
      <c r="I17" s="11">
        <f>iferror(G17*H17,"")</f>
        <v>0</v>
      </c>
      <c r="J17">
        <v>2903130</v>
      </c>
      <c r="L17" s="11">
        <f>iferror(lookup(if(K17="",G17,K17),{0,1,10,25,100,250,500,1000,2500,5000,10000,20000,30000,50000,100000},{0.0,0.1,0.012,0.0088,0.0057,0.00464,0.00396,0.00309,0.00278,0.00257,0.00216,0.00206,0.00196,0.00175,0.00141}),"")</f>
        <v>0</v>
      </c>
      <c r="M17" s="11">
        <f>iferror(if(K17="",G17,K17)*L17,"")</f>
        <v>0</v>
      </c>
      <c r="N17" t="s">
        <v>73</v>
      </c>
      <c r="O17" s="12" t="s">
        <v>66</v>
      </c>
      <c r="P17">
        <v>335519</v>
      </c>
      <c r="R17" s="11">
        <f>iferror(lookup(if(Q17="",G17,Q17),{0,1,10,100,1000,2500,10000},{0.0,0.099,0.009,0.004,0.003,0.002,0.002}),"")</f>
        <v>0</v>
      </c>
      <c r="S17" s="11">
        <f>iferror(if(Q17="",G17,Q17)*R17,"")</f>
        <v>0</v>
      </c>
      <c r="T17" t="s">
        <v>84</v>
      </c>
      <c r="U17" s="12" t="s">
        <v>66</v>
      </c>
      <c r="V17">
        <v>45881</v>
      </c>
      <c r="X17" s="11">
        <f>iferror(lookup(if(W17="",G17,W17),{0,1,10,25,100,250,500,1000,2500},{0.0,0.13,0.057,0.041,0.022,0.017,0.013,0.011,0.009}),"")</f>
        <v>0</v>
      </c>
      <c r="Y17" s="11">
        <f>iferror(if(W17="",G17,W17)*X17,"")</f>
        <v>0</v>
      </c>
      <c r="Z17" t="s">
        <v>95</v>
      </c>
      <c r="AA17" s="12" t="s">
        <v>66</v>
      </c>
    </row>
    <row r="18" spans="1:27">
      <c r="A18" t="s">
        <v>47</v>
      </c>
      <c r="B18" t="s">
        <v>48</v>
      </c>
      <c r="D18" t="s">
        <v>26</v>
      </c>
      <c r="F18" t="s">
        <v>49</v>
      </c>
      <c r="G18">
        <f>BoardQty*2</f>
        <v>0</v>
      </c>
      <c r="H18" s="11">
        <f>MINA(INDIRECT(ADDRESS(ROW(),COLUMN(newark_part_data)+2)),INDIRECT(ADDRESS(ROW(),COLUMN(digikey_part_data)+2)),INDIRECT(ADDRESS(ROW(),COLUMN(mouser_part_data)+2)))</f>
        <v>0</v>
      </c>
      <c r="I18" s="11">
        <f>iferror(G18*H18,"")</f>
        <v>0</v>
      </c>
      <c r="J18">
        <v>1036488</v>
      </c>
      <c r="L18" s="11">
        <f>iferror(lookup(if(K18="",G18,K18),{0,1,10,25,100,250,500,1000,2500,5000,10000,30000,50000,100000},{0.0,0.1,0.013,0.0096,0.0054,0.00412,0.00328,0.00242,0.0021,0.00173,0.00137,0.0012,0.0011,0.00108}),"")</f>
        <v>0</v>
      </c>
      <c r="M18" s="11">
        <f>iferror(if(K18="",G18,K18)*L18,"")</f>
        <v>0</v>
      </c>
      <c r="N18" t="s">
        <v>74</v>
      </c>
      <c r="O18" s="12" t="s">
        <v>66</v>
      </c>
      <c r="P18">
        <v>168394</v>
      </c>
      <c r="R18" s="11">
        <f>iferror(lookup(if(Q18="",G18,Q18),{0,1,10,100,1000,10000},{0.0,0.099,0.01,0.003,0.002,0.001}),"")</f>
        <v>0</v>
      </c>
      <c r="S18" s="11">
        <f>iferror(if(Q18="",G18,Q18)*R18,"")</f>
        <v>0</v>
      </c>
      <c r="T18" t="s">
        <v>85</v>
      </c>
      <c r="U18" s="12" t="s">
        <v>66</v>
      </c>
      <c r="V18">
        <v>14523</v>
      </c>
      <c r="X18" s="11">
        <f>iferror(lookup(if(W18="",G18,W18),{0,1,10,25,100,250,1000},{0.0,0.09,0.015,0.011,0.006,0.005,0.003}),"")</f>
        <v>0</v>
      </c>
      <c r="Y18" s="11">
        <f>iferror(if(W18="",G18,W18)*X18,"")</f>
        <v>0</v>
      </c>
      <c r="Z18" t="s">
        <v>96</v>
      </c>
      <c r="AA18" s="12" t="s">
        <v>66</v>
      </c>
    </row>
    <row r="19" spans="1:27">
      <c r="A19" t="s">
        <v>50</v>
      </c>
      <c r="B19" t="s">
        <v>17</v>
      </c>
      <c r="D19" t="s">
        <v>33</v>
      </c>
      <c r="F19" t="s">
        <v>34</v>
      </c>
      <c r="G19">
        <f>BoardQty*1</f>
        <v>0</v>
      </c>
      <c r="H19" s="11">
        <f>MINA(INDIRECT(ADDRESS(ROW(),COLUMN(newark_part_data)+2)),INDIRECT(ADDRESS(ROW(),COLUMN(digikey_part_data)+2)),INDIRECT(ADDRESS(ROW(),COLUMN(mouser_part_data)+2)))</f>
        <v>0</v>
      </c>
      <c r="I19" s="11">
        <f>iferror(G19*H19,"")</f>
        <v>0</v>
      </c>
      <c r="J19">
        <v>147265</v>
      </c>
      <c r="L19" s="11">
        <f>iferror(lookup(if(K19="",G19,K19),{0,1,10,25,50,100,250,500,1000,2000,4000,10000,14000,50000,100000},{0.0,0.28,0.237,0.1628,0.1332,0.1184,0.0888,0.07844,0.06956,0.0592,0.05476,0.0518,0.04914,0.0444,0.03922}),"")</f>
        <v>0</v>
      </c>
      <c r="M19" s="11">
        <f>iferror(if(K19="",G19,K19)*L19,"")</f>
        <v>0</v>
      </c>
      <c r="N19" t="s">
        <v>70</v>
      </c>
      <c r="O19" s="12" t="s">
        <v>66</v>
      </c>
      <c r="P19">
        <v>23076</v>
      </c>
      <c r="R19" s="11">
        <f>iferror(lookup(if(Q19="",G19,Q19),{0,1,10,100,1000,2000,10000,24000,50000,100000},{0.0,0.279,0.134,0.078,0.07,0.055,0.05,0.048,0.045,0.04}),"")</f>
        <v>0</v>
      </c>
      <c r="S19" s="11">
        <f>iferror(if(Q19="",G19,Q19)*R19,"")</f>
        <v>0</v>
      </c>
      <c r="T19" t="s">
        <v>82</v>
      </c>
      <c r="U19" s="12" t="s">
        <v>66</v>
      </c>
      <c r="V19">
        <v>1079</v>
      </c>
      <c r="X19" s="11">
        <f>iferror(lookup(if(W19="",G19,W19),{0,1,10,25,50,100,250,500,1000},{0.0,0.318,0.296,0.195,0.162,0.138,0.111,0.098,0.087}),"")</f>
        <v>0</v>
      </c>
      <c r="Y19" s="11">
        <f>iferror(if(W19="",G19,W19)*X19,"")</f>
        <v>0</v>
      </c>
      <c r="Z19" t="s">
        <v>93</v>
      </c>
      <c r="AA19" s="12" t="s">
        <v>66</v>
      </c>
    </row>
    <row r="20" spans="1:27">
      <c r="A20" t="s">
        <v>51</v>
      </c>
      <c r="B20" t="s">
        <v>17</v>
      </c>
      <c r="D20" t="s">
        <v>42</v>
      </c>
      <c r="F20" t="s">
        <v>52</v>
      </c>
      <c r="G20">
        <f>BoardQty*2</f>
        <v>0</v>
      </c>
      <c r="H20" s="11">
        <f>MINA(INDIRECT(ADDRESS(ROW(),COLUMN(newark_part_data)+2)),INDIRECT(ADDRESS(ROW(),COLUMN(digikey_part_data)+2)),INDIRECT(ADDRESS(ROW(),COLUMN(mouser_part_data)+2)))</f>
        <v>0</v>
      </c>
      <c r="I20" s="11">
        <f>iferror(G20*H20,"")</f>
        <v>0</v>
      </c>
      <c r="J20">
        <v>1424</v>
      </c>
      <c r="L20" s="11">
        <f>iferror(lookup(if(K20="",G20,K20),{0,1,10,25,50,100,250,500,1000,2000,4000,10000,14000,50000,100000},{0.0,0.52,0.5,0.3544,0.2984,0.2425,0.20144,0.18278,0.16785,0.11936,0.1119,0.10444,0.10258,0.09698,0.09325}),"")</f>
        <v>0</v>
      </c>
      <c r="M20" s="11">
        <f>iferror(if(K20="",G20,K20)*L20,"")</f>
        <v>0</v>
      </c>
      <c r="N20" t="s">
        <v>75</v>
      </c>
      <c r="O20" s="12" t="s">
        <v>66</v>
      </c>
      <c r="P20">
        <v>0</v>
      </c>
      <c r="R20" s="11">
        <f>iferror(lookup(if(Q20="",G20,Q20),{0,1,10,100,500,1000,2000},{0.0,0.379,0.268,0.131,0.13,0.111,0.105}),"")</f>
        <v>0</v>
      </c>
      <c r="S20" s="11">
        <f>iferror(if(Q20="",G20,Q20)*R20,"")</f>
        <v>0</v>
      </c>
      <c r="T20" t="s">
        <v>86</v>
      </c>
      <c r="U20" s="12" t="s">
        <v>66</v>
      </c>
      <c r="V20">
        <v>0</v>
      </c>
      <c r="X20" s="11">
        <f>iferror(lookup(if(W20="",G20,W20),{0,1,1000,5000,10000},{0.0,0.126,0.126,0.112,0.104}),"")</f>
        <v>0</v>
      </c>
      <c r="Y20" s="11">
        <f>iferror(if(W20="",G20,W20)*X20,"")</f>
        <v>0</v>
      </c>
      <c r="Z20" t="s">
        <v>97</v>
      </c>
      <c r="AA20" s="12" t="s">
        <v>66</v>
      </c>
    </row>
    <row r="21" spans="1:27">
      <c r="A21" t="s">
        <v>53</v>
      </c>
      <c r="B21" t="s">
        <v>54</v>
      </c>
      <c r="D21" t="s">
        <v>55</v>
      </c>
      <c r="F21" t="s">
        <v>56</v>
      </c>
      <c r="G21">
        <f>BoardQty*1</f>
        <v>0</v>
      </c>
      <c r="H21" s="11">
        <f>MINA(INDIRECT(ADDRESS(ROW(),COLUMN(newark_part_data)+2)),INDIRECT(ADDRESS(ROW(),COLUMN(digikey_part_data)+2)),INDIRECT(ADDRESS(ROW(),COLUMN(mouser_part_data)+2)))</f>
        <v>0</v>
      </c>
      <c r="I21" s="11">
        <f>iferror(G21*H21,"")</f>
        <v>0</v>
      </c>
      <c r="J21">
        <v>2083</v>
      </c>
      <c r="L21" s="11">
        <f>iferror(lookup(if(K21="",G21,K21),{0,1,10,25,50,100,250,500,1000,2500},{0.0,0.4,0.378,0.324,0.2754,0.2646,0.2376,0.2268,0.189,0.1728}),"")</f>
        <v>0</v>
      </c>
      <c r="M21" s="11">
        <f>iferror(if(K21="",G21,K21)*L21,"")</f>
        <v>0</v>
      </c>
      <c r="N21" t="s">
        <v>76</v>
      </c>
      <c r="O21" s="12" t="s">
        <v>66</v>
      </c>
      <c r="P21">
        <v>2354</v>
      </c>
      <c r="R21" s="11">
        <f>iferror(lookup(if(Q21="",G21,Q21),{0,1,10,100,500,1000,2500},{0.0,0.385,0.271,0.234,0.223,0.186,0.173}),"")</f>
        <v>0</v>
      </c>
      <c r="S21" s="11">
        <f>iferror(if(Q21="",G21,Q21)*R21,"")</f>
        <v>0</v>
      </c>
      <c r="T21" t="s">
        <v>87</v>
      </c>
      <c r="U21" s="12" t="s">
        <v>66</v>
      </c>
      <c r="V21">
        <v>1011</v>
      </c>
      <c r="X21" s="11">
        <f>iferror(lookup(if(W21="",G21,W21),{0,1,10,25,50,100,250,500,1000},{0.0,0.346,0.324,0.292,0.26,0.249,0.227,0.216,0.179}),"")</f>
        <v>0</v>
      </c>
      <c r="Y21" s="11">
        <f>iferror(if(W21="",G21,W21)*X21,"")</f>
        <v>0</v>
      </c>
      <c r="Z21" t="s">
        <v>98</v>
      </c>
      <c r="AA21" s="12" t="s">
        <v>66</v>
      </c>
    </row>
    <row r="23" spans="1:27">
      <c r="K23">
        <f t="array" ref="K23">IFERROR(CONCATENATE(TEXT(INDEX($K$7:$K$21,SMALL(IF($N$7:$N$21&lt;&gt;"",IF($K$7:$K$21&lt;&gt;"",ROW($K$7:$K$21)-MIN(ROW($K$7:$K$21))+1,""),""),ROW()-ROW(A$23)+1)),"##0"),","),"")</f>
        <v>0</v>
      </c>
      <c r="L23">
        <f t="array" ref="L23">IFERROR(CONCATENATE((INDEX($N$7:$N$21,SMALL(IF($N$7:$N$21&lt;&gt;"",IF($K$7:$K$21&lt;&gt;"",ROW($K$7:$K$21)-MIN(ROW($K$7:$K$21))+1,""),""),ROW()-ROW(A$23)+1))),","),"")</f>
        <v>0</v>
      </c>
      <c r="M23">
        <f t="array" ref="M23">IFERROR(CONCATENATE((INDEX($A$7:$A$21,SMALL(IF($N$7:$N$21&lt;&gt;"",IF($K$7:$K$21&lt;&gt;"",ROW($K$7:$K$21)-MIN(ROW($K$7:$K$21))+1,""),""),ROW()-ROW(A$23)+1))),),"")</f>
        <v>0</v>
      </c>
      <c r="Q23">
        <f t="array" ref="Q23">IFERROR(CONCATENATE((INDEX($T$7:$T$21,SMALL(IF($T$7:$T$21&lt;&gt;"",IF($Q$7:$Q$21&lt;&gt;"",ROW($Q$7:$Q$21)-MIN(ROW($Q$7:$Q$21))+1,""),""),ROW()-ROW(A$23)+1)))," "),"")</f>
        <v>0</v>
      </c>
      <c r="R23">
        <f t="array" ref="R23">IFERROR(CONCATENATE(TEXT(INDEX($Q$7:$Q$21,SMALL(IF($T$7:$T$21&lt;&gt;"",IF($Q$7:$Q$21&lt;&gt;"",ROW($Q$7:$Q$21)-MIN(ROW($Q$7:$Q$21))+1,""),""),ROW()-ROW(A$23)+1)),"##0")," "),"")</f>
        <v>0</v>
      </c>
      <c r="S23">
        <f t="array" ref="S23">IFERROR(CONCATENATE((INDEX($A$7:$A$21,SMALL(IF($T$7:$T$21&lt;&gt;"",IF($Q$7:$Q$21&lt;&gt;"",ROW($Q$7:$Q$21)-MIN(ROW($Q$7:$Q$21))+1,""),""),ROW()-ROW(A$23)+1))),),"")</f>
        <v>0</v>
      </c>
      <c r="W23">
        <f t="array" ref="W23">IFERROR(CONCATENATE((INDEX($Z$7:$Z$21,SMALL(IF($Z$7:$Z$21&lt;&gt;"",IF($W$7:$W$21&lt;&gt;"",ROW($W$7:$W$21)-MIN(ROW($W$7:$W$21))+1,""),""),ROW()-ROW(A$23)+1))),","),"")</f>
        <v>0</v>
      </c>
      <c r="X23">
        <f t="array" ref="X23">IFERROR(CONCATENATE(TEXT(INDEX($W$7:$W$21,SMALL(IF($Z$7:$Z$21&lt;&gt;"",IF($W$7:$W$21&lt;&gt;"",ROW($W$7:$W$21)-MIN(ROW($W$7:$W$21))+1,""),""),ROW()-ROW(A$23)+1)),"##0"),","),"")</f>
        <v>0</v>
      </c>
      <c r="Y23">
        <f t="array" ref="Y23">IFERROR(CONCATENATE((INDEX($A$7:$A$21,SMALL(IF($Z$7:$Z$21&lt;&gt;"",IF($W$7:$W$21&lt;&gt;"",ROW($W$7:$W$21)-MIN(ROW($W$7:$W$21))+1,""),""),ROW()-ROW(A$23)+1))),),"")</f>
        <v>0</v>
      </c>
    </row>
    <row r="24" spans="1:27">
      <c r="K24">
        <f t="array" ref="K24">IFERROR(CONCATENATE(TEXT(INDEX($K$7:$K$21,SMALL(IF($N$7:$N$21&lt;&gt;"",IF($K$7:$K$21&lt;&gt;"",ROW($K$7:$K$21)-MIN(ROW($K$7:$K$21))+1,""),""),ROW()-ROW(A$23)+1)),"##0"),","),"")</f>
        <v>0</v>
      </c>
      <c r="L24">
        <f t="array" ref="L24">IFERROR(CONCATENATE((INDEX($N$7:$N$21,SMALL(IF($N$7:$N$21&lt;&gt;"",IF($K$7:$K$21&lt;&gt;"",ROW($K$7:$K$21)-MIN(ROW($K$7:$K$21))+1,""),""),ROW()-ROW(A$23)+1))),","),"")</f>
        <v>0</v>
      </c>
      <c r="M24">
        <f t="array" ref="M24">IFERROR(CONCATENATE((INDEX($A$7:$A$21,SMALL(IF($N$7:$N$21&lt;&gt;"",IF($K$7:$K$21&lt;&gt;"",ROW($K$7:$K$21)-MIN(ROW($K$7:$K$21))+1,""),""),ROW()-ROW(A$23)+1))),),"")</f>
        <v>0</v>
      </c>
      <c r="Q24">
        <f t="array" ref="Q24">IFERROR(CONCATENATE((INDEX($T$7:$T$21,SMALL(IF($T$7:$T$21&lt;&gt;"",IF($Q$7:$Q$21&lt;&gt;"",ROW($Q$7:$Q$21)-MIN(ROW($Q$7:$Q$21))+1,""),""),ROW()-ROW(A$23)+1)))," "),"")</f>
        <v>0</v>
      </c>
      <c r="R24">
        <f t="array" ref="R24">IFERROR(CONCATENATE(TEXT(INDEX($Q$7:$Q$21,SMALL(IF($T$7:$T$21&lt;&gt;"",IF($Q$7:$Q$21&lt;&gt;"",ROW($Q$7:$Q$21)-MIN(ROW($Q$7:$Q$21))+1,""),""),ROW()-ROW(A$23)+1)),"##0")," "),"")</f>
        <v>0</v>
      </c>
      <c r="S24">
        <f t="array" ref="S24">IFERROR(CONCATENATE((INDEX($A$7:$A$21,SMALL(IF($T$7:$T$21&lt;&gt;"",IF($Q$7:$Q$21&lt;&gt;"",ROW($Q$7:$Q$21)-MIN(ROW($Q$7:$Q$21))+1,""),""),ROW()-ROW(A$23)+1))),),"")</f>
        <v>0</v>
      </c>
      <c r="W24">
        <f t="array" ref="W24">IFERROR(CONCATENATE((INDEX($Z$7:$Z$21,SMALL(IF($Z$7:$Z$21&lt;&gt;"",IF($W$7:$W$21&lt;&gt;"",ROW($W$7:$W$21)-MIN(ROW($W$7:$W$21))+1,""),""),ROW()-ROW(A$23)+1))),","),"")</f>
        <v>0</v>
      </c>
      <c r="X24">
        <f t="array" ref="X24">IFERROR(CONCATENATE(TEXT(INDEX($W$7:$W$21,SMALL(IF($Z$7:$Z$21&lt;&gt;"",IF($W$7:$W$21&lt;&gt;"",ROW($W$7:$W$21)-MIN(ROW($W$7:$W$21))+1,""),""),ROW()-ROW(A$23)+1)),"##0"),","),"")</f>
        <v>0</v>
      </c>
      <c r="Y24">
        <f t="array" ref="Y24">IFERROR(CONCATENATE((INDEX($A$7:$A$21,SMALL(IF($Z$7:$Z$21&lt;&gt;"",IF($W$7:$W$21&lt;&gt;"",ROW($W$7:$W$21)-MIN(ROW($W$7:$W$21))+1,""),""),ROW()-ROW(A$23)+1))),),"")</f>
        <v>0</v>
      </c>
    </row>
    <row r="25" spans="1:27">
      <c r="K25">
        <f t="array" ref="K25">IFERROR(CONCATENATE(TEXT(INDEX($K$7:$K$21,SMALL(IF($N$7:$N$21&lt;&gt;"",IF($K$7:$K$21&lt;&gt;"",ROW($K$7:$K$21)-MIN(ROW($K$7:$K$21))+1,""),""),ROW()-ROW(A$23)+1)),"##0"),","),"")</f>
        <v>0</v>
      </c>
      <c r="L25">
        <f t="array" ref="L25">IFERROR(CONCATENATE((INDEX($N$7:$N$21,SMALL(IF($N$7:$N$21&lt;&gt;"",IF($K$7:$K$21&lt;&gt;"",ROW($K$7:$K$21)-MIN(ROW($K$7:$K$21))+1,""),""),ROW()-ROW(A$23)+1))),","),"")</f>
        <v>0</v>
      </c>
      <c r="M25">
        <f t="array" ref="M25">IFERROR(CONCATENATE((INDEX($A$7:$A$21,SMALL(IF($N$7:$N$21&lt;&gt;"",IF($K$7:$K$21&lt;&gt;"",ROW($K$7:$K$21)-MIN(ROW($K$7:$K$21))+1,""),""),ROW()-ROW(A$23)+1))),),"")</f>
        <v>0</v>
      </c>
      <c r="Q25">
        <f t="array" ref="Q25">IFERROR(CONCATENATE((INDEX($T$7:$T$21,SMALL(IF($T$7:$T$21&lt;&gt;"",IF($Q$7:$Q$21&lt;&gt;"",ROW($Q$7:$Q$21)-MIN(ROW($Q$7:$Q$21))+1,""),""),ROW()-ROW(A$23)+1)))," "),"")</f>
        <v>0</v>
      </c>
      <c r="R25">
        <f t="array" ref="R25">IFERROR(CONCATENATE(TEXT(INDEX($Q$7:$Q$21,SMALL(IF($T$7:$T$21&lt;&gt;"",IF($Q$7:$Q$21&lt;&gt;"",ROW($Q$7:$Q$21)-MIN(ROW($Q$7:$Q$21))+1,""),""),ROW()-ROW(A$23)+1)),"##0")," "),"")</f>
        <v>0</v>
      </c>
      <c r="S25">
        <f t="array" ref="S25">IFERROR(CONCATENATE((INDEX($A$7:$A$21,SMALL(IF($T$7:$T$21&lt;&gt;"",IF($Q$7:$Q$21&lt;&gt;"",ROW($Q$7:$Q$21)-MIN(ROW($Q$7:$Q$21))+1,""),""),ROW()-ROW(A$23)+1))),),"")</f>
        <v>0</v>
      </c>
      <c r="W25">
        <f t="array" ref="W25">IFERROR(CONCATENATE((INDEX($Z$7:$Z$21,SMALL(IF($Z$7:$Z$21&lt;&gt;"",IF($W$7:$W$21&lt;&gt;"",ROW($W$7:$W$21)-MIN(ROW($W$7:$W$21))+1,""),""),ROW()-ROW(A$23)+1))),","),"")</f>
        <v>0</v>
      </c>
      <c r="X25">
        <f t="array" ref="X25">IFERROR(CONCATENATE(TEXT(INDEX($W$7:$W$21,SMALL(IF($Z$7:$Z$21&lt;&gt;"",IF($W$7:$W$21&lt;&gt;"",ROW($W$7:$W$21)-MIN(ROW($W$7:$W$21))+1,""),""),ROW()-ROW(A$23)+1)),"##0"),","),"")</f>
        <v>0</v>
      </c>
      <c r="Y25">
        <f t="array" ref="Y25">IFERROR(CONCATENATE((INDEX($A$7:$A$21,SMALL(IF($Z$7:$Z$21&lt;&gt;"",IF($W$7:$W$21&lt;&gt;"",ROW($W$7:$W$21)-MIN(ROW($W$7:$W$21))+1,""),""),ROW()-ROW(A$23)+1))),),"")</f>
        <v>0</v>
      </c>
    </row>
    <row r="26" spans="1:27">
      <c r="K26">
        <f t="array" ref="K26">IFERROR(CONCATENATE(TEXT(INDEX($K$7:$K$21,SMALL(IF($N$7:$N$21&lt;&gt;"",IF($K$7:$K$21&lt;&gt;"",ROW($K$7:$K$21)-MIN(ROW($K$7:$K$21))+1,""),""),ROW()-ROW(A$23)+1)),"##0"),","),"")</f>
        <v>0</v>
      </c>
      <c r="L26">
        <f t="array" ref="L26">IFERROR(CONCATENATE((INDEX($N$7:$N$21,SMALL(IF($N$7:$N$21&lt;&gt;"",IF($K$7:$K$21&lt;&gt;"",ROW($K$7:$K$21)-MIN(ROW($K$7:$K$21))+1,""),""),ROW()-ROW(A$23)+1))),","),"")</f>
        <v>0</v>
      </c>
      <c r="M26">
        <f t="array" ref="M26">IFERROR(CONCATENATE((INDEX($A$7:$A$21,SMALL(IF($N$7:$N$21&lt;&gt;"",IF($K$7:$K$21&lt;&gt;"",ROW($K$7:$K$21)-MIN(ROW($K$7:$K$21))+1,""),""),ROW()-ROW(A$23)+1))),),"")</f>
        <v>0</v>
      </c>
      <c r="Q26">
        <f t="array" ref="Q26">IFERROR(CONCATENATE((INDEX($T$7:$T$21,SMALL(IF($T$7:$T$21&lt;&gt;"",IF($Q$7:$Q$21&lt;&gt;"",ROW($Q$7:$Q$21)-MIN(ROW($Q$7:$Q$21))+1,""),""),ROW()-ROW(A$23)+1)))," "),"")</f>
        <v>0</v>
      </c>
      <c r="R26">
        <f t="array" ref="R26">IFERROR(CONCATENATE(TEXT(INDEX($Q$7:$Q$21,SMALL(IF($T$7:$T$21&lt;&gt;"",IF($Q$7:$Q$21&lt;&gt;"",ROW($Q$7:$Q$21)-MIN(ROW($Q$7:$Q$21))+1,""),""),ROW()-ROW(A$23)+1)),"##0")," "),"")</f>
        <v>0</v>
      </c>
      <c r="S26">
        <f t="array" ref="S26">IFERROR(CONCATENATE((INDEX($A$7:$A$21,SMALL(IF($T$7:$T$21&lt;&gt;"",IF($Q$7:$Q$21&lt;&gt;"",ROW($Q$7:$Q$21)-MIN(ROW($Q$7:$Q$21))+1,""),""),ROW()-ROW(A$23)+1))),),"")</f>
        <v>0</v>
      </c>
      <c r="W26">
        <f t="array" ref="W26">IFERROR(CONCATENATE((INDEX($Z$7:$Z$21,SMALL(IF($Z$7:$Z$21&lt;&gt;"",IF($W$7:$W$21&lt;&gt;"",ROW($W$7:$W$21)-MIN(ROW($W$7:$W$21))+1,""),""),ROW()-ROW(A$23)+1))),","),"")</f>
        <v>0</v>
      </c>
      <c r="X26">
        <f t="array" ref="X26">IFERROR(CONCATENATE(TEXT(INDEX($W$7:$W$21,SMALL(IF($Z$7:$Z$21&lt;&gt;"",IF($W$7:$W$21&lt;&gt;"",ROW($W$7:$W$21)-MIN(ROW($W$7:$W$21))+1,""),""),ROW()-ROW(A$23)+1)),"##0"),","),"")</f>
        <v>0</v>
      </c>
      <c r="Y26">
        <f t="array" ref="Y26">IFERROR(CONCATENATE((INDEX($A$7:$A$21,SMALL(IF($Z$7:$Z$21&lt;&gt;"",IF($W$7:$W$21&lt;&gt;"",ROW($W$7:$W$21)-MIN(ROW($W$7:$W$21))+1,""),""),ROW()-ROW(A$23)+1))),),"")</f>
        <v>0</v>
      </c>
    </row>
    <row r="27" spans="1:27">
      <c r="K27">
        <f t="array" ref="K27">IFERROR(CONCATENATE(TEXT(INDEX($K$7:$K$21,SMALL(IF($N$7:$N$21&lt;&gt;"",IF($K$7:$K$21&lt;&gt;"",ROW($K$7:$K$21)-MIN(ROW($K$7:$K$21))+1,""),""),ROW()-ROW(A$23)+1)),"##0"),","),"")</f>
        <v>0</v>
      </c>
      <c r="L27">
        <f t="array" ref="L27">IFERROR(CONCATENATE((INDEX($N$7:$N$21,SMALL(IF($N$7:$N$21&lt;&gt;"",IF($K$7:$K$21&lt;&gt;"",ROW($K$7:$K$21)-MIN(ROW($K$7:$K$21))+1,""),""),ROW()-ROW(A$23)+1))),","),"")</f>
        <v>0</v>
      </c>
      <c r="M27">
        <f t="array" ref="M27">IFERROR(CONCATENATE((INDEX($A$7:$A$21,SMALL(IF($N$7:$N$21&lt;&gt;"",IF($K$7:$K$21&lt;&gt;"",ROW($K$7:$K$21)-MIN(ROW($K$7:$K$21))+1,""),""),ROW()-ROW(A$23)+1))),),"")</f>
        <v>0</v>
      </c>
      <c r="Q27">
        <f t="array" ref="Q27">IFERROR(CONCATENATE((INDEX($T$7:$T$21,SMALL(IF($T$7:$T$21&lt;&gt;"",IF($Q$7:$Q$21&lt;&gt;"",ROW($Q$7:$Q$21)-MIN(ROW($Q$7:$Q$21))+1,""),""),ROW()-ROW(A$23)+1)))," "),"")</f>
        <v>0</v>
      </c>
      <c r="R27">
        <f t="array" ref="R27">IFERROR(CONCATENATE(TEXT(INDEX($Q$7:$Q$21,SMALL(IF($T$7:$T$21&lt;&gt;"",IF($Q$7:$Q$21&lt;&gt;"",ROW($Q$7:$Q$21)-MIN(ROW($Q$7:$Q$21))+1,""),""),ROW()-ROW(A$23)+1)),"##0")," "),"")</f>
        <v>0</v>
      </c>
      <c r="S27">
        <f t="array" ref="S27">IFERROR(CONCATENATE((INDEX($A$7:$A$21,SMALL(IF($T$7:$T$21&lt;&gt;"",IF($Q$7:$Q$21&lt;&gt;"",ROW($Q$7:$Q$21)-MIN(ROW($Q$7:$Q$21))+1,""),""),ROW()-ROW(A$23)+1))),),"")</f>
        <v>0</v>
      </c>
      <c r="W27">
        <f t="array" ref="W27">IFERROR(CONCATENATE((INDEX($Z$7:$Z$21,SMALL(IF($Z$7:$Z$21&lt;&gt;"",IF($W$7:$W$21&lt;&gt;"",ROW($W$7:$W$21)-MIN(ROW($W$7:$W$21))+1,""),""),ROW()-ROW(A$23)+1))),","),"")</f>
        <v>0</v>
      </c>
      <c r="X27">
        <f t="array" ref="X27">IFERROR(CONCATENATE(TEXT(INDEX($W$7:$W$21,SMALL(IF($Z$7:$Z$21&lt;&gt;"",IF($W$7:$W$21&lt;&gt;"",ROW($W$7:$W$21)-MIN(ROW($W$7:$W$21))+1,""),""),ROW()-ROW(A$23)+1)),"##0"),","),"")</f>
        <v>0</v>
      </c>
      <c r="Y27">
        <f t="array" ref="Y27">IFERROR(CONCATENATE((INDEX($A$7:$A$21,SMALL(IF($Z$7:$Z$21&lt;&gt;"",IF($W$7:$W$21&lt;&gt;"",ROW($W$7:$W$21)-MIN(ROW($W$7:$W$21))+1,""),""),ROW()-ROW(A$23)+1))),),"")</f>
        <v>0</v>
      </c>
    </row>
    <row r="28" spans="1:27">
      <c r="K28">
        <f t="array" ref="K28">IFERROR(CONCATENATE(TEXT(INDEX($K$7:$K$21,SMALL(IF($N$7:$N$21&lt;&gt;"",IF($K$7:$K$21&lt;&gt;"",ROW($K$7:$K$21)-MIN(ROW($K$7:$K$21))+1,""),""),ROW()-ROW(A$23)+1)),"##0"),","),"")</f>
        <v>0</v>
      </c>
      <c r="L28">
        <f t="array" ref="L28">IFERROR(CONCATENATE((INDEX($N$7:$N$21,SMALL(IF($N$7:$N$21&lt;&gt;"",IF($K$7:$K$21&lt;&gt;"",ROW($K$7:$K$21)-MIN(ROW($K$7:$K$21))+1,""),""),ROW()-ROW(A$23)+1))),","),"")</f>
        <v>0</v>
      </c>
      <c r="M28">
        <f t="array" ref="M28">IFERROR(CONCATENATE((INDEX($A$7:$A$21,SMALL(IF($N$7:$N$21&lt;&gt;"",IF($K$7:$K$21&lt;&gt;"",ROW($K$7:$K$21)-MIN(ROW($K$7:$K$21))+1,""),""),ROW()-ROW(A$23)+1))),),"")</f>
        <v>0</v>
      </c>
      <c r="Q28">
        <f t="array" ref="Q28">IFERROR(CONCATENATE((INDEX($T$7:$T$21,SMALL(IF($T$7:$T$21&lt;&gt;"",IF($Q$7:$Q$21&lt;&gt;"",ROW($Q$7:$Q$21)-MIN(ROW($Q$7:$Q$21))+1,""),""),ROW()-ROW(A$23)+1)))," "),"")</f>
        <v>0</v>
      </c>
      <c r="R28">
        <f t="array" ref="R28">IFERROR(CONCATENATE(TEXT(INDEX($Q$7:$Q$21,SMALL(IF($T$7:$T$21&lt;&gt;"",IF($Q$7:$Q$21&lt;&gt;"",ROW($Q$7:$Q$21)-MIN(ROW($Q$7:$Q$21))+1,""),""),ROW()-ROW(A$23)+1)),"##0")," "),"")</f>
        <v>0</v>
      </c>
      <c r="S28">
        <f t="array" ref="S28">IFERROR(CONCATENATE((INDEX($A$7:$A$21,SMALL(IF($T$7:$T$21&lt;&gt;"",IF($Q$7:$Q$21&lt;&gt;"",ROW($Q$7:$Q$21)-MIN(ROW($Q$7:$Q$21))+1,""),""),ROW()-ROW(A$23)+1))),),"")</f>
        <v>0</v>
      </c>
      <c r="W28">
        <f t="array" ref="W28">IFERROR(CONCATENATE((INDEX($Z$7:$Z$21,SMALL(IF($Z$7:$Z$21&lt;&gt;"",IF($W$7:$W$21&lt;&gt;"",ROW($W$7:$W$21)-MIN(ROW($W$7:$W$21))+1,""),""),ROW()-ROW(A$23)+1))),","),"")</f>
        <v>0</v>
      </c>
      <c r="X28">
        <f t="array" ref="X28">IFERROR(CONCATENATE(TEXT(INDEX($W$7:$W$21,SMALL(IF($Z$7:$Z$21&lt;&gt;"",IF($W$7:$W$21&lt;&gt;"",ROW($W$7:$W$21)-MIN(ROW($W$7:$W$21))+1,""),""),ROW()-ROW(A$23)+1)),"##0"),","),"")</f>
        <v>0</v>
      </c>
      <c r="Y28">
        <f t="array" ref="Y28">IFERROR(CONCATENATE((INDEX($A$7:$A$21,SMALL(IF($Z$7:$Z$21&lt;&gt;"",IF($W$7:$W$21&lt;&gt;"",ROW($W$7:$W$21)-MIN(ROW($W$7:$W$21))+1,""),""),ROW()-ROW(A$23)+1))),),"")</f>
        <v>0</v>
      </c>
    </row>
    <row r="29" spans="1:27">
      <c r="K29">
        <f t="array" ref="K29">IFERROR(CONCATENATE(TEXT(INDEX($K$7:$K$21,SMALL(IF($N$7:$N$21&lt;&gt;"",IF($K$7:$K$21&lt;&gt;"",ROW($K$7:$K$21)-MIN(ROW($K$7:$K$21))+1,""),""),ROW()-ROW(A$23)+1)),"##0"),","),"")</f>
        <v>0</v>
      </c>
      <c r="L29">
        <f t="array" ref="L29">IFERROR(CONCATENATE((INDEX($N$7:$N$21,SMALL(IF($N$7:$N$21&lt;&gt;"",IF($K$7:$K$21&lt;&gt;"",ROW($K$7:$K$21)-MIN(ROW($K$7:$K$21))+1,""),""),ROW()-ROW(A$23)+1))),","),"")</f>
        <v>0</v>
      </c>
      <c r="M29">
        <f t="array" ref="M29">IFERROR(CONCATENATE((INDEX($A$7:$A$21,SMALL(IF($N$7:$N$21&lt;&gt;"",IF($K$7:$K$21&lt;&gt;"",ROW($K$7:$K$21)-MIN(ROW($K$7:$K$21))+1,""),""),ROW()-ROW(A$23)+1))),),"")</f>
        <v>0</v>
      </c>
      <c r="Q29">
        <f t="array" ref="Q29">IFERROR(CONCATENATE((INDEX($T$7:$T$21,SMALL(IF($T$7:$T$21&lt;&gt;"",IF($Q$7:$Q$21&lt;&gt;"",ROW($Q$7:$Q$21)-MIN(ROW($Q$7:$Q$21))+1,""),""),ROW()-ROW(A$23)+1)))," "),"")</f>
        <v>0</v>
      </c>
      <c r="R29">
        <f t="array" ref="R29">IFERROR(CONCATENATE(TEXT(INDEX($Q$7:$Q$21,SMALL(IF($T$7:$T$21&lt;&gt;"",IF($Q$7:$Q$21&lt;&gt;"",ROW($Q$7:$Q$21)-MIN(ROW($Q$7:$Q$21))+1,""),""),ROW()-ROW(A$23)+1)),"##0")," "),"")</f>
        <v>0</v>
      </c>
      <c r="S29">
        <f t="array" ref="S29">IFERROR(CONCATENATE((INDEX($A$7:$A$21,SMALL(IF($T$7:$T$21&lt;&gt;"",IF($Q$7:$Q$21&lt;&gt;"",ROW($Q$7:$Q$21)-MIN(ROW($Q$7:$Q$21))+1,""),""),ROW()-ROW(A$23)+1))),),"")</f>
        <v>0</v>
      </c>
      <c r="W29">
        <f t="array" ref="W29">IFERROR(CONCATENATE((INDEX($Z$7:$Z$21,SMALL(IF($Z$7:$Z$21&lt;&gt;"",IF($W$7:$W$21&lt;&gt;"",ROW($W$7:$W$21)-MIN(ROW($W$7:$W$21))+1,""),""),ROW()-ROW(A$23)+1))),","),"")</f>
        <v>0</v>
      </c>
      <c r="X29">
        <f t="array" ref="X29">IFERROR(CONCATENATE(TEXT(INDEX($W$7:$W$21,SMALL(IF($Z$7:$Z$21&lt;&gt;"",IF($W$7:$W$21&lt;&gt;"",ROW($W$7:$W$21)-MIN(ROW($W$7:$W$21))+1,""),""),ROW()-ROW(A$23)+1)),"##0"),","),"")</f>
        <v>0</v>
      </c>
      <c r="Y29">
        <f t="array" ref="Y29">IFERROR(CONCATENATE((INDEX($A$7:$A$21,SMALL(IF($Z$7:$Z$21&lt;&gt;"",IF($W$7:$W$21&lt;&gt;"",ROW($W$7:$W$21)-MIN(ROW($W$7:$W$21))+1,""),""),ROW()-ROW(A$23)+1))),),"")</f>
        <v>0</v>
      </c>
    </row>
    <row r="30" spans="1:27">
      <c r="K30">
        <f t="array" ref="K30">IFERROR(CONCATENATE(TEXT(INDEX($K$7:$K$21,SMALL(IF($N$7:$N$21&lt;&gt;"",IF($K$7:$K$21&lt;&gt;"",ROW($K$7:$K$21)-MIN(ROW($K$7:$K$21))+1,""),""),ROW()-ROW(A$23)+1)),"##0"),","),"")</f>
        <v>0</v>
      </c>
      <c r="L30">
        <f t="array" ref="L30">IFERROR(CONCATENATE((INDEX($N$7:$N$21,SMALL(IF($N$7:$N$21&lt;&gt;"",IF($K$7:$K$21&lt;&gt;"",ROW($K$7:$K$21)-MIN(ROW($K$7:$K$21))+1,""),""),ROW()-ROW(A$23)+1))),","),"")</f>
        <v>0</v>
      </c>
      <c r="M30">
        <f t="array" ref="M30">IFERROR(CONCATENATE((INDEX($A$7:$A$21,SMALL(IF($N$7:$N$21&lt;&gt;"",IF($K$7:$K$21&lt;&gt;"",ROW($K$7:$K$21)-MIN(ROW($K$7:$K$21))+1,""),""),ROW()-ROW(A$23)+1))),),"")</f>
        <v>0</v>
      </c>
      <c r="Q30">
        <f t="array" ref="Q30">IFERROR(CONCATENATE((INDEX($T$7:$T$21,SMALL(IF($T$7:$T$21&lt;&gt;"",IF($Q$7:$Q$21&lt;&gt;"",ROW($Q$7:$Q$21)-MIN(ROW($Q$7:$Q$21))+1,""),""),ROW()-ROW(A$23)+1)))," "),"")</f>
        <v>0</v>
      </c>
      <c r="R30">
        <f t="array" ref="R30">IFERROR(CONCATENATE(TEXT(INDEX($Q$7:$Q$21,SMALL(IF($T$7:$T$21&lt;&gt;"",IF($Q$7:$Q$21&lt;&gt;"",ROW($Q$7:$Q$21)-MIN(ROW($Q$7:$Q$21))+1,""),""),ROW()-ROW(A$23)+1)),"##0")," "),"")</f>
        <v>0</v>
      </c>
      <c r="S30">
        <f t="array" ref="S30">IFERROR(CONCATENATE((INDEX($A$7:$A$21,SMALL(IF($T$7:$T$21&lt;&gt;"",IF($Q$7:$Q$21&lt;&gt;"",ROW($Q$7:$Q$21)-MIN(ROW($Q$7:$Q$21))+1,""),""),ROW()-ROW(A$23)+1))),),"")</f>
        <v>0</v>
      </c>
      <c r="W30">
        <f t="array" ref="W30">IFERROR(CONCATENATE((INDEX($Z$7:$Z$21,SMALL(IF($Z$7:$Z$21&lt;&gt;"",IF($W$7:$W$21&lt;&gt;"",ROW($W$7:$W$21)-MIN(ROW($W$7:$W$21))+1,""),""),ROW()-ROW(A$23)+1))),","),"")</f>
        <v>0</v>
      </c>
      <c r="X30">
        <f t="array" ref="X30">IFERROR(CONCATENATE(TEXT(INDEX($W$7:$W$21,SMALL(IF($Z$7:$Z$21&lt;&gt;"",IF($W$7:$W$21&lt;&gt;"",ROW($W$7:$W$21)-MIN(ROW($W$7:$W$21))+1,""),""),ROW()-ROW(A$23)+1)),"##0"),","),"")</f>
        <v>0</v>
      </c>
      <c r="Y30">
        <f t="array" ref="Y30">IFERROR(CONCATENATE((INDEX($A$7:$A$21,SMALL(IF($Z$7:$Z$21&lt;&gt;"",IF($W$7:$W$21&lt;&gt;"",ROW($W$7:$W$21)-MIN(ROW($W$7:$W$21))+1,""),""),ROW()-ROW(A$23)+1))),),"")</f>
        <v>0</v>
      </c>
    </row>
    <row r="31" spans="1:27">
      <c r="K31">
        <f t="array" ref="K31">IFERROR(CONCATENATE(TEXT(INDEX($K$7:$K$21,SMALL(IF($N$7:$N$21&lt;&gt;"",IF($K$7:$K$21&lt;&gt;"",ROW($K$7:$K$21)-MIN(ROW($K$7:$K$21))+1,""),""),ROW()-ROW(A$23)+1)),"##0"),","),"")</f>
        <v>0</v>
      </c>
      <c r="L31">
        <f t="array" ref="L31">IFERROR(CONCATENATE((INDEX($N$7:$N$21,SMALL(IF($N$7:$N$21&lt;&gt;"",IF($K$7:$K$21&lt;&gt;"",ROW($K$7:$K$21)-MIN(ROW($K$7:$K$21))+1,""),""),ROW()-ROW(A$23)+1))),","),"")</f>
        <v>0</v>
      </c>
      <c r="M31">
        <f t="array" ref="M31">IFERROR(CONCATENATE((INDEX($A$7:$A$21,SMALL(IF($N$7:$N$21&lt;&gt;"",IF($K$7:$K$21&lt;&gt;"",ROW($K$7:$K$21)-MIN(ROW($K$7:$K$21))+1,""),""),ROW()-ROW(A$23)+1))),),"")</f>
        <v>0</v>
      </c>
      <c r="Q31">
        <f t="array" ref="Q31">IFERROR(CONCATENATE((INDEX($T$7:$T$21,SMALL(IF($T$7:$T$21&lt;&gt;"",IF($Q$7:$Q$21&lt;&gt;"",ROW($Q$7:$Q$21)-MIN(ROW($Q$7:$Q$21))+1,""),""),ROW()-ROW(A$23)+1)))," "),"")</f>
        <v>0</v>
      </c>
      <c r="R31">
        <f t="array" ref="R31">IFERROR(CONCATENATE(TEXT(INDEX($Q$7:$Q$21,SMALL(IF($T$7:$T$21&lt;&gt;"",IF($Q$7:$Q$21&lt;&gt;"",ROW($Q$7:$Q$21)-MIN(ROW($Q$7:$Q$21))+1,""),""),ROW()-ROW(A$23)+1)),"##0")," "),"")</f>
        <v>0</v>
      </c>
      <c r="S31">
        <f t="array" ref="S31">IFERROR(CONCATENATE((INDEX($A$7:$A$21,SMALL(IF($T$7:$T$21&lt;&gt;"",IF($Q$7:$Q$21&lt;&gt;"",ROW($Q$7:$Q$21)-MIN(ROW($Q$7:$Q$21))+1,""),""),ROW()-ROW(A$23)+1))),),"")</f>
        <v>0</v>
      </c>
      <c r="W31">
        <f t="array" ref="W31">IFERROR(CONCATENATE((INDEX($Z$7:$Z$21,SMALL(IF($Z$7:$Z$21&lt;&gt;"",IF($W$7:$W$21&lt;&gt;"",ROW($W$7:$W$21)-MIN(ROW($W$7:$W$21))+1,""),""),ROW()-ROW(A$23)+1))),","),"")</f>
        <v>0</v>
      </c>
      <c r="X31">
        <f t="array" ref="X31">IFERROR(CONCATENATE(TEXT(INDEX($W$7:$W$21,SMALL(IF($Z$7:$Z$21&lt;&gt;"",IF($W$7:$W$21&lt;&gt;"",ROW($W$7:$W$21)-MIN(ROW($W$7:$W$21))+1,""),""),ROW()-ROW(A$23)+1)),"##0"),","),"")</f>
        <v>0</v>
      </c>
      <c r="Y31">
        <f t="array" ref="Y31">IFERROR(CONCATENATE((INDEX($A$7:$A$21,SMALL(IF($Z$7:$Z$21&lt;&gt;"",IF($W$7:$W$21&lt;&gt;"",ROW($W$7:$W$21)-MIN(ROW($W$7:$W$21))+1,""),""),ROW()-ROW(A$23)+1))),),"")</f>
        <v>0</v>
      </c>
    </row>
    <row r="32" spans="1:27">
      <c r="K32">
        <f t="array" ref="K32">IFERROR(CONCATENATE(TEXT(INDEX($K$7:$K$21,SMALL(IF($N$7:$N$21&lt;&gt;"",IF($K$7:$K$21&lt;&gt;"",ROW($K$7:$K$21)-MIN(ROW($K$7:$K$21))+1,""),""),ROW()-ROW(A$23)+1)),"##0"),","),"")</f>
        <v>0</v>
      </c>
      <c r="L32">
        <f t="array" ref="L32">IFERROR(CONCATENATE((INDEX($N$7:$N$21,SMALL(IF($N$7:$N$21&lt;&gt;"",IF($K$7:$K$21&lt;&gt;"",ROW($K$7:$K$21)-MIN(ROW($K$7:$K$21))+1,""),""),ROW()-ROW(A$23)+1))),","),"")</f>
        <v>0</v>
      </c>
      <c r="M32">
        <f t="array" ref="M32">IFERROR(CONCATENATE((INDEX($A$7:$A$21,SMALL(IF($N$7:$N$21&lt;&gt;"",IF($K$7:$K$21&lt;&gt;"",ROW($K$7:$K$21)-MIN(ROW($K$7:$K$21))+1,""),""),ROW()-ROW(A$23)+1))),),"")</f>
        <v>0</v>
      </c>
      <c r="Q32">
        <f t="array" ref="Q32">IFERROR(CONCATENATE((INDEX($T$7:$T$21,SMALL(IF($T$7:$T$21&lt;&gt;"",IF($Q$7:$Q$21&lt;&gt;"",ROW($Q$7:$Q$21)-MIN(ROW($Q$7:$Q$21))+1,""),""),ROW()-ROW(A$23)+1)))," "),"")</f>
        <v>0</v>
      </c>
      <c r="R32">
        <f t="array" ref="R32">IFERROR(CONCATENATE(TEXT(INDEX($Q$7:$Q$21,SMALL(IF($T$7:$T$21&lt;&gt;"",IF($Q$7:$Q$21&lt;&gt;"",ROW($Q$7:$Q$21)-MIN(ROW($Q$7:$Q$21))+1,""),""),ROW()-ROW(A$23)+1)),"##0")," "),"")</f>
        <v>0</v>
      </c>
      <c r="S32">
        <f t="array" ref="S32">IFERROR(CONCATENATE((INDEX($A$7:$A$21,SMALL(IF($T$7:$T$21&lt;&gt;"",IF($Q$7:$Q$21&lt;&gt;"",ROW($Q$7:$Q$21)-MIN(ROW($Q$7:$Q$21))+1,""),""),ROW()-ROW(A$23)+1))),),"")</f>
        <v>0</v>
      </c>
      <c r="W32">
        <f t="array" ref="W32">IFERROR(CONCATENATE((INDEX($Z$7:$Z$21,SMALL(IF($Z$7:$Z$21&lt;&gt;"",IF($W$7:$W$21&lt;&gt;"",ROW($W$7:$W$21)-MIN(ROW($W$7:$W$21))+1,""),""),ROW()-ROW(A$23)+1))),","),"")</f>
        <v>0</v>
      </c>
      <c r="X32">
        <f t="array" ref="X32">IFERROR(CONCATENATE(TEXT(INDEX($W$7:$W$21,SMALL(IF($Z$7:$Z$21&lt;&gt;"",IF($W$7:$W$21&lt;&gt;"",ROW($W$7:$W$21)-MIN(ROW($W$7:$W$21))+1,""),""),ROW()-ROW(A$23)+1)),"##0"),","),"")</f>
        <v>0</v>
      </c>
      <c r="Y32">
        <f t="array" ref="Y32">IFERROR(CONCATENATE((INDEX($A$7:$A$21,SMALL(IF($Z$7:$Z$21&lt;&gt;"",IF($W$7:$W$21&lt;&gt;"",ROW($W$7:$W$21)-MIN(ROW($W$7:$W$21))+1,""),""),ROW()-ROW(A$23)+1))),),"")</f>
        <v>0</v>
      </c>
    </row>
    <row r="33" spans="11:25">
      <c r="K33">
        <f t="array" ref="K33">IFERROR(CONCATENATE(TEXT(INDEX($K$7:$K$21,SMALL(IF($N$7:$N$21&lt;&gt;"",IF($K$7:$K$21&lt;&gt;"",ROW($K$7:$K$21)-MIN(ROW($K$7:$K$21))+1,""),""),ROW()-ROW(A$23)+1)),"##0"),","),"")</f>
        <v>0</v>
      </c>
      <c r="L33">
        <f t="array" ref="L33">IFERROR(CONCATENATE((INDEX($N$7:$N$21,SMALL(IF($N$7:$N$21&lt;&gt;"",IF($K$7:$K$21&lt;&gt;"",ROW($K$7:$K$21)-MIN(ROW($K$7:$K$21))+1,""),""),ROW()-ROW(A$23)+1))),","),"")</f>
        <v>0</v>
      </c>
      <c r="M33">
        <f t="array" ref="M33">IFERROR(CONCATENATE((INDEX($A$7:$A$21,SMALL(IF($N$7:$N$21&lt;&gt;"",IF($K$7:$K$21&lt;&gt;"",ROW($K$7:$K$21)-MIN(ROW($K$7:$K$21))+1,""),""),ROW()-ROW(A$23)+1))),),"")</f>
        <v>0</v>
      </c>
      <c r="Q33">
        <f t="array" ref="Q33">IFERROR(CONCATENATE((INDEX($T$7:$T$21,SMALL(IF($T$7:$T$21&lt;&gt;"",IF($Q$7:$Q$21&lt;&gt;"",ROW($Q$7:$Q$21)-MIN(ROW($Q$7:$Q$21))+1,""),""),ROW()-ROW(A$23)+1)))," "),"")</f>
        <v>0</v>
      </c>
      <c r="R33">
        <f t="array" ref="R33">IFERROR(CONCATENATE(TEXT(INDEX($Q$7:$Q$21,SMALL(IF($T$7:$T$21&lt;&gt;"",IF($Q$7:$Q$21&lt;&gt;"",ROW($Q$7:$Q$21)-MIN(ROW($Q$7:$Q$21))+1,""),""),ROW()-ROW(A$23)+1)),"##0")," "),"")</f>
        <v>0</v>
      </c>
      <c r="S33">
        <f t="array" ref="S33">IFERROR(CONCATENATE((INDEX($A$7:$A$21,SMALL(IF($T$7:$T$21&lt;&gt;"",IF($Q$7:$Q$21&lt;&gt;"",ROW($Q$7:$Q$21)-MIN(ROW($Q$7:$Q$21))+1,""),""),ROW()-ROW(A$23)+1))),),"")</f>
        <v>0</v>
      </c>
      <c r="W33">
        <f t="array" ref="W33">IFERROR(CONCATENATE((INDEX($Z$7:$Z$21,SMALL(IF($Z$7:$Z$21&lt;&gt;"",IF($W$7:$W$21&lt;&gt;"",ROW($W$7:$W$21)-MIN(ROW($W$7:$W$21))+1,""),""),ROW()-ROW(A$23)+1))),","),"")</f>
        <v>0</v>
      </c>
      <c r="X33">
        <f t="array" ref="X33">IFERROR(CONCATENATE(TEXT(INDEX($W$7:$W$21,SMALL(IF($Z$7:$Z$21&lt;&gt;"",IF($W$7:$W$21&lt;&gt;"",ROW($W$7:$W$21)-MIN(ROW($W$7:$W$21))+1,""),""),ROW()-ROW(A$23)+1)),"##0"),","),"")</f>
        <v>0</v>
      </c>
      <c r="Y33">
        <f t="array" ref="Y33">IFERROR(CONCATENATE((INDEX($A$7:$A$21,SMALL(IF($Z$7:$Z$21&lt;&gt;"",IF($W$7:$W$21&lt;&gt;"",ROW($W$7:$W$21)-MIN(ROW($W$7:$W$21))+1,""),""),ROW()-ROW(A$23)+1))),),"")</f>
        <v>0</v>
      </c>
    </row>
    <row r="34" spans="11:25">
      <c r="K34">
        <f t="array" ref="K34">IFERROR(CONCATENATE(TEXT(INDEX($K$7:$K$21,SMALL(IF($N$7:$N$21&lt;&gt;"",IF($K$7:$K$21&lt;&gt;"",ROW($K$7:$K$21)-MIN(ROW($K$7:$K$21))+1,""),""),ROW()-ROW(A$23)+1)),"##0"),","),"")</f>
        <v>0</v>
      </c>
      <c r="L34">
        <f t="array" ref="L34">IFERROR(CONCATENATE((INDEX($N$7:$N$21,SMALL(IF($N$7:$N$21&lt;&gt;"",IF($K$7:$K$21&lt;&gt;"",ROW($K$7:$K$21)-MIN(ROW($K$7:$K$21))+1,""),""),ROW()-ROW(A$23)+1))),","),"")</f>
        <v>0</v>
      </c>
      <c r="M34">
        <f t="array" ref="M34">IFERROR(CONCATENATE((INDEX($A$7:$A$21,SMALL(IF($N$7:$N$21&lt;&gt;"",IF($K$7:$K$21&lt;&gt;"",ROW($K$7:$K$21)-MIN(ROW($K$7:$K$21))+1,""),""),ROW()-ROW(A$23)+1))),),"")</f>
        <v>0</v>
      </c>
      <c r="Q34">
        <f t="array" ref="Q34">IFERROR(CONCATENATE((INDEX($T$7:$T$21,SMALL(IF($T$7:$T$21&lt;&gt;"",IF($Q$7:$Q$21&lt;&gt;"",ROW($Q$7:$Q$21)-MIN(ROW($Q$7:$Q$21))+1,""),""),ROW()-ROW(A$23)+1)))," "),"")</f>
        <v>0</v>
      </c>
      <c r="R34">
        <f t="array" ref="R34">IFERROR(CONCATENATE(TEXT(INDEX($Q$7:$Q$21,SMALL(IF($T$7:$T$21&lt;&gt;"",IF($Q$7:$Q$21&lt;&gt;"",ROW($Q$7:$Q$21)-MIN(ROW($Q$7:$Q$21))+1,""),""),ROW()-ROW(A$23)+1)),"##0")," "),"")</f>
        <v>0</v>
      </c>
      <c r="S34">
        <f t="array" ref="S34">IFERROR(CONCATENATE((INDEX($A$7:$A$21,SMALL(IF($T$7:$T$21&lt;&gt;"",IF($Q$7:$Q$21&lt;&gt;"",ROW($Q$7:$Q$21)-MIN(ROW($Q$7:$Q$21))+1,""),""),ROW()-ROW(A$23)+1))),),"")</f>
        <v>0</v>
      </c>
      <c r="W34">
        <f t="array" ref="W34">IFERROR(CONCATENATE((INDEX($Z$7:$Z$21,SMALL(IF($Z$7:$Z$21&lt;&gt;"",IF($W$7:$W$21&lt;&gt;"",ROW($W$7:$W$21)-MIN(ROW($W$7:$W$21))+1,""),""),ROW()-ROW(A$23)+1))),","),"")</f>
        <v>0</v>
      </c>
      <c r="X34">
        <f t="array" ref="X34">IFERROR(CONCATENATE(TEXT(INDEX($W$7:$W$21,SMALL(IF($Z$7:$Z$21&lt;&gt;"",IF($W$7:$W$21&lt;&gt;"",ROW($W$7:$W$21)-MIN(ROW($W$7:$W$21))+1,""),""),ROW()-ROW(A$23)+1)),"##0"),","),"")</f>
        <v>0</v>
      </c>
      <c r="Y34">
        <f t="array" ref="Y34">IFERROR(CONCATENATE((INDEX($A$7:$A$21,SMALL(IF($Z$7:$Z$21&lt;&gt;"",IF($W$7:$W$21&lt;&gt;"",ROW($W$7:$W$21)-MIN(ROW($W$7:$W$21))+1,""),""),ROW()-ROW(A$23)+1))),),"")</f>
        <v>0</v>
      </c>
    </row>
    <row r="35" spans="11:25">
      <c r="K35">
        <f t="array" ref="K35">IFERROR(CONCATENATE(TEXT(INDEX($K$7:$K$21,SMALL(IF($N$7:$N$21&lt;&gt;"",IF($K$7:$K$21&lt;&gt;"",ROW($K$7:$K$21)-MIN(ROW($K$7:$K$21))+1,""),""),ROW()-ROW(A$23)+1)),"##0"),","),"")</f>
        <v>0</v>
      </c>
      <c r="L35">
        <f t="array" ref="L35">IFERROR(CONCATENATE((INDEX($N$7:$N$21,SMALL(IF($N$7:$N$21&lt;&gt;"",IF($K$7:$K$21&lt;&gt;"",ROW($K$7:$K$21)-MIN(ROW($K$7:$K$21))+1,""),""),ROW()-ROW(A$23)+1))),","),"")</f>
        <v>0</v>
      </c>
      <c r="M35">
        <f t="array" ref="M35">IFERROR(CONCATENATE((INDEX($A$7:$A$21,SMALL(IF($N$7:$N$21&lt;&gt;"",IF($K$7:$K$21&lt;&gt;"",ROW($K$7:$K$21)-MIN(ROW($K$7:$K$21))+1,""),""),ROW()-ROW(A$23)+1))),),"")</f>
        <v>0</v>
      </c>
      <c r="Q35">
        <f t="array" ref="Q35">IFERROR(CONCATENATE((INDEX($T$7:$T$21,SMALL(IF($T$7:$T$21&lt;&gt;"",IF($Q$7:$Q$21&lt;&gt;"",ROW($Q$7:$Q$21)-MIN(ROW($Q$7:$Q$21))+1,""),""),ROW()-ROW(A$23)+1)))," "),"")</f>
        <v>0</v>
      </c>
      <c r="R35">
        <f t="array" ref="R35">IFERROR(CONCATENATE(TEXT(INDEX($Q$7:$Q$21,SMALL(IF($T$7:$T$21&lt;&gt;"",IF($Q$7:$Q$21&lt;&gt;"",ROW($Q$7:$Q$21)-MIN(ROW($Q$7:$Q$21))+1,""),""),ROW()-ROW(A$23)+1)),"##0")," "),"")</f>
        <v>0</v>
      </c>
      <c r="S35">
        <f t="array" ref="S35">IFERROR(CONCATENATE((INDEX($A$7:$A$21,SMALL(IF($T$7:$T$21&lt;&gt;"",IF($Q$7:$Q$21&lt;&gt;"",ROW($Q$7:$Q$21)-MIN(ROW($Q$7:$Q$21))+1,""),""),ROW()-ROW(A$23)+1))),),"")</f>
        <v>0</v>
      </c>
      <c r="W35">
        <f t="array" ref="W35">IFERROR(CONCATENATE((INDEX($Z$7:$Z$21,SMALL(IF($Z$7:$Z$21&lt;&gt;"",IF($W$7:$W$21&lt;&gt;"",ROW($W$7:$W$21)-MIN(ROW($W$7:$W$21))+1,""),""),ROW()-ROW(A$23)+1))),","),"")</f>
        <v>0</v>
      </c>
      <c r="X35">
        <f t="array" ref="X35">IFERROR(CONCATENATE(TEXT(INDEX($W$7:$W$21,SMALL(IF($Z$7:$Z$21&lt;&gt;"",IF($W$7:$W$21&lt;&gt;"",ROW($W$7:$W$21)-MIN(ROW($W$7:$W$21))+1,""),""),ROW()-ROW(A$23)+1)),"##0"),","),"")</f>
        <v>0</v>
      </c>
      <c r="Y35">
        <f t="array" ref="Y35">IFERROR(CONCATENATE((INDEX($A$7:$A$21,SMALL(IF($Z$7:$Z$21&lt;&gt;"",IF($W$7:$W$21&lt;&gt;"",ROW($W$7:$W$21)-MIN(ROW($W$7:$W$21))+1,""),""),ROW()-ROW(A$23)+1))),),"")</f>
        <v>0</v>
      </c>
    </row>
    <row r="36" spans="11:25">
      <c r="K36">
        <f t="array" ref="K36">IFERROR(CONCATENATE(TEXT(INDEX($K$7:$K$21,SMALL(IF($N$7:$N$21&lt;&gt;"",IF($K$7:$K$21&lt;&gt;"",ROW($K$7:$K$21)-MIN(ROW($K$7:$K$21))+1,""),""),ROW()-ROW(A$23)+1)),"##0"),","),"")</f>
        <v>0</v>
      </c>
      <c r="L36">
        <f t="array" ref="L36">IFERROR(CONCATENATE((INDEX($N$7:$N$21,SMALL(IF($N$7:$N$21&lt;&gt;"",IF($K$7:$K$21&lt;&gt;"",ROW($K$7:$K$21)-MIN(ROW($K$7:$K$21))+1,""),""),ROW()-ROW(A$23)+1))),","),"")</f>
        <v>0</v>
      </c>
      <c r="M36">
        <f t="array" ref="M36">IFERROR(CONCATENATE((INDEX($A$7:$A$21,SMALL(IF($N$7:$N$21&lt;&gt;"",IF($K$7:$K$21&lt;&gt;"",ROW($K$7:$K$21)-MIN(ROW($K$7:$K$21))+1,""),""),ROW()-ROW(A$23)+1))),),"")</f>
        <v>0</v>
      </c>
      <c r="Q36">
        <f t="array" ref="Q36">IFERROR(CONCATENATE((INDEX($T$7:$T$21,SMALL(IF($T$7:$T$21&lt;&gt;"",IF($Q$7:$Q$21&lt;&gt;"",ROW($Q$7:$Q$21)-MIN(ROW($Q$7:$Q$21))+1,""),""),ROW()-ROW(A$23)+1)))," "),"")</f>
        <v>0</v>
      </c>
      <c r="R36">
        <f t="array" ref="R36">IFERROR(CONCATENATE(TEXT(INDEX($Q$7:$Q$21,SMALL(IF($T$7:$T$21&lt;&gt;"",IF($Q$7:$Q$21&lt;&gt;"",ROW($Q$7:$Q$21)-MIN(ROW($Q$7:$Q$21))+1,""),""),ROW()-ROW(A$23)+1)),"##0")," "),"")</f>
        <v>0</v>
      </c>
      <c r="S36">
        <f t="array" ref="S36">IFERROR(CONCATENATE((INDEX($A$7:$A$21,SMALL(IF($T$7:$T$21&lt;&gt;"",IF($Q$7:$Q$21&lt;&gt;"",ROW($Q$7:$Q$21)-MIN(ROW($Q$7:$Q$21))+1,""),""),ROW()-ROW(A$23)+1))),),"")</f>
        <v>0</v>
      </c>
      <c r="W36">
        <f t="array" ref="W36">IFERROR(CONCATENATE((INDEX($Z$7:$Z$21,SMALL(IF($Z$7:$Z$21&lt;&gt;"",IF($W$7:$W$21&lt;&gt;"",ROW($W$7:$W$21)-MIN(ROW($W$7:$W$21))+1,""),""),ROW()-ROW(A$23)+1))),","),"")</f>
        <v>0</v>
      </c>
      <c r="X36">
        <f t="array" ref="X36">IFERROR(CONCATENATE(TEXT(INDEX($W$7:$W$21,SMALL(IF($Z$7:$Z$21&lt;&gt;"",IF($W$7:$W$21&lt;&gt;"",ROW($W$7:$W$21)-MIN(ROW($W$7:$W$21))+1,""),""),ROW()-ROW(A$23)+1)),"##0"),","),"")</f>
        <v>0</v>
      </c>
      <c r="Y36">
        <f t="array" ref="Y36">IFERROR(CONCATENATE((INDEX($A$7:$A$21,SMALL(IF($Z$7:$Z$21&lt;&gt;"",IF($W$7:$W$21&lt;&gt;"",ROW($W$7:$W$21)-MIN(ROW($W$7:$W$21))+1,""),""),ROW()-ROW(A$23)+1))),),"")</f>
        <v>0</v>
      </c>
    </row>
    <row r="37" spans="11:25">
      <c r="K37">
        <f t="array" ref="K37">IFERROR(CONCATENATE(TEXT(INDEX($K$7:$K$21,SMALL(IF($N$7:$N$21&lt;&gt;"",IF($K$7:$K$21&lt;&gt;"",ROW($K$7:$K$21)-MIN(ROW($K$7:$K$21))+1,""),""),ROW()-ROW(A$23)+1)),"##0"),","),"")</f>
        <v>0</v>
      </c>
      <c r="L37">
        <f t="array" ref="L37">IFERROR(CONCATENATE((INDEX($N$7:$N$21,SMALL(IF($N$7:$N$21&lt;&gt;"",IF($K$7:$K$21&lt;&gt;"",ROW($K$7:$K$21)-MIN(ROW($K$7:$K$21))+1,""),""),ROW()-ROW(A$23)+1))),","),"")</f>
        <v>0</v>
      </c>
      <c r="M37">
        <f t="array" ref="M37">IFERROR(CONCATENATE((INDEX($A$7:$A$21,SMALL(IF($N$7:$N$21&lt;&gt;"",IF($K$7:$K$21&lt;&gt;"",ROW($K$7:$K$21)-MIN(ROW($K$7:$K$21))+1,""),""),ROW()-ROW(A$23)+1))),),"")</f>
        <v>0</v>
      </c>
      <c r="Q37">
        <f t="array" ref="Q37">IFERROR(CONCATENATE((INDEX($T$7:$T$21,SMALL(IF($T$7:$T$21&lt;&gt;"",IF($Q$7:$Q$21&lt;&gt;"",ROW($Q$7:$Q$21)-MIN(ROW($Q$7:$Q$21))+1,""),""),ROW()-ROW(A$23)+1)))," "),"")</f>
        <v>0</v>
      </c>
      <c r="R37">
        <f t="array" ref="R37">IFERROR(CONCATENATE(TEXT(INDEX($Q$7:$Q$21,SMALL(IF($T$7:$T$21&lt;&gt;"",IF($Q$7:$Q$21&lt;&gt;"",ROW($Q$7:$Q$21)-MIN(ROW($Q$7:$Q$21))+1,""),""),ROW()-ROW(A$23)+1)),"##0")," "),"")</f>
        <v>0</v>
      </c>
      <c r="S37">
        <f t="array" ref="S37">IFERROR(CONCATENATE((INDEX($A$7:$A$21,SMALL(IF($T$7:$T$21&lt;&gt;"",IF($Q$7:$Q$21&lt;&gt;"",ROW($Q$7:$Q$21)-MIN(ROW($Q$7:$Q$21))+1,""),""),ROW()-ROW(A$23)+1))),),"")</f>
        <v>0</v>
      </c>
      <c r="W37">
        <f t="array" ref="W37">IFERROR(CONCATENATE((INDEX($Z$7:$Z$21,SMALL(IF($Z$7:$Z$21&lt;&gt;"",IF($W$7:$W$21&lt;&gt;"",ROW($W$7:$W$21)-MIN(ROW($W$7:$W$21))+1,""),""),ROW()-ROW(A$23)+1))),","),"")</f>
        <v>0</v>
      </c>
      <c r="X37">
        <f t="array" ref="X37">IFERROR(CONCATENATE(TEXT(INDEX($W$7:$W$21,SMALL(IF($Z$7:$Z$21&lt;&gt;"",IF($W$7:$W$21&lt;&gt;"",ROW($W$7:$W$21)-MIN(ROW($W$7:$W$21))+1,""),""),ROW()-ROW(A$23)+1)),"##0"),","),"")</f>
        <v>0</v>
      </c>
      <c r="Y37">
        <f t="array" ref="Y37">IFERROR(CONCATENATE((INDEX($A$7:$A$21,SMALL(IF($Z$7:$Z$21&lt;&gt;"",IF($W$7:$W$21&lt;&gt;"",ROW($W$7:$W$21)-MIN(ROW($W$7:$W$21))+1,""),""),ROW()-ROW(A$23)+1))),),"")</f>
        <v>0</v>
      </c>
    </row>
  </sheetData>
  <mergeCells count="4">
    <mergeCell ref="A5:I5"/>
    <mergeCell ref="J5:O5"/>
    <mergeCell ref="P5:U5"/>
    <mergeCell ref="V5:AA5"/>
  </mergeCells>
  <conditionalFormatting sqref="L10">
    <cfRule type="cellIs" dxfId="0" priority="3" operator="lessThanOrEqual">
      <formula>H10</formula>
    </cfRule>
  </conditionalFormatting>
  <conditionalFormatting sqref="L11">
    <cfRule type="cellIs" dxfId="0" priority="5" operator="lessThanOrEqual">
      <formula>H11</formula>
    </cfRule>
  </conditionalFormatting>
  <conditionalFormatting sqref="L12">
    <cfRule type="cellIs" dxfId="0" priority="7" operator="lessThanOrEqual">
      <formula>H12</formula>
    </cfRule>
  </conditionalFormatting>
  <conditionalFormatting sqref="L13">
    <cfRule type="cellIs" dxfId="0" priority="9" operator="lessThanOrEqual">
      <formula>H13</formula>
    </cfRule>
  </conditionalFormatting>
  <conditionalFormatting sqref="L14">
    <cfRule type="cellIs" dxfId="0" priority="11" operator="lessThanOrEqual">
      <formula>H14</formula>
    </cfRule>
  </conditionalFormatting>
  <conditionalFormatting sqref="L16">
    <cfRule type="cellIs" dxfId="0" priority="13" operator="lessThanOrEqual">
      <formula>H16</formula>
    </cfRule>
  </conditionalFormatting>
  <conditionalFormatting sqref="L17">
    <cfRule type="cellIs" dxfId="0" priority="15" operator="lessThanOrEqual">
      <formula>H17</formula>
    </cfRule>
  </conditionalFormatting>
  <conditionalFormatting sqref="L18">
    <cfRule type="cellIs" dxfId="0" priority="17" operator="lessThanOrEqual">
      <formula>H18</formula>
    </cfRule>
  </conditionalFormatting>
  <conditionalFormatting sqref="L19">
    <cfRule type="cellIs" dxfId="0" priority="19" operator="lessThanOrEqual">
      <formula>H19</formula>
    </cfRule>
  </conditionalFormatting>
  <conditionalFormatting sqref="L20">
    <cfRule type="cellIs" dxfId="0" priority="21" operator="lessThanOrEqual">
      <formula>H20</formula>
    </cfRule>
  </conditionalFormatting>
  <conditionalFormatting sqref="L21">
    <cfRule type="cellIs" dxfId="0" priority="23" operator="lessThanOrEqual">
      <formula>H21</formula>
    </cfRule>
  </conditionalFormatting>
  <conditionalFormatting sqref="L9">
    <cfRule type="cellIs" dxfId="0" priority="1" operator="lessThanOrEqual">
      <formula>H9</formula>
    </cfRule>
  </conditionalFormatting>
  <conditionalFormatting sqref="M10">
    <cfRule type="cellIs" dxfId="0" priority="4" operator="lessThanOrEqual">
      <formula>I10</formula>
    </cfRule>
  </conditionalFormatting>
  <conditionalFormatting sqref="M11">
    <cfRule type="cellIs" dxfId="0" priority="6" operator="lessThanOrEqual">
      <formula>I11</formula>
    </cfRule>
  </conditionalFormatting>
  <conditionalFormatting sqref="M12">
    <cfRule type="cellIs" dxfId="0" priority="8" operator="lessThanOrEqual">
      <formula>I12</formula>
    </cfRule>
  </conditionalFormatting>
  <conditionalFormatting sqref="M13">
    <cfRule type="cellIs" dxfId="0" priority="10" operator="lessThanOrEqual">
      <formula>I13</formula>
    </cfRule>
  </conditionalFormatting>
  <conditionalFormatting sqref="M14">
    <cfRule type="cellIs" dxfId="0" priority="12" operator="lessThanOrEqual">
      <formula>I14</formula>
    </cfRule>
  </conditionalFormatting>
  <conditionalFormatting sqref="M16">
    <cfRule type="cellIs" dxfId="0" priority="14" operator="lessThanOrEqual">
      <formula>I16</formula>
    </cfRule>
  </conditionalFormatting>
  <conditionalFormatting sqref="M17">
    <cfRule type="cellIs" dxfId="0" priority="16" operator="lessThanOrEqual">
      <formula>I17</formula>
    </cfRule>
  </conditionalFormatting>
  <conditionalFormatting sqref="M18">
    <cfRule type="cellIs" dxfId="0" priority="18" operator="lessThanOrEqual">
      <formula>I18</formula>
    </cfRule>
  </conditionalFormatting>
  <conditionalFormatting sqref="M19">
    <cfRule type="cellIs" dxfId="0" priority="20" operator="lessThanOrEqual">
      <formula>I19</formula>
    </cfRule>
  </conditionalFormatting>
  <conditionalFormatting sqref="M20">
    <cfRule type="cellIs" dxfId="0" priority="22" operator="lessThanOrEqual">
      <formula>I20</formula>
    </cfRule>
  </conditionalFormatting>
  <conditionalFormatting sqref="M21">
    <cfRule type="cellIs" dxfId="0" priority="24" operator="lessThanOrEqual">
      <formula>I21</formula>
    </cfRule>
  </conditionalFormatting>
  <conditionalFormatting sqref="M9">
    <cfRule type="cellIs" dxfId="0" priority="2" operator="lessThanOrEqual">
      <formula>I9</formula>
    </cfRule>
  </conditionalFormatting>
  <conditionalFormatting sqref="R10">
    <cfRule type="cellIs" dxfId="0" priority="27" operator="lessThanOrEqual">
      <formula>H10</formula>
    </cfRule>
  </conditionalFormatting>
  <conditionalFormatting sqref="R11">
    <cfRule type="cellIs" dxfId="0" priority="29" operator="lessThanOrEqual">
      <formula>H11</formula>
    </cfRule>
  </conditionalFormatting>
  <conditionalFormatting sqref="R12">
    <cfRule type="cellIs" dxfId="0" priority="31" operator="lessThanOrEqual">
      <formula>H12</formula>
    </cfRule>
  </conditionalFormatting>
  <conditionalFormatting sqref="R13">
    <cfRule type="cellIs" dxfId="0" priority="33" operator="lessThanOrEqual">
      <formula>H13</formula>
    </cfRule>
  </conditionalFormatting>
  <conditionalFormatting sqref="R16">
    <cfRule type="cellIs" dxfId="0" priority="35" operator="lessThanOrEqual">
      <formula>H16</formula>
    </cfRule>
  </conditionalFormatting>
  <conditionalFormatting sqref="R17">
    <cfRule type="cellIs" dxfId="0" priority="37" operator="lessThanOrEqual">
      <formula>H17</formula>
    </cfRule>
  </conditionalFormatting>
  <conditionalFormatting sqref="R18">
    <cfRule type="cellIs" dxfId="0" priority="39" operator="lessThanOrEqual">
      <formula>H18</formula>
    </cfRule>
  </conditionalFormatting>
  <conditionalFormatting sqref="R19">
    <cfRule type="cellIs" dxfId="0" priority="41" operator="lessThanOrEqual">
      <formula>H19</formula>
    </cfRule>
  </conditionalFormatting>
  <conditionalFormatting sqref="R20">
    <cfRule type="cellIs" dxfId="0" priority="43" operator="lessThanOrEqual">
      <formula>H20</formula>
    </cfRule>
  </conditionalFormatting>
  <conditionalFormatting sqref="R21">
    <cfRule type="cellIs" dxfId="0" priority="45" operator="lessThanOrEqual">
      <formula>H21</formula>
    </cfRule>
  </conditionalFormatting>
  <conditionalFormatting sqref="R9">
    <cfRule type="cellIs" dxfId="0" priority="25" operator="lessThanOrEqual">
      <formula>H9</formula>
    </cfRule>
  </conditionalFormatting>
  <conditionalFormatting sqref="S10">
    <cfRule type="cellIs" dxfId="0" priority="28" operator="lessThanOrEqual">
      <formula>I10</formula>
    </cfRule>
  </conditionalFormatting>
  <conditionalFormatting sqref="S11">
    <cfRule type="cellIs" dxfId="0" priority="30" operator="lessThanOrEqual">
      <formula>I11</formula>
    </cfRule>
  </conditionalFormatting>
  <conditionalFormatting sqref="S12">
    <cfRule type="cellIs" dxfId="0" priority="32" operator="lessThanOrEqual">
      <formula>I12</formula>
    </cfRule>
  </conditionalFormatting>
  <conditionalFormatting sqref="S13">
    <cfRule type="cellIs" dxfId="0" priority="34" operator="lessThanOrEqual">
      <formula>I13</formula>
    </cfRule>
  </conditionalFormatting>
  <conditionalFormatting sqref="S16">
    <cfRule type="cellIs" dxfId="0" priority="36" operator="lessThanOrEqual">
      <formula>I16</formula>
    </cfRule>
  </conditionalFormatting>
  <conditionalFormatting sqref="S17">
    <cfRule type="cellIs" dxfId="0" priority="38" operator="lessThanOrEqual">
      <formula>I17</formula>
    </cfRule>
  </conditionalFormatting>
  <conditionalFormatting sqref="S18">
    <cfRule type="cellIs" dxfId="0" priority="40" operator="lessThanOrEqual">
      <formula>I18</formula>
    </cfRule>
  </conditionalFormatting>
  <conditionalFormatting sqref="S19">
    <cfRule type="cellIs" dxfId="0" priority="42" operator="lessThanOrEqual">
      <formula>I19</formula>
    </cfRule>
  </conditionalFormatting>
  <conditionalFormatting sqref="S20">
    <cfRule type="cellIs" dxfId="0" priority="44" operator="lessThanOrEqual">
      <formula>I20</formula>
    </cfRule>
  </conditionalFormatting>
  <conditionalFormatting sqref="S21">
    <cfRule type="cellIs" dxfId="0" priority="46" operator="lessThanOrEqual">
      <formula>I21</formula>
    </cfRule>
  </conditionalFormatting>
  <conditionalFormatting sqref="S9">
    <cfRule type="cellIs" dxfId="0" priority="26" operator="lessThanOrEqual">
      <formula>I9</formula>
    </cfRule>
  </conditionalFormatting>
  <conditionalFormatting sqref="X10">
    <cfRule type="cellIs" dxfId="0" priority="49" operator="lessThanOrEqual">
      <formula>H10</formula>
    </cfRule>
  </conditionalFormatting>
  <conditionalFormatting sqref="X11">
    <cfRule type="cellIs" dxfId="0" priority="51" operator="lessThanOrEqual">
      <formula>H11</formula>
    </cfRule>
  </conditionalFormatting>
  <conditionalFormatting sqref="X12">
    <cfRule type="cellIs" dxfId="0" priority="53" operator="lessThanOrEqual">
      <formula>H12</formula>
    </cfRule>
  </conditionalFormatting>
  <conditionalFormatting sqref="X13">
    <cfRule type="cellIs" dxfId="0" priority="55" operator="lessThanOrEqual">
      <formula>H13</formula>
    </cfRule>
  </conditionalFormatting>
  <conditionalFormatting sqref="X16">
    <cfRule type="cellIs" dxfId="0" priority="57" operator="lessThanOrEqual">
      <formula>H16</formula>
    </cfRule>
  </conditionalFormatting>
  <conditionalFormatting sqref="X17">
    <cfRule type="cellIs" dxfId="0" priority="59" operator="lessThanOrEqual">
      <formula>H17</formula>
    </cfRule>
  </conditionalFormatting>
  <conditionalFormatting sqref="X18">
    <cfRule type="cellIs" dxfId="0" priority="61" operator="lessThanOrEqual">
      <formula>H18</formula>
    </cfRule>
  </conditionalFormatting>
  <conditionalFormatting sqref="X19">
    <cfRule type="cellIs" dxfId="0" priority="63" operator="lessThanOrEqual">
      <formula>H19</formula>
    </cfRule>
  </conditionalFormatting>
  <conditionalFormatting sqref="X20">
    <cfRule type="cellIs" dxfId="0" priority="65" operator="lessThanOrEqual">
      <formula>H20</formula>
    </cfRule>
  </conditionalFormatting>
  <conditionalFormatting sqref="X21">
    <cfRule type="cellIs" dxfId="0" priority="67" operator="lessThanOrEqual">
      <formula>H21</formula>
    </cfRule>
  </conditionalFormatting>
  <conditionalFormatting sqref="X9">
    <cfRule type="cellIs" dxfId="0" priority="47" operator="lessThanOrEqual">
      <formula>H9</formula>
    </cfRule>
  </conditionalFormatting>
  <conditionalFormatting sqref="Y10">
    <cfRule type="cellIs" dxfId="0" priority="50" operator="lessThanOrEqual">
      <formula>I10</formula>
    </cfRule>
  </conditionalFormatting>
  <conditionalFormatting sqref="Y11">
    <cfRule type="cellIs" dxfId="0" priority="52" operator="lessThanOrEqual">
      <formula>I11</formula>
    </cfRule>
  </conditionalFormatting>
  <conditionalFormatting sqref="Y12">
    <cfRule type="cellIs" dxfId="0" priority="54" operator="lessThanOrEqual">
      <formula>I12</formula>
    </cfRule>
  </conditionalFormatting>
  <conditionalFormatting sqref="Y13">
    <cfRule type="cellIs" dxfId="0" priority="56" operator="lessThanOrEqual">
      <formula>I13</formula>
    </cfRule>
  </conditionalFormatting>
  <conditionalFormatting sqref="Y16">
    <cfRule type="cellIs" dxfId="0" priority="58" operator="lessThanOrEqual">
      <formula>I16</formula>
    </cfRule>
  </conditionalFormatting>
  <conditionalFormatting sqref="Y17">
    <cfRule type="cellIs" dxfId="0" priority="60" operator="lessThanOrEqual">
      <formula>I17</formula>
    </cfRule>
  </conditionalFormatting>
  <conditionalFormatting sqref="Y18">
    <cfRule type="cellIs" dxfId="0" priority="62" operator="lessThanOrEqual">
      <formula>I18</formula>
    </cfRule>
  </conditionalFormatting>
  <conditionalFormatting sqref="Y19">
    <cfRule type="cellIs" dxfId="0" priority="64" operator="lessThanOrEqual">
      <formula>I19</formula>
    </cfRule>
  </conditionalFormatting>
  <conditionalFormatting sqref="Y20">
    <cfRule type="cellIs" dxfId="0" priority="66" operator="lessThanOrEqual">
      <formula>I20</formula>
    </cfRule>
  </conditionalFormatting>
  <conditionalFormatting sqref="Y21">
    <cfRule type="cellIs" dxfId="0" priority="68" operator="lessThanOrEqual">
      <formula>I21</formula>
    </cfRule>
  </conditionalFormatting>
  <conditionalFormatting sqref="Y9">
    <cfRule type="cellIs" dxfId="0" priority="48" operator="lessThanOrEqual">
      <formula>I9</formula>
    </cfRule>
  </conditionalFormatting>
  <hyperlinks>
    <hyperlink ref="O9" r:id="rId1"/>
    <hyperlink ref="U9" r:id="rId2"/>
    <hyperlink ref="AA9" r:id="rId3"/>
    <hyperlink ref="O10" r:id="rId4"/>
    <hyperlink ref="U10" r:id="rId5"/>
    <hyperlink ref="AA10" r:id="rId6"/>
    <hyperlink ref="O11" r:id="rId7"/>
    <hyperlink ref="U11" r:id="rId8"/>
    <hyperlink ref="AA11" r:id="rId9"/>
    <hyperlink ref="O12" r:id="rId10"/>
    <hyperlink ref="U12" r:id="rId11"/>
    <hyperlink ref="AA12" r:id="rId12"/>
    <hyperlink ref="O13" r:id="rId13"/>
    <hyperlink ref="U13" r:id="rId14"/>
    <hyperlink ref="AA13" r:id="rId15"/>
    <hyperlink ref="O14" r:id="rId16"/>
    <hyperlink ref="O16" r:id="rId17"/>
    <hyperlink ref="U16" r:id="rId18"/>
    <hyperlink ref="AA16" r:id="rId19"/>
    <hyperlink ref="O17" r:id="rId20"/>
    <hyperlink ref="U17" r:id="rId21"/>
    <hyperlink ref="AA17" r:id="rId22"/>
    <hyperlink ref="O18" r:id="rId23"/>
    <hyperlink ref="U18" r:id="rId24"/>
    <hyperlink ref="AA18" r:id="rId25"/>
    <hyperlink ref="O19" r:id="rId26"/>
    <hyperlink ref="U19" r:id="rId27"/>
    <hyperlink ref="AA19" r:id="rId28"/>
    <hyperlink ref="O20" r:id="rId29"/>
    <hyperlink ref="U20" r:id="rId30"/>
    <hyperlink ref="AA20" r:id="rId31"/>
    <hyperlink ref="O21" r:id="rId32"/>
    <hyperlink ref="U21" r:id="rId33"/>
    <hyperlink ref="AA21" r:id="rId34"/>
  </hyperlinks>
  <pageMargins left="0.7" right="0.7" top="0.75" bottom="0.75" header="0.3" footer="0.3"/>
  <legacy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2016-01-12T16:48:59Z</dcterms:created>
  <dcterms:modified xsi:type="dcterms:W3CDTF">2016-01-12T16:48:59Z</dcterms:modified>
</cp:coreProperties>
</file>