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filterPrivacy="1" defaultThemeVersion="166925"/>
  <xr:revisionPtr revIDLastSave="0" documentId="13_ncr:1_{23DA924F-2A51-4F67-9716-5BF972AA562E}" xr6:coauthVersionLast="47" xr6:coauthVersionMax="47" xr10:uidLastSave="{00000000-0000-0000-0000-000000000000}"/>
  <bookViews>
    <workbookView xWindow="-120" yWindow="-120" windowWidth="25440" windowHeight="15270" xr2:uid="{C18C18F5-0DE0-4A9A-A829-62A3793819DF}"/>
  </bookViews>
  <sheets>
    <sheet name="STEP BY STEP GUIDE" sheetId="1" r:id="rId1"/>
    <sheet name="CALCULATIONS" sheetId="7" r:id="rId2"/>
    <sheet name="TOOLS" sheetId="8" r:id="rId3"/>
    <sheet name="Version control" sheetId="2" r:id="rId4"/>
  </sheets>
  <definedNames>
    <definedName name="_xlnm.Print_Area" localSheetId="1">CALCULATIONS!$F$1:$N$44</definedName>
    <definedName name="_xlnm.Print_Area" localSheetId="0">'STEP BY STEP GUIDE'!$B$1:$H$15</definedName>
    <definedName name="_xlnm.Print_Area" localSheetId="2">TOOLS!$B$1:$H$24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3" i="8" l="1"/>
  <c r="E31" i="8"/>
  <c r="H33" i="7"/>
  <c r="H32" i="7"/>
  <c r="H31" i="7"/>
  <c r="H30" i="7"/>
  <c r="R79" i="7" l="1"/>
  <c r="R78" i="7"/>
  <c r="R77" i="7"/>
  <c r="E40" i="8"/>
  <c r="E39" i="8"/>
  <c r="E38" i="8"/>
  <c r="E37" i="8"/>
  <c r="E36" i="8"/>
  <c r="E35" i="8"/>
  <c r="E34" i="8"/>
  <c r="E32" i="8"/>
  <c r="E30" i="8"/>
  <c r="E29" i="8"/>
  <c r="E28" i="8"/>
  <c r="E27" i="8"/>
  <c r="E26" i="8"/>
  <c r="E25" i="8"/>
  <c r="E24" i="8"/>
  <c r="E23" i="8"/>
  <c r="E16" i="8"/>
  <c r="E14" i="8"/>
  <c r="E13" i="8"/>
  <c r="D47" i="8"/>
  <c r="E12" i="8" l="1"/>
  <c r="E11" i="8"/>
  <c r="E10" i="8"/>
  <c r="F5" i="7"/>
  <c r="I19" i="7" s="1"/>
  <c r="A95" i="7"/>
  <c r="A94" i="7"/>
  <c r="A93" i="7"/>
  <c r="A92" i="7"/>
  <c r="A91" i="7"/>
  <c r="A90" i="7"/>
  <c r="A89" i="7"/>
  <c r="A88" i="7"/>
  <c r="A87" i="7"/>
  <c r="A86" i="7"/>
  <c r="A85" i="7"/>
  <c r="A84" i="7"/>
  <c r="A83" i="7"/>
  <c r="A82" i="7"/>
  <c r="A81" i="7"/>
  <c r="A80" i="7"/>
  <c r="A79" i="7"/>
  <c r="A78" i="7"/>
  <c r="A77" i="7"/>
  <c r="A76" i="7"/>
  <c r="A75" i="7"/>
  <c r="A74" i="7"/>
  <c r="A73" i="7"/>
  <c r="A72" i="7"/>
  <c r="A71" i="7"/>
  <c r="A70" i="7"/>
  <c r="A69" i="7"/>
  <c r="A68" i="7"/>
  <c r="A67" i="7"/>
  <c r="A66" i="7"/>
  <c r="A65" i="7"/>
  <c r="A64" i="7"/>
  <c r="A63" i="7"/>
  <c r="A62" i="7"/>
  <c r="A61" i="7"/>
  <c r="A60" i="7"/>
  <c r="A59" i="7"/>
  <c r="A58" i="7"/>
  <c r="A57" i="7"/>
  <c r="A56" i="7"/>
  <c r="A55" i="7"/>
  <c r="A54" i="7"/>
  <c r="A53" i="7"/>
  <c r="A52" i="7"/>
  <c r="A51" i="7"/>
  <c r="A50" i="7"/>
  <c r="A49" i="7"/>
  <c r="A48" i="7"/>
  <c r="A47" i="7"/>
  <c r="A46" i="7"/>
  <c r="A45" i="7"/>
  <c r="A44" i="7"/>
  <c r="A43" i="7"/>
  <c r="A42" i="7"/>
  <c r="A41" i="7"/>
  <c r="A40" i="7"/>
  <c r="A39" i="7"/>
  <c r="A38" i="7"/>
  <c r="A37" i="7"/>
  <c r="A36" i="7"/>
  <c r="A35" i="7"/>
  <c r="A34" i="7"/>
  <c r="A33" i="7"/>
  <c r="A32" i="7"/>
  <c r="A31" i="7"/>
  <c r="A30" i="7"/>
  <c r="A29" i="7"/>
  <c r="A28" i="7"/>
  <c r="A27" i="7"/>
  <c r="A26" i="7"/>
  <c r="A25" i="7"/>
  <c r="A24" i="7"/>
  <c r="A23" i="7"/>
  <c r="A22" i="7"/>
  <c r="A21" i="7"/>
  <c r="A20" i="7"/>
  <c r="A19" i="7"/>
  <c r="A18" i="7"/>
  <c r="A17" i="7"/>
  <c r="A16" i="7"/>
  <c r="A15" i="7"/>
  <c r="A14" i="7"/>
  <c r="A13" i="7"/>
  <c r="A12" i="7"/>
  <c r="A11" i="7"/>
  <c r="A10" i="7"/>
  <c r="A9" i="7"/>
  <c r="A8" i="7"/>
  <c r="A7" i="7"/>
  <c r="A6" i="7"/>
  <c r="G18" i="7"/>
  <c r="F7" i="7"/>
  <c r="F6" i="7"/>
  <c r="F4" i="7"/>
  <c r="F3" i="7"/>
  <c r="R127" i="7"/>
  <c r="R131" i="7" s="1"/>
  <c r="R135" i="7" s="1"/>
  <c r="R126" i="7"/>
  <c r="R130" i="7" s="1"/>
  <c r="R134" i="7" s="1"/>
  <c r="R125" i="7"/>
  <c r="R129" i="7" s="1"/>
  <c r="R124" i="7"/>
  <c r="R89" i="7"/>
  <c r="R93" i="7" s="1"/>
  <c r="R88" i="7"/>
  <c r="R92" i="7" s="1"/>
  <c r="R87" i="7"/>
  <c r="R91" i="7" s="1"/>
  <c r="R86" i="7"/>
  <c r="R90" i="7" s="1"/>
  <c r="R23" i="7"/>
  <c r="R27" i="7" s="1"/>
  <c r="R22" i="7"/>
  <c r="R26" i="7" s="1"/>
  <c r="R21" i="7"/>
  <c r="R20" i="7"/>
  <c r="J19" i="7"/>
  <c r="F16" i="7"/>
  <c r="F15" i="7"/>
  <c r="V121" i="7"/>
  <c r="U82" i="7"/>
  <c r="V127" i="7"/>
  <c r="W17" i="7"/>
  <c r="U122" i="7"/>
  <c r="V85" i="7"/>
  <c r="U79" i="7"/>
  <c r="W77" i="7"/>
  <c r="V84" i="7"/>
  <c r="U123" i="7"/>
  <c r="V19" i="7"/>
  <c r="U78" i="7"/>
  <c r="V17" i="7"/>
  <c r="V117" i="7"/>
  <c r="W117" i="7"/>
  <c r="V16" i="7"/>
  <c r="V126" i="7"/>
  <c r="W19" i="7"/>
  <c r="W21" i="7"/>
  <c r="U21" i="7"/>
  <c r="W18" i="7"/>
  <c r="V122" i="7"/>
  <c r="U16" i="7"/>
  <c r="V131" i="7"/>
  <c r="V78" i="7"/>
  <c r="U85" i="7"/>
  <c r="U121" i="7"/>
  <c r="U23" i="7"/>
  <c r="W22" i="7"/>
  <c r="U127" i="7"/>
  <c r="V82" i="7"/>
  <c r="W82" i="7"/>
  <c r="U18" i="7"/>
  <c r="W127" i="7"/>
  <c r="W78" i="7"/>
  <c r="V22" i="7"/>
  <c r="V23" i="7"/>
  <c r="U83" i="7"/>
  <c r="U120" i="7"/>
  <c r="W89" i="7"/>
  <c r="V79" i="7"/>
  <c r="V21" i="7"/>
  <c r="U124" i="7"/>
  <c r="U77" i="7"/>
  <c r="W83" i="7"/>
  <c r="W126" i="7"/>
  <c r="V77" i="7"/>
  <c r="W84" i="7"/>
  <c r="U130" i="7"/>
  <c r="V120" i="7"/>
  <c r="V18" i="7"/>
  <c r="U84" i="7"/>
  <c r="W85" i="7"/>
  <c r="W124" i="7"/>
  <c r="W131" i="7"/>
  <c r="W20" i="7"/>
  <c r="W16" i="7"/>
  <c r="W123" i="7"/>
  <c r="U22" i="7"/>
  <c r="W130" i="7"/>
  <c r="V83" i="7"/>
  <c r="U117" i="7"/>
  <c r="U19" i="7"/>
  <c r="W79" i="7"/>
  <c r="U126" i="7"/>
  <c r="W121" i="7"/>
  <c r="V86" i="7"/>
  <c r="W122" i="7"/>
  <c r="W26" i="7"/>
  <c r="W120" i="7"/>
  <c r="U17" i="7"/>
  <c r="Y117" i="7" l="1"/>
  <c r="Y79" i="7"/>
  <c r="Y77" i="7"/>
  <c r="Y78" i="7"/>
  <c r="Y26" i="7"/>
  <c r="Y18" i="7"/>
  <c r="Y20" i="7"/>
  <c r="Y82" i="7"/>
  <c r="Y124" i="7"/>
  <c r="Y89" i="7"/>
  <c r="Y16" i="7"/>
  <c r="Y21" i="7"/>
  <c r="Y22" i="7"/>
  <c r="Y17" i="7"/>
  <c r="Y83" i="7"/>
  <c r="Y127" i="7"/>
  <c r="Y130" i="7"/>
  <c r="Y122" i="7"/>
  <c r="Y84" i="7"/>
  <c r="Y131" i="7"/>
  <c r="Y19" i="7"/>
  <c r="Y85" i="7"/>
  <c r="Y123" i="7"/>
  <c r="Y120" i="7"/>
  <c r="Y126" i="7"/>
  <c r="Y121" i="7"/>
  <c r="R24" i="7"/>
  <c r="R31" i="7"/>
  <c r="R94" i="7"/>
  <c r="R30" i="7"/>
  <c r="R133" i="7"/>
  <c r="R96" i="7"/>
  <c r="R97" i="7"/>
  <c r="R25" i="7"/>
  <c r="R138" i="7"/>
  <c r="R95" i="7"/>
  <c r="R139" i="7"/>
  <c r="R128" i="7"/>
  <c r="U135" i="7"/>
  <c r="V26" i="7"/>
  <c r="V134" i="7"/>
  <c r="U91" i="7"/>
  <c r="V92" i="7"/>
  <c r="V130" i="7"/>
  <c r="W27" i="7"/>
  <c r="U89" i="7"/>
  <c r="V93" i="7"/>
  <c r="U93" i="7"/>
  <c r="W88" i="7"/>
  <c r="W86" i="7"/>
  <c r="W93" i="7"/>
  <c r="W23" i="7"/>
  <c r="U129" i="7"/>
  <c r="V20" i="7"/>
  <c r="U125" i="7"/>
  <c r="U88" i="7"/>
  <c r="V87" i="7"/>
  <c r="W125" i="7"/>
  <c r="V90" i="7"/>
  <c r="V124" i="7"/>
  <c r="U26" i="7"/>
  <c r="V27" i="7"/>
  <c r="V123" i="7"/>
  <c r="U131" i="7"/>
  <c r="U90" i="7"/>
  <c r="U27" i="7"/>
  <c r="U92" i="7"/>
  <c r="W91" i="7"/>
  <c r="V91" i="7"/>
  <c r="U86" i="7"/>
  <c r="W90" i="7"/>
  <c r="W129" i="7"/>
  <c r="U87" i="7"/>
  <c r="W135" i="7"/>
  <c r="V89" i="7"/>
  <c r="U134" i="7"/>
  <c r="U20" i="7"/>
  <c r="W134" i="7"/>
  <c r="W92" i="7"/>
  <c r="V129" i="7"/>
  <c r="W87" i="7"/>
  <c r="V88" i="7"/>
  <c r="V125" i="7"/>
  <c r="V135" i="7"/>
  <c r="Y129" i="7" l="1"/>
  <c r="Y93" i="7"/>
  <c r="Y90" i="7"/>
  <c r="Y87" i="7"/>
  <c r="AA123" i="7" s="1"/>
  <c r="Y86" i="7"/>
  <c r="Y135" i="7"/>
  <c r="Y88" i="7"/>
  <c r="Y92" i="7"/>
  <c r="Y91" i="7"/>
  <c r="Y23" i="7"/>
  <c r="Y27" i="7"/>
  <c r="Y134" i="7"/>
  <c r="Y125" i="7"/>
  <c r="R34" i="7"/>
  <c r="R98" i="7"/>
  <c r="R143" i="7"/>
  <c r="R35" i="7"/>
  <c r="R28" i="7"/>
  <c r="R101" i="7"/>
  <c r="R142" i="7"/>
  <c r="R29" i="7"/>
  <c r="R100" i="7"/>
  <c r="R132" i="7"/>
  <c r="R137" i="7"/>
  <c r="R99" i="7"/>
  <c r="V25" i="7"/>
  <c r="V138" i="7"/>
  <c r="W97" i="7"/>
  <c r="V31" i="7"/>
  <c r="V97" i="7"/>
  <c r="U96" i="7"/>
  <c r="W96" i="7"/>
  <c r="W138" i="7"/>
  <c r="U139" i="7"/>
  <c r="W95" i="7"/>
  <c r="V133" i="7"/>
  <c r="V30" i="7"/>
  <c r="U30" i="7"/>
  <c r="U138" i="7"/>
  <c r="W30" i="7"/>
  <c r="W128" i="7"/>
  <c r="W24" i="7"/>
  <c r="W94" i="7"/>
  <c r="W139" i="7"/>
  <c r="U133" i="7"/>
  <c r="V95" i="7"/>
  <c r="U24" i="7"/>
  <c r="W25" i="7"/>
  <c r="V128" i="7"/>
  <c r="W31" i="7"/>
  <c r="U31" i="7"/>
  <c r="V24" i="7"/>
  <c r="V96" i="7"/>
  <c r="U95" i="7"/>
  <c r="U128" i="7"/>
  <c r="U94" i="7"/>
  <c r="U97" i="7"/>
  <c r="V139" i="7"/>
  <c r="W133" i="7"/>
  <c r="V94" i="7"/>
  <c r="U25" i="7"/>
  <c r="Y133" i="7" l="1"/>
  <c r="Y138" i="7"/>
  <c r="Y30" i="7"/>
  <c r="Y31" i="7"/>
  <c r="Y128" i="7"/>
  <c r="AA128" i="7" s="1"/>
  <c r="Y139" i="7"/>
  <c r="Y96" i="7"/>
  <c r="Y97" i="7"/>
  <c r="Y24" i="7"/>
  <c r="Y94" i="7"/>
  <c r="Y95" i="7"/>
  <c r="Y25" i="7"/>
  <c r="R39" i="7"/>
  <c r="R38" i="7"/>
  <c r="R141" i="7"/>
  <c r="R146" i="7"/>
  <c r="R105" i="7"/>
  <c r="R136" i="7"/>
  <c r="R103" i="7"/>
  <c r="R104" i="7"/>
  <c r="R32" i="7"/>
  <c r="R147" i="7"/>
  <c r="R102" i="7"/>
  <c r="R33" i="7"/>
  <c r="W28" i="7"/>
  <c r="W137" i="7"/>
  <c r="V101" i="7"/>
  <c r="W143" i="7"/>
  <c r="V100" i="7"/>
  <c r="W98" i="7"/>
  <c r="V98" i="7"/>
  <c r="V28" i="7"/>
  <c r="U28" i="7"/>
  <c r="U142" i="7"/>
  <c r="W100" i="7"/>
  <c r="V143" i="7"/>
  <c r="V29" i="7"/>
  <c r="U35" i="7"/>
  <c r="V35" i="7"/>
  <c r="W101" i="7"/>
  <c r="U132" i="7"/>
  <c r="W34" i="7"/>
  <c r="U137" i="7"/>
  <c r="U143" i="7"/>
  <c r="V142" i="7"/>
  <c r="U29" i="7"/>
  <c r="V99" i="7"/>
  <c r="W132" i="7"/>
  <c r="V137" i="7"/>
  <c r="W35" i="7"/>
  <c r="U100" i="7"/>
  <c r="U101" i="7"/>
  <c r="U34" i="7"/>
  <c r="V132" i="7"/>
  <c r="W99" i="7"/>
  <c r="W142" i="7"/>
  <c r="U98" i="7"/>
  <c r="V34" i="7"/>
  <c r="W29" i="7"/>
  <c r="U99" i="7"/>
  <c r="Y29" i="7" l="1"/>
  <c r="Y35" i="7"/>
  <c r="Y101" i="7"/>
  <c r="Y100" i="7"/>
  <c r="Y98" i="7"/>
  <c r="AA98" i="7" s="1"/>
  <c r="Y142" i="7"/>
  <c r="Y143" i="7"/>
  <c r="Y137" i="7"/>
  <c r="Y132" i="7"/>
  <c r="Y99" i="7"/>
  <c r="AA99" i="7" s="1"/>
  <c r="Y34" i="7"/>
  <c r="Y28" i="7"/>
  <c r="R109" i="7"/>
  <c r="R36" i="7"/>
  <c r="R43" i="7"/>
  <c r="R37" i="7"/>
  <c r="R108" i="7"/>
  <c r="R106" i="7"/>
  <c r="R107" i="7"/>
  <c r="R150" i="7"/>
  <c r="R151" i="7"/>
  <c r="R140" i="7"/>
  <c r="R145" i="7"/>
  <c r="R42" i="7"/>
  <c r="U39" i="7"/>
  <c r="V136" i="7"/>
  <c r="U32" i="7"/>
  <c r="V102" i="7"/>
  <c r="V33" i="7"/>
  <c r="W102" i="7"/>
  <c r="V38" i="7"/>
  <c r="V146" i="7"/>
  <c r="U147" i="7"/>
  <c r="W104" i="7"/>
  <c r="U104" i="7"/>
  <c r="W39" i="7"/>
  <c r="W33" i="7"/>
  <c r="U38" i="7"/>
  <c r="U136" i="7"/>
  <c r="U141" i="7"/>
  <c r="V103" i="7"/>
  <c r="W105" i="7"/>
  <c r="U146" i="7"/>
  <c r="V32" i="7"/>
  <c r="W141" i="7"/>
  <c r="U103" i="7"/>
  <c r="W32" i="7"/>
  <c r="V104" i="7"/>
  <c r="W147" i="7"/>
  <c r="U37" i="7"/>
  <c r="W136" i="7"/>
  <c r="W38" i="7"/>
  <c r="U102" i="7"/>
  <c r="V39" i="7"/>
  <c r="W146" i="7"/>
  <c r="V105" i="7"/>
  <c r="U105" i="7"/>
  <c r="U33" i="7"/>
  <c r="W103" i="7"/>
  <c r="Y38" i="7" l="1"/>
  <c r="Y104" i="7"/>
  <c r="Y33" i="7"/>
  <c r="Y141" i="7"/>
  <c r="Y146" i="7"/>
  <c r="Y105" i="7"/>
  <c r="Y147" i="7"/>
  <c r="Y102" i="7"/>
  <c r="Y32" i="7"/>
  <c r="Y136" i="7"/>
  <c r="Y39" i="7"/>
  <c r="Y103" i="7"/>
  <c r="R154" i="7"/>
  <c r="R112" i="7"/>
  <c r="R113" i="7"/>
  <c r="R149" i="7"/>
  <c r="R47" i="7"/>
  <c r="R41" i="7"/>
  <c r="R144" i="7"/>
  <c r="R111" i="7"/>
  <c r="R155" i="7"/>
  <c r="R110" i="7"/>
  <c r="R46" i="7"/>
  <c r="R40" i="7"/>
  <c r="V150" i="7"/>
  <c r="U140" i="7"/>
  <c r="W151" i="7"/>
  <c r="U107" i="7"/>
  <c r="W42" i="7"/>
  <c r="V145" i="7"/>
  <c r="U151" i="7"/>
  <c r="U36" i="7"/>
  <c r="U108" i="7"/>
  <c r="W150" i="7"/>
  <c r="V151" i="7"/>
  <c r="V140" i="7"/>
  <c r="W107" i="7"/>
  <c r="W109" i="7"/>
  <c r="W108" i="7"/>
  <c r="U43" i="7"/>
  <c r="V109" i="7"/>
  <c r="V36" i="7"/>
  <c r="W37" i="7"/>
  <c r="V147" i="7"/>
  <c r="U106" i="7"/>
  <c r="V37" i="7"/>
  <c r="U109" i="7"/>
  <c r="W106" i="7"/>
  <c r="U150" i="7"/>
  <c r="V42" i="7"/>
  <c r="W36" i="7"/>
  <c r="V141" i="7"/>
  <c r="V107" i="7"/>
  <c r="V108" i="7"/>
  <c r="W145" i="7"/>
  <c r="V106" i="7"/>
  <c r="W43" i="7"/>
  <c r="W140" i="7"/>
  <c r="V43" i="7"/>
  <c r="U145" i="7"/>
  <c r="U42" i="7"/>
  <c r="Y36" i="7" l="1"/>
  <c r="Y107" i="7"/>
  <c r="Y150" i="7"/>
  <c r="Y42" i="7"/>
  <c r="Y145" i="7"/>
  <c r="Y140" i="7"/>
  <c r="Y109" i="7"/>
  <c r="Y106" i="7"/>
  <c r="Y151" i="7"/>
  <c r="Y43" i="7"/>
  <c r="E15" i="8" s="1"/>
  <c r="Y37" i="7"/>
  <c r="Y108" i="7"/>
  <c r="R44" i="7"/>
  <c r="R115" i="7"/>
  <c r="R158" i="7"/>
  <c r="R148" i="7"/>
  <c r="R153" i="7"/>
  <c r="R50" i="7"/>
  <c r="R45" i="7"/>
  <c r="I27" i="7"/>
  <c r="J27" i="7" s="1"/>
  <c r="R114" i="7"/>
  <c r="R116" i="7"/>
  <c r="R51" i="7"/>
  <c r="R159" i="7"/>
  <c r="U144" i="7"/>
  <c r="U113" i="7"/>
  <c r="U41" i="7"/>
  <c r="V144" i="7"/>
  <c r="V41" i="7"/>
  <c r="V110" i="7"/>
  <c r="U111" i="7"/>
  <c r="W113" i="7"/>
  <c r="U112" i="7"/>
  <c r="U47" i="7"/>
  <c r="U110" i="7"/>
  <c r="U40" i="7"/>
  <c r="V149" i="7"/>
  <c r="W111" i="7"/>
  <c r="W46" i="7"/>
  <c r="V111" i="7"/>
  <c r="U46" i="7"/>
  <c r="W110" i="7"/>
  <c r="W144" i="7"/>
  <c r="W47" i="7"/>
  <c r="V155" i="7"/>
  <c r="W112" i="7"/>
  <c r="U149" i="7"/>
  <c r="V112" i="7"/>
  <c r="V154" i="7"/>
  <c r="W41" i="7"/>
  <c r="W40" i="7"/>
  <c r="W154" i="7"/>
  <c r="U154" i="7"/>
  <c r="V113" i="7"/>
  <c r="V46" i="7"/>
  <c r="W155" i="7"/>
  <c r="U155" i="7"/>
  <c r="V47" i="7"/>
  <c r="W149" i="7"/>
  <c r="V40" i="7"/>
  <c r="AA125" i="7" l="1"/>
  <c r="AA120" i="7"/>
  <c r="AA121" i="7"/>
  <c r="AA95" i="7"/>
  <c r="Y47" i="7"/>
  <c r="Y113" i="7"/>
  <c r="Y149" i="7"/>
  <c r="Y144" i="7"/>
  <c r="Y40" i="7"/>
  <c r="Y46" i="7"/>
  <c r="AA101" i="7" s="1"/>
  <c r="Y112" i="7"/>
  <c r="Y154" i="7"/>
  <c r="Y155" i="7"/>
  <c r="Y110" i="7"/>
  <c r="Y111" i="7"/>
  <c r="Y41" i="7"/>
  <c r="R163" i="7"/>
  <c r="R157" i="7"/>
  <c r="R48" i="7"/>
  <c r="R152" i="7"/>
  <c r="I33" i="7"/>
  <c r="J33" i="7" s="1"/>
  <c r="K33" i="7" s="1"/>
  <c r="O33" i="7" s="1"/>
  <c r="E149" i="1" s="1"/>
  <c r="R162" i="7"/>
  <c r="R55" i="7"/>
  <c r="R49" i="7"/>
  <c r="R54" i="7"/>
  <c r="W114" i="7"/>
  <c r="W116" i="7"/>
  <c r="U114" i="7"/>
  <c r="V158" i="7"/>
  <c r="U158" i="7"/>
  <c r="U116" i="7"/>
  <c r="W44" i="7"/>
  <c r="U44" i="7"/>
  <c r="V116" i="7"/>
  <c r="V45" i="7"/>
  <c r="W51" i="7"/>
  <c r="W158" i="7"/>
  <c r="W45" i="7"/>
  <c r="U153" i="7"/>
  <c r="U45" i="7"/>
  <c r="U159" i="7"/>
  <c r="V51" i="7"/>
  <c r="V114" i="7"/>
  <c r="W115" i="7"/>
  <c r="W50" i="7"/>
  <c r="V115" i="7"/>
  <c r="U115" i="7"/>
  <c r="V44" i="7"/>
  <c r="W153" i="7"/>
  <c r="W148" i="7"/>
  <c r="V148" i="7"/>
  <c r="U50" i="7"/>
  <c r="U51" i="7"/>
  <c r="W159" i="7"/>
  <c r="U148" i="7"/>
  <c r="V159" i="7"/>
  <c r="V153" i="7"/>
  <c r="V50" i="7"/>
  <c r="AA154" i="7" l="1"/>
  <c r="C23" i="7" s="1"/>
  <c r="AA122" i="7"/>
  <c r="AA127" i="7"/>
  <c r="AA97" i="7"/>
  <c r="G21" i="7"/>
  <c r="G20" i="7"/>
  <c r="AA113" i="7"/>
  <c r="I31" i="7"/>
  <c r="J31" i="7" s="1"/>
  <c r="J20" i="7"/>
  <c r="Y159" i="7"/>
  <c r="Y148" i="7"/>
  <c r="Y114" i="7"/>
  <c r="AA114" i="7" s="1"/>
  <c r="Y44" i="7"/>
  <c r="Y51" i="7"/>
  <c r="Y50" i="7"/>
  <c r="Y115" i="7"/>
  <c r="Y45" i="7"/>
  <c r="AA145" i="7" s="1"/>
  <c r="Y153" i="7"/>
  <c r="Y158" i="7"/>
  <c r="AA158" i="7" s="1"/>
  <c r="Y116" i="7"/>
  <c r="C22" i="7"/>
  <c r="J22" i="7"/>
  <c r="R156" i="7"/>
  <c r="R58" i="7"/>
  <c r="N33" i="7"/>
  <c r="R166" i="7"/>
  <c r="R52" i="7"/>
  <c r="R161" i="7"/>
  <c r="R59" i="7"/>
  <c r="R167" i="7"/>
  <c r="R53" i="7"/>
  <c r="U152" i="7"/>
  <c r="V157" i="7"/>
  <c r="W49" i="7"/>
  <c r="U162" i="7"/>
  <c r="W163" i="7"/>
  <c r="U48" i="7"/>
  <c r="U163" i="7"/>
  <c r="U49" i="7"/>
  <c r="W162" i="7"/>
  <c r="U55" i="7"/>
  <c r="W48" i="7"/>
  <c r="V55" i="7"/>
  <c r="V163" i="7"/>
  <c r="W55" i="7"/>
  <c r="U157" i="7"/>
  <c r="V54" i="7"/>
  <c r="W157" i="7"/>
  <c r="U54" i="7"/>
  <c r="V162" i="7"/>
  <c r="V48" i="7"/>
  <c r="W54" i="7"/>
  <c r="W152" i="7"/>
  <c r="V49" i="7"/>
  <c r="V152" i="7"/>
  <c r="J23" i="7" l="1"/>
  <c r="D23" i="7" s="1"/>
  <c r="AA148" i="7"/>
  <c r="AA153" i="7"/>
  <c r="C21" i="7" s="1"/>
  <c r="AA150" i="7"/>
  <c r="AA151" i="7"/>
  <c r="AA144" i="7"/>
  <c r="AA147" i="7"/>
  <c r="AA141" i="7"/>
  <c r="AA142" i="7"/>
  <c r="AA136" i="7"/>
  <c r="AA139" i="7"/>
  <c r="AA135" i="7"/>
  <c r="AA138" i="7"/>
  <c r="AA126" i="7"/>
  <c r="AA100" i="7"/>
  <c r="AA96" i="7"/>
  <c r="G25" i="7"/>
  <c r="G24" i="7"/>
  <c r="H21" i="7"/>
  <c r="H20" i="7"/>
  <c r="E18" i="8"/>
  <c r="E21" i="8"/>
  <c r="E17" i="8"/>
  <c r="E20" i="8"/>
  <c r="E22" i="8"/>
  <c r="Y162" i="7"/>
  <c r="AA162" i="7" s="1"/>
  <c r="Y55" i="7"/>
  <c r="H25" i="7" s="1"/>
  <c r="Y54" i="7"/>
  <c r="H24" i="7" s="1"/>
  <c r="Y157" i="7"/>
  <c r="AA157" i="7" s="1"/>
  <c r="Y49" i="7"/>
  <c r="AA124" i="7" s="1"/>
  <c r="Y152" i="7"/>
  <c r="Y163" i="7"/>
  <c r="Y48" i="7"/>
  <c r="AA159" i="7" s="1"/>
  <c r="R170" i="7"/>
  <c r="C20" i="7"/>
  <c r="D22" i="7"/>
  <c r="R63" i="7"/>
  <c r="R165" i="7"/>
  <c r="R57" i="7"/>
  <c r="R62" i="7"/>
  <c r="R160" i="7"/>
  <c r="I29" i="7"/>
  <c r="J29" i="7" s="1"/>
  <c r="R171" i="7"/>
  <c r="R56" i="7"/>
  <c r="V161" i="7"/>
  <c r="W167" i="7"/>
  <c r="V59" i="7"/>
  <c r="V166" i="7"/>
  <c r="U59" i="7"/>
  <c r="V53" i="7"/>
  <c r="V58" i="7"/>
  <c r="U156" i="7"/>
  <c r="W53" i="7"/>
  <c r="U161" i="7"/>
  <c r="W166" i="7"/>
  <c r="W58" i="7"/>
  <c r="U52" i="7"/>
  <c r="W52" i="7"/>
  <c r="U53" i="7"/>
  <c r="U167" i="7"/>
  <c r="U166" i="7"/>
  <c r="V167" i="7"/>
  <c r="U58" i="7"/>
  <c r="W156" i="7"/>
  <c r="W59" i="7"/>
  <c r="W161" i="7"/>
  <c r="V156" i="7"/>
  <c r="V52" i="7"/>
  <c r="AA163" i="7" l="1"/>
  <c r="AA149" i="7"/>
  <c r="AA155" i="7"/>
  <c r="J25" i="7" s="1"/>
  <c r="AA140" i="7"/>
  <c r="AA146" i="7"/>
  <c r="J21" i="7"/>
  <c r="D21" i="7" s="1"/>
  <c r="AA137" i="7"/>
  <c r="J26" i="7"/>
  <c r="C26" i="7"/>
  <c r="AB163" i="7"/>
  <c r="AA102" i="7"/>
  <c r="G29" i="7"/>
  <c r="G28" i="7"/>
  <c r="G23" i="7"/>
  <c r="G22" i="7"/>
  <c r="K20" i="7"/>
  <c r="N20" i="7" s="1"/>
  <c r="O20" i="7" s="1"/>
  <c r="E19" i="8"/>
  <c r="C24" i="7"/>
  <c r="J24" i="7"/>
  <c r="K24" i="7" s="1"/>
  <c r="N24" i="7" s="1"/>
  <c r="O24" i="7" s="1"/>
  <c r="AA54" i="7"/>
  <c r="AA55" i="7"/>
  <c r="Y166" i="7"/>
  <c r="AA166" i="7" s="1"/>
  <c r="Y161" i="7"/>
  <c r="AA161" i="7" s="1"/>
  <c r="Y52" i="7"/>
  <c r="Y58" i="7"/>
  <c r="Y53" i="7"/>
  <c r="Y59" i="7"/>
  <c r="Y167" i="7"/>
  <c r="Y156" i="7"/>
  <c r="R174" i="7"/>
  <c r="R169" i="7"/>
  <c r="R66" i="7"/>
  <c r="R61" i="7"/>
  <c r="R67" i="7"/>
  <c r="R60" i="7"/>
  <c r="D20" i="7"/>
  <c r="R164" i="7"/>
  <c r="V170" i="7"/>
  <c r="W62" i="7"/>
  <c r="U63" i="7"/>
  <c r="U171" i="7"/>
  <c r="U170" i="7"/>
  <c r="U57" i="7"/>
  <c r="V56" i="7"/>
  <c r="U56" i="7"/>
  <c r="W56" i="7"/>
  <c r="V165" i="7"/>
  <c r="W57" i="7"/>
  <c r="V62" i="7"/>
  <c r="U62" i="7"/>
  <c r="W63" i="7"/>
  <c r="W165" i="7"/>
  <c r="U165" i="7"/>
  <c r="V57" i="7"/>
  <c r="W170" i="7"/>
  <c r="V171" i="7"/>
  <c r="V160" i="7"/>
  <c r="W160" i="7"/>
  <c r="V63" i="7"/>
  <c r="W171" i="7"/>
  <c r="U160" i="7"/>
  <c r="K21" i="7" l="1"/>
  <c r="N21" i="7" s="1"/>
  <c r="O21" i="7" s="1"/>
  <c r="C144" i="1" s="1"/>
  <c r="D26" i="7"/>
  <c r="AB166" i="7"/>
  <c r="C25" i="7"/>
  <c r="D25" i="7" s="1"/>
  <c r="AB161" i="7"/>
  <c r="G33" i="7"/>
  <c r="G32" i="7"/>
  <c r="G27" i="7"/>
  <c r="G26" i="7"/>
  <c r="H23" i="7"/>
  <c r="K23" i="7" s="1"/>
  <c r="N23" i="7" s="1"/>
  <c r="O23" i="7" s="1"/>
  <c r="C146" i="1" s="1"/>
  <c r="H22" i="7"/>
  <c r="K22" i="7" s="1"/>
  <c r="N22" i="7" s="1"/>
  <c r="O22" i="7" s="1"/>
  <c r="C145" i="1" s="1"/>
  <c r="K25" i="7"/>
  <c r="N25" i="7" s="1"/>
  <c r="O25" i="7" s="1"/>
  <c r="C148" i="1" s="1"/>
  <c r="Y63" i="7"/>
  <c r="C143" i="1"/>
  <c r="C147" i="1"/>
  <c r="D24" i="7"/>
  <c r="AA58" i="7"/>
  <c r="AA59" i="7"/>
  <c r="Y170" i="7"/>
  <c r="Y56" i="7"/>
  <c r="Y171" i="7"/>
  <c r="Y62" i="7"/>
  <c r="Y160" i="7"/>
  <c r="Y57" i="7"/>
  <c r="Y165" i="7"/>
  <c r="AA165" i="7" s="1"/>
  <c r="R65" i="7"/>
  <c r="R64" i="7"/>
  <c r="R71" i="7"/>
  <c r="R70" i="7"/>
  <c r="R168" i="7"/>
  <c r="R173" i="7"/>
  <c r="J32" i="7"/>
  <c r="U174" i="7"/>
  <c r="U67" i="7"/>
  <c r="U60" i="7"/>
  <c r="W164" i="7"/>
  <c r="U66" i="7"/>
  <c r="V164" i="7"/>
  <c r="V61" i="7"/>
  <c r="V66" i="7"/>
  <c r="U164" i="7"/>
  <c r="W169" i="7"/>
  <c r="W67" i="7"/>
  <c r="V67" i="7"/>
  <c r="V60" i="7"/>
  <c r="W60" i="7"/>
  <c r="V169" i="7"/>
  <c r="U169" i="7"/>
  <c r="V174" i="7"/>
  <c r="W61" i="7"/>
  <c r="W174" i="7"/>
  <c r="U61" i="7"/>
  <c r="W66" i="7"/>
  <c r="J152" i="1" l="1"/>
  <c r="C152" i="1" s="1"/>
  <c r="H29" i="7"/>
  <c r="H28" i="7"/>
  <c r="K28" i="7" s="1"/>
  <c r="G31" i="7"/>
  <c r="G30" i="7"/>
  <c r="H26" i="7"/>
  <c r="K26" i="7" s="1"/>
  <c r="N26" i="7" s="1"/>
  <c r="F39" i="7"/>
  <c r="AA57" i="7"/>
  <c r="AA56" i="7"/>
  <c r="K32" i="7"/>
  <c r="O32" i="7" s="1"/>
  <c r="Y174" i="7"/>
  <c r="Y66" i="7"/>
  <c r="Y61" i="7"/>
  <c r="Y169" i="7"/>
  <c r="Y67" i="7"/>
  <c r="Y60" i="7"/>
  <c r="Y164" i="7"/>
  <c r="AA164" i="7" s="1"/>
  <c r="R74" i="7"/>
  <c r="R69" i="7"/>
  <c r="R75" i="7"/>
  <c r="R172" i="7"/>
  <c r="R68" i="7"/>
  <c r="U64" i="7"/>
  <c r="U71" i="7"/>
  <c r="V71" i="7"/>
  <c r="U70" i="7"/>
  <c r="V173" i="7"/>
  <c r="W70" i="7"/>
  <c r="W64" i="7"/>
  <c r="W168" i="7"/>
  <c r="V168" i="7"/>
  <c r="U65" i="7"/>
  <c r="W173" i="7"/>
  <c r="V65" i="7"/>
  <c r="U173" i="7"/>
  <c r="U168" i="7"/>
  <c r="V64" i="7"/>
  <c r="W71" i="7"/>
  <c r="V70" i="7"/>
  <c r="W65" i="7"/>
  <c r="AB164" i="7" l="1"/>
  <c r="O28" i="7"/>
  <c r="E144" i="1" s="1"/>
  <c r="N28" i="7"/>
  <c r="H27" i="7"/>
  <c r="K27" i="7" s="1"/>
  <c r="O26" i="7"/>
  <c r="C149" i="1" s="1"/>
  <c r="F35" i="7"/>
  <c r="E148" i="1"/>
  <c r="K31" i="7"/>
  <c r="O31" i="7" s="1"/>
  <c r="N32" i="7"/>
  <c r="Y70" i="7"/>
  <c r="Y65" i="7"/>
  <c r="Y168" i="7"/>
  <c r="Y173" i="7"/>
  <c r="Y64" i="7"/>
  <c r="Y71" i="7"/>
  <c r="J30" i="7"/>
  <c r="K30" i="7" s="1"/>
  <c r="O30" i="7" s="1"/>
  <c r="R72" i="7"/>
  <c r="R73" i="7"/>
  <c r="U172" i="7"/>
  <c r="W74" i="7"/>
  <c r="V75" i="7"/>
  <c r="V172" i="7"/>
  <c r="W69" i="7"/>
  <c r="U75" i="7"/>
  <c r="V74" i="7"/>
  <c r="W68" i="7"/>
  <c r="U74" i="7"/>
  <c r="V68" i="7"/>
  <c r="U69" i="7"/>
  <c r="W172" i="7"/>
  <c r="W75" i="7"/>
  <c r="V69" i="7"/>
  <c r="U68" i="7"/>
  <c r="O27" i="7" l="1"/>
  <c r="E143" i="1" s="1"/>
  <c r="N27" i="7"/>
  <c r="E146" i="1"/>
  <c r="E147" i="1"/>
  <c r="N31" i="7"/>
  <c r="Y69" i="7"/>
  <c r="Y172" i="7"/>
  <c r="Y68" i="7"/>
  <c r="Y74" i="7"/>
  <c r="Y75" i="7"/>
  <c r="R76" i="7"/>
  <c r="N30" i="7"/>
  <c r="K29" i="7"/>
  <c r="O29" i="7" s="1"/>
  <c r="W73" i="7"/>
  <c r="U72" i="7"/>
  <c r="V73" i="7"/>
  <c r="U73" i="7"/>
  <c r="W72" i="7"/>
  <c r="V72" i="7"/>
  <c r="E145" i="1" l="1"/>
  <c r="Y73" i="7"/>
  <c r="Y72" i="7"/>
  <c r="N29" i="7"/>
  <c r="U76" i="7"/>
  <c r="W76" i="7"/>
  <c r="V76" i="7"/>
  <c r="J153" i="1" l="1"/>
  <c r="C153" i="1" s="1"/>
  <c r="Y76" i="7"/>
  <c r="F40" i="7"/>
  <c r="F36" i="7"/>
</calcChain>
</file>

<file path=xl/sharedStrings.xml><?xml version="1.0" encoding="utf-8"?>
<sst xmlns="http://schemas.openxmlformats.org/spreadsheetml/2006/main" count="547" uniqueCount="296">
  <si>
    <t>SAM4CMx / PIC32CXMTx Demo Board Calibration Spreadsheet</t>
  </si>
  <si>
    <t>Enter these exact commands (in blue) and 
Copy and Paste ONLY THOSE EXACT LINES from 
the serial port interface results.</t>
  </si>
  <si>
    <t>Test Values</t>
  </si>
  <si>
    <t>Test Current</t>
  </si>
  <si>
    <t>Use these CAL constants to set to unity gain with zero phase adjustments.</t>
  </si>
  <si>
    <t>Test Voltage</t>
  </si>
  <si>
    <t>Meter Tester Freq</t>
  </si>
  <si>
    <t>Unity GAIN</t>
  </si>
  <si>
    <t>Zero Phase</t>
  </si>
  <si>
    <t>Meter Tester I-V Phase</t>
  </si>
  <si>
    <t>CAL_M_IA</t>
  </si>
  <si>
    <t>dcw[31](20000000)</t>
  </si>
  <si>
    <t>dcw[38](0)</t>
  </si>
  <si>
    <t>Present voltage is :</t>
  </si>
  <si>
    <t>Meter Tester V-V Phase</t>
  </si>
  <si>
    <t>CAL_M_VA</t>
  </si>
  <si>
    <t>dcw[32](20000000)</t>
  </si>
  <si>
    <t>dcw[39](0)</t>
  </si>
  <si>
    <t>CAL_M_IB</t>
  </si>
  <si>
    <t>dcw[33](20000000)</t>
  </si>
  <si>
    <t>dcw[40](0)</t>
  </si>
  <si>
    <t>CAL_M_VB</t>
  </si>
  <si>
    <t>dcw[34](20000000)</t>
  </si>
  <si>
    <t>dcw[41](0)</t>
  </si>
  <si>
    <t>Present current is :</t>
  </si>
  <si>
    <t>CAL_M_IC</t>
  </si>
  <si>
    <t>dcw[35](20000000)</t>
  </si>
  <si>
    <t>dcw[42](0)</t>
  </si>
  <si>
    <t>CAL_M_VC</t>
  </si>
  <si>
    <t>dcw[36](20000000)</t>
  </si>
  <si>
    <t>dcw[43](0)</t>
  </si>
  <si>
    <t>CAL_M_IN</t>
  </si>
  <si>
    <t>dcw[37](20000000)</t>
  </si>
  <si>
    <t>DEFAULT</t>
  </si>
  <si>
    <t>16</t>
  </si>
  <si>
    <t>uQ32.0</t>
  </si>
  <si>
    <t>Use V-V phase correction( 0=NO; 1=YES )</t>
  </si>
  <si>
    <t>before
(measured)</t>
  </si>
  <si>
    <t>after
(predicted)</t>
  </si>
  <si>
    <t>old cal (hex)</t>
  </si>
  <si>
    <t>old_CAL(60Hz)</t>
  </si>
  <si>
    <t>New_CAL</t>
  </si>
  <si>
    <t>raw value</t>
  </si>
  <si>
    <t>cal commands</t>
  </si>
  <si>
    <t>uQ8.24</t>
  </si>
  <si>
    <t>CAL_PH_IA</t>
  </si>
  <si>
    <t>uQ2.30</t>
  </si>
  <si>
    <t>CAL_PH_VA</t>
  </si>
  <si>
    <t>CAL_PH_IB</t>
  </si>
  <si>
    <t>uQ12.20</t>
  </si>
  <si>
    <t>CAL_PH_VB</t>
  </si>
  <si>
    <t>CAL_PH_IC</t>
  </si>
  <si>
    <t>sQ1.30</t>
  </si>
  <si>
    <t>CAL_PH_VC</t>
  </si>
  <si>
    <t>uQ0.32</t>
  </si>
  <si>
    <t>uQ22.10</t>
  </si>
  <si>
    <t>0                  0                  0                  0</t>
  </si>
  <si>
    <t>0</t>
  </si>
  <si>
    <t>sQ2.29</t>
  </si>
  <si>
    <t>00 VERSION         01 STATUS          02 STATE_FLAG      03 CAPTURE_STATUS</t>
  </si>
  <si>
    <t>04 INTERVAL_NUM    05 N               06 PH_OFFSET       07 FREQ</t>
  </si>
  <si>
    <t>08 FREQ_VA         09 FREQ_VB         10 FREQ_VC         11 RESERVED_S11</t>
  </si>
  <si>
    <t>sQ0.31</t>
  </si>
  <si>
    <t>12 TEMPERATURE     13 I_A_MAX         14 I_B_MAX         15 I_C_MAX</t>
  </si>
  <si>
    <t>16 I_Ni_MAX        17 I_Nm_MAX        18 V_A_MAX         19 V_B_MAX</t>
  </si>
  <si>
    <t>20 V_C_MAX         21 FEATURES        22 RESERVED_S22    23 RESERVED_S23</t>
  </si>
  <si>
    <t>28 RESERVED_S28    29 RESERVED_S29    30 ZC_N_VA         31 ZC_N_VB</t>
  </si>
  <si>
    <t>32 ZC_N_VC         33 AT_CAL_41_44    34 AT_CAL_45_48</t>
  </si>
  <si>
    <t>00 I_A             01 I_B             02 I_C             03 I_Ni</t>
  </si>
  <si>
    <t>04 I_Nm            05 I_A_F           06 I_B_F           07 I_C_F</t>
  </si>
  <si>
    <t>12 RESERVED_A12    13 RESERVED_A13    14 RESERVED_A14    15 P_A</t>
  </si>
  <si>
    <t>16 P_B             17 P_C             18 P_A_F           19 P_B_F</t>
  </si>
  <si>
    <t>24 Q_A             25 Q_B             26 Q_C             27 Q_A_F</t>
  </si>
  <si>
    <t>32 RESERVED_A32    33 V_A             34 V_B             35 V_C</t>
  </si>
  <si>
    <t>uQ20.12</t>
  </si>
  <si>
    <t>36 RESERVED_A36    37 V_A_F           38 V_B_F           39 V_C_F</t>
  </si>
  <si>
    <t>40 RESERVED_A40    41 V_AB            42 V_BC            43 V_CA</t>
  </si>
  <si>
    <t>44 V_AB_F          45 V_BC_F          46 V_CA_F          47 RESERVED_A47</t>
  </si>
  <si>
    <t>sQ23.8</t>
  </si>
  <si>
    <t>48 RESERVED_A48    49 RESERVED_A49    50 ACC_T0          51 ACC_T1</t>
  </si>
  <si>
    <t>52 ACC_T2          53 RESERVED_A53    54 RESERVED_A54</t>
  </si>
  <si>
    <t>sQ16.15</t>
  </si>
  <si>
    <t>uQ24.40</t>
  </si>
  <si>
    <t>uQ44.20</t>
  </si>
  <si>
    <t>SQ23.40</t>
  </si>
  <si>
    <t>sQ23.40</t>
  </si>
  <si>
    <t>sQ33.30</t>
  </si>
  <si>
    <t>dsr</t>
  </si>
  <si>
    <t>20000              8                  16000021           0</t>
  </si>
  <si>
    <t>F760000            FA0                FEC16442           3C000</t>
  </si>
  <si>
    <t>08 FREQ_VA         09 FREQ_VB         10 FREQ_VC         11 RESERVED</t>
  </si>
  <si>
    <t>3C000              3BC9A              3BA2A              43</t>
  </si>
  <si>
    <t>3E1                546896B            13B9C              13D0C</t>
  </si>
  <si>
    <t>3596874            1421A0             121B1C05           15217</t>
  </si>
  <si>
    <t>20 V_C_MAX         21 RESERVED        22 RESERVED        23 RESERVED</t>
  </si>
  <si>
    <t>130DE              12259EF4           12291ABC           1229E218</t>
  </si>
  <si>
    <t>24 RESERVED        25 RESERVED        26 RESERVED        27 RESERVED</t>
  </si>
  <si>
    <t>122EE428           121B5760           121B5760           121AB1FC</t>
  </si>
  <si>
    <t>28 RESERVED        29 RESERVED        30 ZC_N_VA         31 ZC_N_VB</t>
  </si>
  <si>
    <t>121AFD54           121A6423           F9F115             F6B4CD</t>
  </si>
  <si>
    <t>F53D8A             8601CA03           FA01C003</t>
  </si>
  <si>
    <t>Version</t>
  </si>
  <si>
    <t>Date</t>
  </si>
  <si>
    <t>Changes</t>
  </si>
  <si>
    <t>Fixed issue calculating CAL_PH_Ix when "Meter Test Freq" (Q5) is different from 60Hz. 
Calculations of P_x and Q_X quantities fixed (a constant of "4000" was used instead of status register "N")</t>
  </si>
  <si>
    <t>Initial edition</t>
  </si>
  <si>
    <t>CAL_PH_IN</t>
  </si>
  <si>
    <t>16 I_Nm_MAX        17 I_Ni_MAX        18 V_A_MAX         19 V_B_MAX</t>
  </si>
  <si>
    <t>20 P_C_F           21 P_N             22 P_N_F           23 RESERVED_A23</t>
  </si>
  <si>
    <t>28 Q_B_F           29 Q_C_F           30 Q_N             31 Q_N_F</t>
  </si>
  <si>
    <t>:</t>
  </si>
  <si>
    <t>Format separator</t>
  </si>
  <si>
    <t>VALUE</t>
  </si>
  <si>
    <t>PARAMETER</t>
  </si>
  <si>
    <t>REGISTER</t>
  </si>
  <si>
    <t>ZERO PHASE COMMAND</t>
  </si>
  <si>
    <t>UNITY GAIN COMMAND</t>
  </si>
  <si>
    <t>Type the values in the yellow cells:</t>
  </si>
  <si>
    <t>VALUE (0=NO; 1=YES)</t>
  </si>
  <si>
    <t>V-V PHASE CORRECTION</t>
  </si>
  <si>
    <t>STEP 1: CONFIGURE THE INPUT SOURCES</t>
  </si>
  <si>
    <t>SETTING</t>
  </si>
  <si>
    <t>Write "1" or "0" in the yellow cell to enable or disable to voltage to voltage phase correction</t>
  </si>
  <si>
    <t>STEP 2: CONFIGURE THE CALIBRATION COMPUTATION SETTINGS AND THE CHANNELS TO BE CALIBRATED</t>
  </si>
  <si>
    <t>CHANNEL</t>
  </si>
  <si>
    <t>IA</t>
  </si>
  <si>
    <t>VA</t>
  </si>
  <si>
    <t>IB</t>
  </si>
  <si>
    <t>VB</t>
  </si>
  <si>
    <t>IC</t>
  </si>
  <si>
    <t>VC</t>
  </si>
  <si>
    <t>IN</t>
  </si>
  <si>
    <t>Write "1" or "0" in the yellow cell to enable or disable the channel to be calibrated. The blue cells contain suggested values for the common configuration of the devices supported.</t>
  </si>
  <si>
    <t>PIC32CXMTSH</t>
  </si>
  <si>
    <t>PIC32CXMTC</t>
  </si>
  <si>
    <t>CAL_M_x</t>
  </si>
  <si>
    <t>CAL_PH_x</t>
  </si>
  <si>
    <t>REGISTER SET</t>
  </si>
  <si>
    <t>STEP 3 (OPTIONAL): SET THE CALIBRATION CONSTANTS TO THE DEFAULT VALUES (UNITY GAIN AND ZERO PHASE ADJUSTMENTS)</t>
  </si>
  <si>
    <t>Using the metrology console, send the default calibration constants to the board. Please check the board documentation showing how to work with the terminal console</t>
  </si>
  <si>
    <t>This is an optional step, because the calibration parameters can be calculated using parameterts not having the default values</t>
  </si>
  <si>
    <t>STEP 4: READ THE MEASUREMENTS FROM THE BOARD</t>
  </si>
  <si>
    <t>Send to the board the commands in dark blue cells, and Copy and Paste ONLY THOSE EXACT LINES from the serial port interface results (soft blue).</t>
  </si>
  <si>
    <t>DCW[34](20000000)</t>
  </si>
  <si>
    <t>DCW[35](20000000)</t>
  </si>
  <si>
    <t>DCW[36](20000000)</t>
  </si>
  <si>
    <t>DCW[37](20000000)</t>
  </si>
  <si>
    <t>DCW[41](0)</t>
  </si>
  <si>
    <t>DCW[42](0)</t>
  </si>
  <si>
    <t>DCW[43](0)</t>
  </si>
  <si>
    <t>DCW[44](0)</t>
  </si>
  <si>
    <t>UNITY GAIN COMMAND / ZERO PHASE COMMAND</t>
  </si>
  <si>
    <t>Send the commands to the board, copying from the green/purple cells and pasting to the terminal console</t>
  </si>
  <si>
    <t>Use these commands to send the calibration registers one by one:</t>
  </si>
  <si>
    <t xml:space="preserve">Or use these commands to send the calibration registers as groups:  </t>
  </si>
  <si>
    <t>Using the metrology console, send the computed calibration constants to the board.</t>
  </si>
  <si>
    <t>STEP 5: SEND THE COMPUTED CALIBRATION REGISTERS TO THE BOARD</t>
  </si>
  <si>
    <t>STEP 6: CHECK THE ACCURACY OF THE MEASUREMENTS</t>
  </si>
  <si>
    <t>Check the accuracy of the measurements. If the result are not as good as expected, check the input sources, check the configuration and come back to step 4</t>
  </si>
  <si>
    <t>GAIN COMMAND</t>
  </si>
  <si>
    <t>PHASE COMMAND</t>
  </si>
  <si>
    <t>GAIN COMMAND / PHASE COMMAND</t>
  </si>
  <si>
    <t>CALCULATORS</t>
  </si>
  <si>
    <t>Send a "DCR" command, read the results and copy it in the proper section of step 4 in the "Step by step guide" sheet</t>
  </si>
  <si>
    <t>In the yellow cells, type the values to be configured</t>
  </si>
  <si>
    <t>STEP 2: SET THE DESIRED VALUES</t>
  </si>
  <si>
    <t>Power offset (PA)</t>
  </si>
  <si>
    <t>Power offset (PB)</t>
  </si>
  <si>
    <t>Power offset (PC)</t>
  </si>
  <si>
    <t>Power offset (QA)</t>
  </si>
  <si>
    <t>Power offset (QB)</t>
  </si>
  <si>
    <t>Power offset (QC)</t>
  </si>
  <si>
    <t xml:space="preserve">NEW VALUE </t>
  </si>
  <si>
    <t xml:space="preserve">DEFAULT VALUE </t>
  </si>
  <si>
    <t xml:space="preserve">NEEDED COMMANDS </t>
  </si>
  <si>
    <t>Meter constant (P)</t>
  </si>
  <si>
    <t>Meter constant (Q)</t>
  </si>
  <si>
    <t>Meter constant (I^2)</t>
  </si>
  <si>
    <t>NOTES</t>
  </si>
  <si>
    <t>Enable/Disable with power offset control register</t>
  </si>
  <si>
    <t>Global P offset</t>
  </si>
  <si>
    <t>Global Q offset</t>
  </si>
  <si>
    <t>Creep threshold (P)</t>
  </si>
  <si>
    <t>Update the system frequency and update it in the proper section of step 1 in the "Step by step guide" sheet</t>
  </si>
  <si>
    <t>STEP 1: READ THE BOARD CONFIGURATION AND THE SYSTEM FREQUENCY</t>
  </si>
  <si>
    <t>Creep threshold (Q)</t>
  </si>
  <si>
    <t>Creep threshold (I)</t>
  </si>
  <si>
    <t>Voltage and current angle is :</t>
  </si>
  <si>
    <t>PARAMETER 1</t>
  </si>
  <si>
    <t>Resistor divider ratio</t>
  </si>
  <si>
    <t>NA</t>
  </si>
  <si>
    <t>19CC00</t>
  </si>
  <si>
    <t>CT Ratio</t>
  </si>
  <si>
    <t>PARAMETER 2</t>
  </si>
  <si>
    <t>Burden resistor</t>
  </si>
  <si>
    <t>PARAMETER 3</t>
  </si>
  <si>
    <t>PGA</t>
  </si>
  <si>
    <t>9A523</t>
  </si>
  <si>
    <t>K_IA</t>
  </si>
  <si>
    <t>K_VA</t>
  </si>
  <si>
    <t>K_VC</t>
  </si>
  <si>
    <t>K_VB</t>
  </si>
  <si>
    <t>K_IB</t>
  </si>
  <si>
    <t>K_IC</t>
  </si>
  <si>
    <t>K_IN</t>
  </si>
  <si>
    <t>Shunt resistor</t>
  </si>
  <si>
    <t>Rogowski coil scale factor at 60Hz</t>
  </si>
  <si>
    <t>Check if the pulse width allows to reach the expected max pulse rate (max power applied)</t>
  </si>
  <si>
    <t>METER CONSTANT</t>
  </si>
  <si>
    <t>APPLIED POWER</t>
  </si>
  <si>
    <t xml:space="preserve">PULSE RATE </t>
  </si>
  <si>
    <t>Enter the values in the yellow cells. The blue cell shows the result.</t>
  </si>
  <si>
    <t>PULSE RATE CALCULATOR (USEFUL TO CONFIGURE THE PULSE WIDTH)</t>
  </si>
  <si>
    <t>"Tools" worksheet added</t>
  </si>
  <si>
    <t>This version supports the new features of the neutral current measurements.
It requires SAM4CM metrology library 2.0.0B or newer; or PIC32CXMTx 3.0.0A or newer
Valid for SAM4CM and PIC32CX</t>
  </si>
  <si>
    <t>Register set changed
It is valid for PIC32CXMTx metrology library3.03.00 or newer
Valid PIC32CXMTx. SAM4CMx is not supported.</t>
  </si>
  <si>
    <t>TOOLS</t>
  </si>
  <si>
    <t>Enable/Disable with Feature Control Register</t>
  </si>
  <si>
    <t>Creep threshold (S)</t>
  </si>
  <si>
    <t>Global S offset</t>
  </si>
  <si>
    <t>PIC32CXMTx Demo Board Calibration Spreadsheet</t>
  </si>
  <si>
    <t>1A2EC26            1A2EC26            1A2EC26            9A523</t>
  </si>
  <si>
    <t>28 K_VA            29 K_IB            30 K_VB            31 K_IC</t>
  </si>
  <si>
    <t>19CC00             9A523              19CC00             9A523</t>
  </si>
  <si>
    <t>32 K_VC            33 K_IN            34 CAL_M_IA        35 CAL_M_VA</t>
  </si>
  <si>
    <t>36 CAL_M_IB        37 CAL_M_VB        38 CAL_M_IC        39 CAL_M_VC</t>
  </si>
  <si>
    <t>40 CAL_M_IN        41 CAL_PH_IA       42 CAL_PH_VA       43 CAL_PH_IB</t>
  </si>
  <si>
    <t>44 CAL_PH_VB       45 CAL_PH_IC       46 CAL_PH_VC       47 CAL_PH_IN</t>
  </si>
  <si>
    <t>3                  0                  0                  0</t>
  </si>
  <si>
    <t>24 RESERVED_S24    25 PULSE0_COUNTER  26 PULSE1_COUNTER  27 PULSE2_COUNTER</t>
  </si>
  <si>
    <t>0                  0                  0</t>
  </si>
  <si>
    <t>Nota Alfredo</t>
  </si>
  <si>
    <t>Cambiar manualmente FEATURE_CTRL1 por HARMONIC_CTRL y FEATURE_CTRL0 por FEATURE_CTRL</t>
  </si>
  <si>
    <t>NEW CAL VALUES Channels A/B/C/N</t>
  </si>
  <si>
    <t xml:space="preserve">NEW CAL VALUES Channels A/B only </t>
  </si>
  <si>
    <t>00 STATE_CTRL      01 FEATURE_CTRL    02 HARMONIC_CTRL   03 METER_TYPE</t>
  </si>
  <si>
    <t>&gt;par u</t>
  </si>
  <si>
    <t>&gt;par i</t>
  </si>
  <si>
    <t>&gt;par a</t>
  </si>
  <si>
    <t>&gt;dcr</t>
  </si>
  <si>
    <t>04 M               05 N_MAX           06 PULSE0_CTRL     07 PULSE1_CTRL</t>
  </si>
  <si>
    <t>0                  1130               810001D0           810201D0</t>
  </si>
  <si>
    <t>08 PULSE2_CTRL     09 P_K_t           10 Q_K_t           11 I_K_t</t>
  </si>
  <si>
    <t>110401D0           500000             500000             500000</t>
  </si>
  <si>
    <t>500000             2E9A               2E9A               212D</t>
  </si>
  <si>
    <t>2E9A               0                  0                  0</t>
  </si>
  <si>
    <t>0                  5EAB918            5EAB918            5EAB918</t>
  </si>
  <si>
    <t>19CC00             9A523              20000000           20000000</t>
  </si>
  <si>
    <t>20000000           20000000           20000000           20000000</t>
  </si>
  <si>
    <t>20000000           0                  0                  0</t>
  </si>
  <si>
    <t>F00                7D00               20000000           0</t>
  </si>
  <si>
    <t>0                  0                  1010103            7000001</t>
  </si>
  <si>
    <t>&gt;dsr</t>
  </si>
  <si>
    <t>30300              8                  4000023            0</t>
  </si>
  <si>
    <t>31FFC              31FFC              0                  0</t>
  </si>
  <si>
    <t>0                  803F6E00           0                  0</t>
  </si>
  <si>
    <t>0                  BA011804           1C022904</t>
  </si>
  <si>
    <t>&gt;dar</t>
  </si>
  <si>
    <t>08 I_Nmi           09 RESERVED_A09    10 RESERVED_A10    11 RESERVED_A11</t>
  </si>
  <si>
    <t>DCW[38](20000000)</t>
  </si>
  <si>
    <t>DCW[39](20000000)</t>
  </si>
  <si>
    <t>DCW[40](20000000)</t>
  </si>
  <si>
    <t>DCW[45](0)</t>
  </si>
  <si>
    <t>DCW[46](0)</t>
  </si>
  <si>
    <t>DCW[47](0)</t>
  </si>
  <si>
    <t>DCM( 34:20000000; 35:20000000; 36:20000000; 37:20000000; 38:20000000; 39:20000000; 40:20000000 )</t>
  </si>
  <si>
    <t>DCM( 41:0; 42:0; 43:0; 44:0; 45:0; 46:0; 47:0 )</t>
  </si>
  <si>
    <t>Ua=212.809V Ub=212.853V Uc=0.000V</t>
  </si>
  <si>
    <t>Ia=2.0239A Ib=2.0216A Ic=0.0000A Ini=2.0250A Inm=0.0000A Inmi=2.0250A</t>
  </si>
  <si>
    <t>Angle_A= 59.963 Angle_B= 59.705 Angle_C= 0.000 Angle_N= 0.000</t>
  </si>
  <si>
    <t>2                  300                0                  CCC</t>
  </si>
  <si>
    <t>12 S_K_t           13 CREEP_THR_P     14 CREEP_THR_Q     15 CREEP_THR_I</t>
  </si>
  <si>
    <t>16 CREEP_THR_S     17 PWR_OFFS_CTRL   18 PWR_OFFS_P      19 PWR_OFFS_Q</t>
  </si>
  <si>
    <t>20 PWR_OFFS_S      21 SWELL_THR_VA    22 SWELL_THR_VB    23 SWELL_THR_VC</t>
  </si>
  <si>
    <t>24 SAG_THR_VA      25 SAG_THR_VB      26 SAG_THR_VC      27 K_IA</t>
  </si>
  <si>
    <t>48 CPTR_CTRL       49 CPTR_BUFF_SIZE  50 CPTR_ADDR       51 Reserved1</t>
  </si>
  <si>
    <t>52 Reserved2       53 Reserved3       54 ATS_CTRL_20_23  55 ATS_CTRL_24_27</t>
  </si>
  <si>
    <t>56 ATS_CTRL_28_2B  57 Reserved4       58 PWR_OFFS_P_A    59 PWR_OFFS_P_B</t>
  </si>
  <si>
    <t>60 PWR_OFFS_P_C    61 PWR_OFFS_Q_A    62 PWR_OFFS_Q_B    63 PWR_OFFS_Q_C</t>
  </si>
  <si>
    <t>16C50049           FA0                FF0A3D71           31FFC</t>
  </si>
  <si>
    <t>1C19               2791EC             276486             0</t>
  </si>
  <si>
    <t>0                  1852D              60CD89D            609AC25</t>
  </si>
  <si>
    <t>0                  AA                 125                0</t>
  </si>
  <si>
    <t>0                  0                  E0FB0F             E2A662</t>
  </si>
  <si>
    <t>B026F5CBA          AFC5E0357          0                  401F84B0B</t>
  </si>
  <si>
    <t>0                  B0183CC32          AFBE1B07D          0</t>
  </si>
  <si>
    <t>401F84B03          0                  0                  0</t>
  </si>
  <si>
    <t>0                  0                  0                  D896077273</t>
  </si>
  <si>
    <t>DA2EDD6D57         0                  D88A51EDEA         DA257362B4</t>
  </si>
  <si>
    <t>176A4F997BA        175460426E4        0                  1769EF7FFC4</t>
  </si>
  <si>
    <t>1755117F8CA        0                  0                  0</t>
  </si>
  <si>
    <t>0                  4275A678D1CF       427C334E36F2       0</t>
  </si>
  <si>
    <t>0                  427502F8C4BF       427B7FCD6F6A       0</t>
  </si>
  <si>
    <t>0                  C7CA5A0254E2       427C334E36F2       4275A678D1CF</t>
  </si>
  <si>
    <t>C7C8687AEF8C       427B7FCD6F6A       427502F8C4BF       0</t>
  </si>
  <si>
    <t>0                  0                  D71E8610B          1725DBC879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</si>
</sst>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4">
    <numFmt numFmtId="164" formatCode="0.000"/>
    <numFmt numFmtId="165" formatCode="0.000&quot; A&quot;"/>
    <numFmt numFmtId="166" formatCode="0.000&quot; V&quot;"/>
    <numFmt numFmtId="167" formatCode="0.00&quot; Hz&quot;"/>
    <numFmt numFmtId="168" formatCode="0.00&quot; deg&quot;"/>
    <numFmt numFmtId="169" formatCode="0.000000&quot; gain&quot;"/>
    <numFmt numFmtId="170" formatCode="0.000&quot; deg&quot;"/>
    <numFmt numFmtId="171" formatCode="0.0000"/>
    <numFmt numFmtId="172" formatCode="0.00&quot;°C&quot;"/>
    <numFmt numFmtId="173" formatCode="0.00000000000000"/>
    <numFmt numFmtId="174" formatCode="0.0&quot; deg&quot;"/>
    <numFmt numFmtId="175" formatCode="0&quot; pulses/kWh&quot;"/>
    <numFmt numFmtId="176" formatCode="0.00&quot; W&quot;"/>
    <numFmt numFmtId="177" formatCode="0&quot; pulses/kVarh&quot;"/>
    <numFmt numFmtId="178" formatCode="0&quot; pulses/kI^2h&quot;"/>
    <numFmt numFmtId="179" formatCode="0.00&quot; Var&quot;"/>
    <numFmt numFmtId="180" formatCode="0&quot; Wh&quot;"/>
    <numFmt numFmtId="181" formatCode="0&quot; Varh&quot;"/>
    <numFmt numFmtId="182" formatCode="0&quot; mArms scaled&quot;"/>
    <numFmt numFmtId="183" formatCode="0&quot; uOhm&quot;"/>
    <numFmt numFmtId="184" formatCode="0&quot; uV/A at 60Hz&quot;"/>
    <numFmt numFmtId="185" formatCode="0.00&quot; KW&quot;"/>
    <numFmt numFmtId="186" formatCode="0&quot; VAh&quot;"/>
    <numFmt numFmtId="187" formatCode="0.00&quot; VA&quot;"/>
  </numFmts>
  <fonts count="17" x14ac:knownFonts="1">
    <font>
      <sz val="11"/>
      <color theme="1"/>
      <name val="Calibri"/>
      <family val="2"/>
      <scheme val="minor"/>
    </font>
    <font>
      <b/>
      <sz val="11"/>
      <color theme="1"/>
      <name val="Calibri"/>
      <family val="2"/>
      <scheme val="minor"/>
    </font>
    <font>
      <sz val="8"/>
      <color theme="1"/>
      <name val="Courier New"/>
      <family val="3"/>
    </font>
    <font>
      <b/>
      <sz val="14"/>
      <color theme="1"/>
      <name val="Calibri"/>
      <family val="2"/>
      <scheme val="minor"/>
    </font>
    <font>
      <b/>
      <sz val="12"/>
      <color theme="1"/>
      <name val="Courier New"/>
      <family val="3"/>
    </font>
    <font>
      <b/>
      <sz val="12"/>
      <color theme="1"/>
      <name val="Calibri"/>
      <family val="2"/>
      <scheme val="minor"/>
    </font>
    <font>
      <b/>
      <i/>
      <sz val="11"/>
      <color theme="1"/>
      <name val="Courier New"/>
      <family val="3"/>
    </font>
    <font>
      <b/>
      <sz val="8"/>
      <color theme="1"/>
      <name val="Courier New"/>
      <family val="3"/>
    </font>
    <font>
      <sz val="11"/>
      <color theme="1"/>
      <name val="Courier New"/>
      <family val="3"/>
    </font>
    <font>
      <sz val="11"/>
      <color theme="1"/>
      <name val="Calibri"/>
      <family val="2"/>
    </font>
    <font>
      <b/>
      <sz val="10"/>
      <color theme="1"/>
      <name val="Courier New"/>
      <family val="3"/>
    </font>
    <font>
      <b/>
      <sz val="18"/>
      <color theme="1"/>
      <name val="Calibri"/>
      <family val="2"/>
      <scheme val="minor"/>
    </font>
    <font>
      <sz val="12"/>
      <color theme="1"/>
      <name val="Calibri"/>
      <family val="2"/>
      <scheme val="minor"/>
    </font>
    <font>
      <sz val="11"/>
      <color rgb="FFFF0000"/>
      <name val="Calibri"/>
      <family val="2"/>
      <scheme val="minor"/>
    </font>
    <font>
      <sz val="8"/>
      <name val="Courier New"/>
      <family val="3"/>
    </font>
    <font>
      <sz val="11"/>
      <name val="Courier New"/>
      <family val="3"/>
    </font>
    <font>
      <sz val="1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rgb="FFCCFFCC"/>
        <bgColor indexed="64"/>
      </patternFill>
    </fill>
    <fill>
      <patternFill patternType="solid">
        <fgColor rgb="FFFFCCFF"/>
        <bgColor indexed="64"/>
      </patternFill>
    </fill>
    <fill>
      <patternFill patternType="solid">
        <fgColor rgb="FFFFC000"/>
        <bgColor indexed="64"/>
      </patternFill>
    </fill>
    <fill>
      <patternFill patternType="solid">
        <fgColor theme="5" tint="-0.249977111117893"/>
        <bgColor indexed="64"/>
      </patternFill>
    </fill>
    <fill>
      <patternFill patternType="solid">
        <fgColor rgb="FF00B0F0"/>
        <bgColor indexed="64"/>
      </patternFill>
    </fill>
    <fill>
      <patternFill patternType="solid">
        <fgColor rgb="FF92D050"/>
        <bgColor indexed="64"/>
      </patternFill>
    </fill>
    <fill>
      <patternFill patternType="solid">
        <fgColor rgb="FFFF99FF"/>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0"/>
        <bgColor indexed="64"/>
      </patternFill>
    </fill>
  </fills>
  <borders count="41">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thin">
        <color indexed="64"/>
      </left>
      <right style="thin">
        <color indexed="64"/>
      </right>
      <top/>
      <bottom style="dotted">
        <color indexed="64"/>
      </bottom>
      <diagonal/>
    </border>
    <border>
      <left style="thin">
        <color indexed="64"/>
      </left>
      <right/>
      <top style="dotted">
        <color indexed="64"/>
      </top>
      <bottom/>
      <diagonal/>
    </border>
    <border>
      <left/>
      <right/>
      <top style="dotted">
        <color indexed="64"/>
      </top>
      <bottom/>
      <diagonal/>
    </border>
    <border>
      <left/>
      <right style="thin">
        <color indexed="64"/>
      </right>
      <top style="dotted">
        <color indexed="64"/>
      </top>
      <bottom/>
      <diagonal/>
    </border>
    <border>
      <left style="thin">
        <color indexed="64"/>
      </left>
      <right style="thin">
        <color indexed="64"/>
      </right>
      <top style="dotted">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dotted">
        <color indexed="64"/>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diagonalUp="1" diagonalDown="1">
      <left/>
      <right/>
      <top style="thin">
        <color indexed="64"/>
      </top>
      <bottom/>
      <diagonal style="thin">
        <color indexed="64"/>
      </diagonal>
    </border>
    <border diagonalUp="1" diagonalDown="1">
      <left/>
      <right/>
      <top/>
      <bottom style="dotted">
        <color indexed="64"/>
      </bottom>
      <diagonal style="thin">
        <color indexed="64"/>
      </diagonal>
    </border>
    <border diagonalUp="1" diagonalDown="1">
      <left/>
      <right/>
      <top style="dotted">
        <color indexed="64"/>
      </top>
      <bottom/>
      <diagonal style="thin">
        <color indexed="64"/>
      </diagonal>
    </border>
    <border diagonalUp="1" diagonalDown="1">
      <left/>
      <right/>
      <top style="dotted">
        <color indexed="64"/>
      </top>
      <bottom style="thin">
        <color indexed="64"/>
      </bottom>
      <diagonal style="thin">
        <color indexed="64"/>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216">
    <xf numFmtId="0" fontId="0" fillId="0" borderId="0" xfId="0"/>
    <xf numFmtId="49" fontId="2" fillId="0" borderId="0" xfId="0" applyNumberFormat="1" applyFont="1"/>
    <xf numFmtId="0" fontId="2" fillId="0" borderId="0" xfId="0" applyFont="1" applyAlignment="1">
      <alignment horizontal="center"/>
    </xf>
    <xf numFmtId="49" fontId="2" fillId="0" borderId="0" xfId="0" applyNumberFormat="1" applyFont="1" applyAlignment="1">
      <alignment horizontal="center"/>
    </xf>
    <xf numFmtId="164" fontId="2" fillId="0" borderId="0" xfId="0" applyNumberFormat="1" applyFont="1" applyAlignment="1">
      <alignment horizontal="center"/>
    </xf>
    <xf numFmtId="0" fontId="2" fillId="0" borderId="0" xfId="0" applyFont="1"/>
    <xf numFmtId="0" fontId="3" fillId="0" borderId="0" xfId="0" applyFont="1"/>
    <xf numFmtId="0" fontId="4" fillId="0" borderId="0" xfId="0" applyFont="1"/>
    <xf numFmtId="0" fontId="5" fillId="0" borderId="0" xfId="0" applyFont="1"/>
    <xf numFmtId="165" fontId="0" fillId="0" borderId="1" xfId="0" applyNumberFormat="1" applyBorder="1"/>
    <xf numFmtId="0" fontId="1" fillId="0" borderId="2" xfId="0" applyFont="1" applyBorder="1"/>
    <xf numFmtId="166" fontId="0" fillId="0" borderId="1" xfId="0" applyNumberFormat="1" applyBorder="1"/>
    <xf numFmtId="167" fontId="0" fillId="0" borderId="1" xfId="0" applyNumberFormat="1" applyBorder="1" applyAlignment="1">
      <alignment horizontal="right"/>
    </xf>
    <xf numFmtId="0" fontId="1" fillId="0" borderId="2" xfId="0" applyFont="1" applyBorder="1" applyAlignment="1">
      <alignment horizontal="left"/>
    </xf>
    <xf numFmtId="0" fontId="4" fillId="0" borderId="0" xfId="0" applyFont="1" applyAlignment="1">
      <alignment horizontal="center"/>
    </xf>
    <xf numFmtId="0" fontId="5" fillId="0" borderId="0" xfId="0" applyFont="1" applyAlignment="1">
      <alignment horizontal="center"/>
    </xf>
    <xf numFmtId="168" fontId="0" fillId="0" borderId="1" xfId="0" applyNumberFormat="1" applyBorder="1"/>
    <xf numFmtId="49" fontId="2" fillId="0" borderId="0" xfId="0" applyNumberFormat="1" applyFont="1" applyAlignment="1">
      <alignment horizontal="right"/>
    </xf>
    <xf numFmtId="0" fontId="0" fillId="3" borderId="0" xfId="0" applyFill="1"/>
    <xf numFmtId="0" fontId="0" fillId="4" borderId="0" xfId="0" applyFill="1"/>
    <xf numFmtId="2" fontId="2" fillId="0" borderId="0" xfId="0" applyNumberFormat="1" applyFont="1" applyAlignment="1">
      <alignment horizontal="center"/>
    </xf>
    <xf numFmtId="0" fontId="0" fillId="0" borderId="0" xfId="0" applyAlignment="1">
      <alignment wrapText="1"/>
    </xf>
    <xf numFmtId="0" fontId="7" fillId="0" borderId="3" xfId="0" applyFont="1" applyBorder="1"/>
    <xf numFmtId="0" fontId="0" fillId="0" borderId="4" xfId="0" applyBorder="1"/>
    <xf numFmtId="0" fontId="0" fillId="0" borderId="5" xfId="0" applyBorder="1"/>
    <xf numFmtId="0" fontId="2" fillId="3" borderId="6" xfId="0" applyFont="1" applyFill="1" applyBorder="1"/>
    <xf numFmtId="0" fontId="0" fillId="3" borderId="7" xfId="0" applyFill="1" applyBorder="1"/>
    <xf numFmtId="0" fontId="8" fillId="0" borderId="0" xfId="0" applyFont="1" applyAlignment="1">
      <alignment horizontal="right"/>
    </xf>
    <xf numFmtId="0" fontId="0" fillId="0" borderId="0" xfId="0" applyAlignment="1">
      <alignment horizontal="center"/>
    </xf>
    <xf numFmtId="164" fontId="0" fillId="0" borderId="0" xfId="0" applyNumberFormat="1"/>
    <xf numFmtId="0" fontId="2" fillId="4" borderId="8" xfId="0" applyFont="1" applyFill="1" applyBorder="1"/>
    <xf numFmtId="0" fontId="0" fillId="4" borderId="9" xfId="0" applyFill="1" applyBorder="1"/>
    <xf numFmtId="0" fontId="0" fillId="4" borderId="10" xfId="0" applyFill="1" applyBorder="1"/>
    <xf numFmtId="0" fontId="0" fillId="6" borderId="0" xfId="0" applyFill="1" applyAlignment="1">
      <alignment horizontal="center"/>
    </xf>
    <xf numFmtId="0" fontId="0" fillId="2" borderId="0" xfId="0" applyFill="1" applyAlignment="1">
      <alignment horizontal="center"/>
    </xf>
    <xf numFmtId="0" fontId="2" fillId="0" borderId="0" xfId="0" applyFont="1" applyAlignment="1">
      <alignment horizontal="center" wrapText="1"/>
    </xf>
    <xf numFmtId="0" fontId="1" fillId="0" borderId="0" xfId="0" applyFont="1" applyAlignment="1">
      <alignment horizontal="center"/>
    </xf>
    <xf numFmtId="0" fontId="0" fillId="7" borderId="0" xfId="0" applyFill="1" applyAlignment="1">
      <alignment horizontal="center"/>
    </xf>
    <xf numFmtId="165" fontId="2" fillId="0" borderId="0" xfId="0" applyNumberFormat="1" applyFont="1" applyAlignment="1">
      <alignment horizontal="center"/>
    </xf>
    <xf numFmtId="0" fontId="2" fillId="0" borderId="11" xfId="0" applyFont="1" applyBorder="1" applyAlignment="1">
      <alignment horizontal="center"/>
    </xf>
    <xf numFmtId="0" fontId="9" fillId="8" borderId="12" xfId="0" applyFont="1" applyFill="1" applyBorder="1" applyAlignment="1">
      <alignment horizontal="right"/>
    </xf>
    <xf numFmtId="0" fontId="0" fillId="8" borderId="12" xfId="0" applyFill="1"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1" xfId="0" applyFill="1" applyBorder="1" applyAlignment="1">
      <alignment horizontal="left"/>
    </xf>
    <xf numFmtId="166" fontId="2" fillId="0" borderId="0" xfId="0" applyNumberFormat="1" applyFont="1" applyAlignment="1">
      <alignment horizontal="center"/>
    </xf>
    <xf numFmtId="0" fontId="2" fillId="0" borderId="15" xfId="0" applyFont="1" applyBorder="1" applyAlignment="1">
      <alignment horizontal="center"/>
    </xf>
    <xf numFmtId="0" fontId="0" fillId="8" borderId="16" xfId="0" applyFill="1" applyBorder="1" applyAlignment="1">
      <alignment horizontal="center"/>
    </xf>
    <xf numFmtId="0" fontId="0" fillId="8" borderId="17" xfId="0" applyFill="1" applyBorder="1" applyAlignment="1">
      <alignment horizontal="center"/>
    </xf>
    <xf numFmtId="0" fontId="0" fillId="8" borderId="18" xfId="0" applyFill="1" applyBorder="1" applyAlignment="1">
      <alignment horizontal="center"/>
    </xf>
    <xf numFmtId="0" fontId="0" fillId="8" borderId="19" xfId="0" applyFill="1" applyBorder="1" applyAlignment="1">
      <alignment horizontal="left"/>
    </xf>
    <xf numFmtId="0" fontId="0" fillId="8" borderId="20" xfId="0" applyFill="1"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center"/>
    </xf>
    <xf numFmtId="0" fontId="0" fillId="8" borderId="23" xfId="0" applyFill="1" applyBorder="1" applyAlignment="1">
      <alignment horizontal="left"/>
    </xf>
    <xf numFmtId="0" fontId="2" fillId="0" borderId="24" xfId="0" applyFont="1" applyBorder="1" applyAlignment="1">
      <alignment horizontal="center"/>
    </xf>
    <xf numFmtId="0" fontId="0" fillId="8" borderId="27" xfId="0" applyFill="1" applyBorder="1" applyAlignment="1">
      <alignment horizontal="center"/>
    </xf>
    <xf numFmtId="0" fontId="0" fillId="8" borderId="28" xfId="0" applyFill="1" applyBorder="1" applyAlignment="1">
      <alignment horizontal="center"/>
    </xf>
    <xf numFmtId="0" fontId="0" fillId="8" borderId="29" xfId="0" applyFill="1" applyBorder="1" applyAlignment="1">
      <alignment horizontal="center"/>
    </xf>
    <xf numFmtId="0" fontId="0" fillId="8" borderId="30" xfId="0" applyFill="1" applyBorder="1" applyAlignment="1">
      <alignment horizontal="left"/>
    </xf>
    <xf numFmtId="0" fontId="9" fillId="9" borderId="12" xfId="0" applyFont="1" applyFill="1" applyBorder="1" applyAlignment="1">
      <alignment horizontal="right"/>
    </xf>
    <xf numFmtId="170" fontId="0" fillId="9" borderId="13" xfId="0" applyNumberFormat="1" applyFill="1" applyBorder="1"/>
    <xf numFmtId="170" fontId="0" fillId="4" borderId="13" xfId="0" applyNumberFormat="1" applyFill="1" applyBorder="1"/>
    <xf numFmtId="0" fontId="0" fillId="9" borderId="12" xfId="0" applyFill="1" applyBorder="1" applyAlignment="1">
      <alignment horizontal="center"/>
    </xf>
    <xf numFmtId="0" fontId="0" fillId="9" borderId="13" xfId="0" applyFill="1" applyBorder="1" applyAlignment="1">
      <alignment horizontal="center"/>
    </xf>
    <xf numFmtId="0" fontId="0" fillId="9" borderId="14" xfId="0" applyFill="1" applyBorder="1" applyAlignment="1">
      <alignment horizontal="center"/>
    </xf>
    <xf numFmtId="0" fontId="0" fillId="9" borderId="11" xfId="0" applyFill="1" applyBorder="1" applyAlignment="1">
      <alignment horizontal="left"/>
    </xf>
    <xf numFmtId="0" fontId="9" fillId="9" borderId="16" xfId="0" applyFont="1" applyFill="1" applyBorder="1" applyAlignment="1">
      <alignment horizontal="right"/>
    </xf>
    <xf numFmtId="170" fontId="0" fillId="9" borderId="17" xfId="0" applyNumberFormat="1" applyFill="1" applyBorder="1"/>
    <xf numFmtId="170" fontId="0" fillId="4" borderId="17" xfId="0" applyNumberFormat="1" applyFill="1" applyBorder="1"/>
    <xf numFmtId="0" fontId="0" fillId="9" borderId="16" xfId="0" applyFill="1" applyBorder="1" applyAlignment="1">
      <alignment horizontal="center"/>
    </xf>
    <xf numFmtId="0" fontId="0" fillId="9" borderId="17" xfId="0" applyFill="1" applyBorder="1" applyAlignment="1">
      <alignment horizontal="center"/>
    </xf>
    <xf numFmtId="0" fontId="0" fillId="9" borderId="18" xfId="0" applyFill="1" applyBorder="1" applyAlignment="1">
      <alignment horizontal="center"/>
    </xf>
    <xf numFmtId="0" fontId="0" fillId="9" borderId="19" xfId="0" applyFill="1" applyBorder="1" applyAlignment="1">
      <alignment horizontal="left"/>
    </xf>
    <xf numFmtId="0" fontId="9" fillId="9" borderId="20" xfId="0" applyFont="1" applyFill="1" applyBorder="1" applyAlignment="1">
      <alignment horizontal="right"/>
    </xf>
    <xf numFmtId="170" fontId="0" fillId="9" borderId="21" xfId="0" applyNumberFormat="1" applyFill="1" applyBorder="1"/>
    <xf numFmtId="170" fontId="0" fillId="4" borderId="21" xfId="0" applyNumberFormat="1" applyFill="1" applyBorder="1"/>
    <xf numFmtId="0" fontId="0" fillId="9" borderId="20" xfId="0" applyFill="1" applyBorder="1" applyAlignment="1">
      <alignment horizontal="center"/>
    </xf>
    <xf numFmtId="0" fontId="0" fillId="9" borderId="21" xfId="0" applyFill="1" applyBorder="1" applyAlignment="1">
      <alignment horizontal="center"/>
    </xf>
    <xf numFmtId="0" fontId="0" fillId="9" borderId="22" xfId="0" applyFill="1" applyBorder="1" applyAlignment="1">
      <alignment horizontal="center"/>
    </xf>
    <xf numFmtId="0" fontId="0" fillId="9" borderId="23" xfId="0" applyFill="1" applyBorder="1" applyAlignment="1">
      <alignment horizontal="left"/>
    </xf>
    <xf numFmtId="0" fontId="9" fillId="9" borderId="25" xfId="0" applyFont="1" applyFill="1" applyBorder="1" applyAlignment="1">
      <alignment horizontal="right"/>
    </xf>
    <xf numFmtId="170" fontId="0" fillId="9" borderId="26" xfId="0" applyNumberFormat="1" applyFill="1" applyBorder="1"/>
    <xf numFmtId="170" fontId="0" fillId="4" borderId="26" xfId="0" applyNumberFormat="1" applyFill="1" applyBorder="1"/>
    <xf numFmtId="0" fontId="0" fillId="9" borderId="25" xfId="0" applyFill="1" applyBorder="1" applyAlignment="1">
      <alignment horizontal="center"/>
    </xf>
    <xf numFmtId="0" fontId="0" fillId="9" borderId="26" xfId="0" applyFill="1" applyBorder="1" applyAlignment="1">
      <alignment horizontal="center"/>
    </xf>
    <xf numFmtId="0" fontId="0" fillId="9" borderId="31" xfId="0" applyFill="1" applyBorder="1" applyAlignment="1">
      <alignment horizontal="center"/>
    </xf>
    <xf numFmtId="0" fontId="0" fillId="9" borderId="24" xfId="0" applyFill="1" applyBorder="1" applyAlignment="1">
      <alignment horizontal="left"/>
    </xf>
    <xf numFmtId="0" fontId="10" fillId="0" borderId="3" xfId="0" applyFont="1" applyBorder="1"/>
    <xf numFmtId="0" fontId="2" fillId="8" borderId="6" xfId="0" applyFont="1" applyFill="1" applyBorder="1"/>
    <xf numFmtId="0" fontId="0" fillId="8" borderId="0" xfId="0" applyFill="1"/>
    <xf numFmtId="0" fontId="0" fillId="8" borderId="7" xfId="0" applyFill="1" applyBorder="1"/>
    <xf numFmtId="0" fontId="2" fillId="9" borderId="8" xfId="0" applyFont="1" applyFill="1" applyBorder="1"/>
    <xf numFmtId="0" fontId="0" fillId="9" borderId="9" xfId="0" applyFill="1" applyBorder="1"/>
    <xf numFmtId="0" fontId="2" fillId="9" borderId="10" xfId="0" applyFont="1" applyFill="1" applyBorder="1"/>
    <xf numFmtId="170" fontId="0" fillId="0" borderId="0" xfId="0" applyNumberFormat="1"/>
    <xf numFmtId="171" fontId="0" fillId="0" borderId="0" xfId="0" applyNumberFormat="1"/>
    <xf numFmtId="172" fontId="0" fillId="0" borderId="0" xfId="0" applyNumberFormat="1"/>
    <xf numFmtId="10" fontId="0" fillId="0" borderId="0" xfId="0" applyNumberFormat="1"/>
    <xf numFmtId="164" fontId="0" fillId="3" borderId="0" xfId="0" applyNumberFormat="1" applyFill="1"/>
    <xf numFmtId="0" fontId="0" fillId="10" borderId="0" xfId="0" applyFill="1" applyAlignment="1">
      <alignment horizontal="center"/>
    </xf>
    <xf numFmtId="0" fontId="0" fillId="10" borderId="0" xfId="0" applyFill="1"/>
    <xf numFmtId="164" fontId="0" fillId="10" borderId="0" xfId="0" applyNumberFormat="1" applyFill="1"/>
    <xf numFmtId="173" fontId="2" fillId="0" borderId="0" xfId="0" applyNumberFormat="1" applyFont="1"/>
    <xf numFmtId="174" fontId="2" fillId="0" borderId="11" xfId="0" applyNumberFormat="1" applyFont="1" applyBorder="1" applyAlignment="1">
      <alignment horizontal="center"/>
    </xf>
    <xf numFmtId="174" fontId="2" fillId="0" borderId="0" xfId="0" applyNumberFormat="1" applyFont="1" applyAlignment="1">
      <alignment horizontal="center"/>
    </xf>
    <xf numFmtId="174" fontId="2" fillId="0" borderId="15" xfId="0" applyNumberFormat="1" applyFont="1" applyBorder="1" applyAlignment="1">
      <alignment horizontal="center"/>
    </xf>
    <xf numFmtId="174" fontId="2" fillId="0" borderId="24" xfId="0" applyNumberFormat="1" applyFont="1" applyBorder="1" applyAlignment="1">
      <alignment horizontal="center"/>
    </xf>
    <xf numFmtId="169" fontId="0" fillId="0" borderId="33" xfId="0" applyNumberFormat="1" applyBorder="1"/>
    <xf numFmtId="169" fontId="0" fillId="8" borderId="13" xfId="0" applyNumberFormat="1" applyFill="1" applyBorder="1"/>
    <xf numFmtId="0" fontId="9" fillId="8" borderId="16" xfId="0" applyFont="1" applyFill="1" applyBorder="1" applyAlignment="1">
      <alignment horizontal="right"/>
    </xf>
    <xf numFmtId="169" fontId="0" fillId="8" borderId="17" xfId="0" applyNumberFormat="1" applyFill="1" applyBorder="1"/>
    <xf numFmtId="169" fontId="0" fillId="0" borderId="34" xfId="0" applyNumberFormat="1" applyBorder="1"/>
    <xf numFmtId="169" fontId="0" fillId="8" borderId="18" xfId="0" applyNumberFormat="1" applyFill="1" applyBorder="1"/>
    <xf numFmtId="0" fontId="9" fillId="8" borderId="20" xfId="0" applyFont="1" applyFill="1" applyBorder="1" applyAlignment="1">
      <alignment horizontal="right"/>
    </xf>
    <xf numFmtId="169" fontId="0" fillId="8" borderId="21" xfId="0" applyNumberFormat="1" applyFill="1" applyBorder="1"/>
    <xf numFmtId="169" fontId="0" fillId="0" borderId="35" xfId="0" applyNumberFormat="1" applyBorder="1"/>
    <xf numFmtId="169" fontId="0" fillId="8" borderId="22" xfId="0" applyNumberFormat="1" applyFill="1" applyBorder="1"/>
    <xf numFmtId="0" fontId="9" fillId="8" borderId="27" xfId="0" applyFont="1" applyFill="1" applyBorder="1" applyAlignment="1">
      <alignment horizontal="right"/>
    </xf>
    <xf numFmtId="169" fontId="0" fillId="8" borderId="28" xfId="0" applyNumberFormat="1" applyFill="1" applyBorder="1"/>
    <xf numFmtId="169" fontId="0" fillId="0" borderId="36" xfId="0" applyNumberFormat="1" applyBorder="1"/>
    <xf numFmtId="169" fontId="0" fillId="8" borderId="29" xfId="0" applyNumberFormat="1" applyFill="1" applyBorder="1"/>
    <xf numFmtId="169" fontId="0" fillId="3" borderId="13" xfId="0" applyNumberFormat="1" applyFill="1" applyBorder="1"/>
    <xf numFmtId="169" fontId="0" fillId="3" borderId="17" xfId="0" applyNumberFormat="1" applyFill="1" applyBorder="1"/>
    <xf numFmtId="169" fontId="0" fillId="3" borderId="21" xfId="0" applyNumberFormat="1" applyFill="1" applyBorder="1"/>
    <xf numFmtId="169" fontId="0" fillId="3" borderId="28" xfId="0" applyNumberFormat="1" applyFill="1" applyBorder="1"/>
    <xf numFmtId="0" fontId="1" fillId="0" borderId="0" xfId="0" applyFont="1" applyAlignment="1">
      <alignment horizontal="center" wrapText="1"/>
    </xf>
    <xf numFmtId="0" fontId="0" fillId="0" borderId="0" xfId="0" applyAlignment="1">
      <alignment horizontal="left"/>
    </xf>
    <xf numFmtId="0" fontId="1" fillId="0" borderId="0" xfId="0" applyFont="1"/>
    <xf numFmtId="0" fontId="0" fillId="0" borderId="0" xfId="0" applyAlignment="1">
      <alignment horizontal="left" vertical="center"/>
    </xf>
    <xf numFmtId="14" fontId="0" fillId="0" borderId="0" xfId="0" applyNumberFormat="1" applyAlignment="1">
      <alignment horizontal="left" vertical="center"/>
    </xf>
    <xf numFmtId="0" fontId="11" fillId="0" borderId="0" xfId="0" applyFont="1"/>
    <xf numFmtId="0" fontId="1" fillId="0" borderId="37" xfId="0" applyFont="1" applyBorder="1" applyAlignment="1">
      <alignment horizontal="center" vertical="center"/>
    </xf>
    <xf numFmtId="0" fontId="0" fillId="0" borderId="37" xfId="0" applyBorder="1" applyAlignment="1">
      <alignment horizontal="center" vertical="center"/>
    </xf>
    <xf numFmtId="0" fontId="12" fillId="0" borderId="0" xfId="0" applyFont="1"/>
    <xf numFmtId="0" fontId="1" fillId="0" borderId="37" xfId="0" applyFont="1" applyBorder="1" applyAlignment="1">
      <alignment horizontal="center"/>
    </xf>
    <xf numFmtId="49" fontId="2" fillId="0" borderId="37" xfId="0" applyNumberFormat="1" applyFont="1" applyBorder="1" applyAlignment="1">
      <alignment horizontal="center"/>
    </xf>
    <xf numFmtId="0" fontId="0" fillId="3" borderId="37" xfId="0" applyFill="1" applyBorder="1" applyAlignment="1">
      <alignment horizontal="center"/>
    </xf>
    <xf numFmtId="0" fontId="0" fillId="4" borderId="37" xfId="0" applyFill="1" applyBorder="1" applyAlignment="1">
      <alignment horizontal="center"/>
    </xf>
    <xf numFmtId="165" fontId="1" fillId="0" borderId="37" xfId="0" applyNumberFormat="1" applyFont="1" applyBorder="1" applyAlignment="1">
      <alignment horizontal="center" vertical="center"/>
    </xf>
    <xf numFmtId="165" fontId="0" fillId="2" borderId="37" xfId="0" applyNumberFormat="1" applyFill="1" applyBorder="1" applyAlignment="1">
      <alignment horizontal="center" vertical="center"/>
    </xf>
    <xf numFmtId="166" fontId="0" fillId="2" borderId="37" xfId="0" applyNumberFormat="1" applyFill="1" applyBorder="1" applyAlignment="1">
      <alignment horizontal="center" vertical="center"/>
    </xf>
    <xf numFmtId="167" fontId="0" fillId="2" borderId="37" xfId="0" applyNumberFormat="1" applyFill="1" applyBorder="1" applyAlignment="1">
      <alignment horizontal="center" vertical="center"/>
    </xf>
    <xf numFmtId="168" fontId="0" fillId="2" borderId="37" xfId="0" applyNumberFormat="1" applyFill="1" applyBorder="1" applyAlignment="1">
      <alignment horizontal="center" vertical="center"/>
    </xf>
    <xf numFmtId="0" fontId="0" fillId="0" borderId="0" xfId="0" applyAlignment="1">
      <alignment horizontal="center" vertical="center"/>
    </xf>
    <xf numFmtId="0" fontId="0" fillId="2" borderId="37" xfId="0" applyFill="1" applyBorder="1" applyAlignment="1">
      <alignment horizontal="center" vertical="center"/>
    </xf>
    <xf numFmtId="0" fontId="2" fillId="12" borderId="0" xfId="0" applyFont="1" applyFill="1" applyAlignment="1">
      <alignment horizontal="left"/>
    </xf>
    <xf numFmtId="0" fontId="2" fillId="7" borderId="0" xfId="0" applyFont="1" applyFill="1" applyAlignment="1">
      <alignment horizontal="left"/>
    </xf>
    <xf numFmtId="49" fontId="2" fillId="11" borderId="0" xfId="0" applyNumberFormat="1" applyFont="1" applyFill="1"/>
    <xf numFmtId="0" fontId="2" fillId="7" borderId="0" xfId="0" applyFont="1" applyFill="1"/>
    <xf numFmtId="0" fontId="0" fillId="7" borderId="0" xfId="0" applyFill="1"/>
    <xf numFmtId="0" fontId="0" fillId="11" borderId="0" xfId="0" applyFill="1"/>
    <xf numFmtId="0" fontId="0" fillId="11" borderId="37" xfId="0" applyFill="1" applyBorder="1" applyAlignment="1">
      <alignment horizontal="center" vertical="center"/>
    </xf>
    <xf numFmtId="168" fontId="0" fillId="11" borderId="37" xfId="0" applyNumberFormat="1" applyFill="1" applyBorder="1" applyAlignment="1">
      <alignment horizontal="center" vertical="center"/>
    </xf>
    <xf numFmtId="0" fontId="1" fillId="0" borderId="0" xfId="0" applyFont="1" applyAlignment="1">
      <alignment horizontal="left"/>
    </xf>
    <xf numFmtId="175" fontId="0" fillId="2" borderId="37" xfId="0" applyNumberFormat="1" applyFill="1" applyBorder="1" applyAlignment="1">
      <alignment horizontal="center" vertical="center"/>
    </xf>
    <xf numFmtId="175" fontId="0" fillId="11" borderId="37" xfId="0" applyNumberFormat="1" applyFill="1" applyBorder="1" applyAlignment="1">
      <alignment horizontal="center" vertical="center"/>
    </xf>
    <xf numFmtId="176" fontId="0" fillId="2" borderId="37" xfId="0" applyNumberFormat="1" applyFill="1" applyBorder="1" applyAlignment="1">
      <alignment horizontal="center" vertical="center"/>
    </xf>
    <xf numFmtId="176" fontId="0" fillId="11" borderId="37" xfId="0" applyNumberFormat="1" applyFill="1" applyBorder="1" applyAlignment="1">
      <alignment horizontal="center" vertical="center"/>
    </xf>
    <xf numFmtId="177" fontId="0" fillId="2" borderId="37" xfId="0" applyNumberFormat="1" applyFill="1" applyBorder="1" applyAlignment="1">
      <alignment horizontal="center" vertical="center"/>
    </xf>
    <xf numFmtId="177" fontId="0" fillId="11" borderId="37" xfId="0" applyNumberFormat="1" applyFill="1" applyBorder="1" applyAlignment="1">
      <alignment horizontal="center" vertical="center"/>
    </xf>
    <xf numFmtId="178" fontId="0" fillId="2" borderId="37" xfId="0" applyNumberFormat="1" applyFill="1" applyBorder="1" applyAlignment="1">
      <alignment horizontal="center" vertical="center"/>
    </xf>
    <xf numFmtId="178" fontId="0" fillId="11" borderId="37" xfId="0" applyNumberFormat="1" applyFill="1" applyBorder="1" applyAlignment="1">
      <alignment horizontal="center" vertical="center"/>
    </xf>
    <xf numFmtId="0" fontId="0" fillId="0" borderId="37" xfId="0" applyBorder="1" applyAlignment="1">
      <alignment horizontal="left" vertical="top"/>
    </xf>
    <xf numFmtId="179" fontId="0" fillId="2" borderId="37" xfId="0" applyNumberFormat="1" applyFill="1" applyBorder="1" applyAlignment="1">
      <alignment horizontal="center" vertical="center"/>
    </xf>
    <xf numFmtId="179" fontId="0" fillId="11" borderId="37" xfId="0" applyNumberFormat="1" applyFill="1" applyBorder="1" applyAlignment="1">
      <alignment horizontal="center" vertical="center"/>
    </xf>
    <xf numFmtId="180" fontId="0" fillId="2" borderId="37" xfId="0" applyNumberFormat="1" applyFill="1" applyBorder="1" applyAlignment="1">
      <alignment horizontal="center" vertical="center"/>
    </xf>
    <xf numFmtId="180" fontId="0" fillId="11" borderId="37" xfId="0" applyNumberFormat="1" applyFill="1" applyBorder="1" applyAlignment="1">
      <alignment horizontal="center" vertical="center"/>
    </xf>
    <xf numFmtId="181" fontId="0" fillId="11" borderId="37" xfId="0" applyNumberFormat="1" applyFill="1" applyBorder="1" applyAlignment="1">
      <alignment horizontal="center" vertical="center"/>
    </xf>
    <xf numFmtId="181" fontId="0" fillId="2" borderId="37" xfId="0" applyNumberFormat="1" applyFill="1" applyBorder="1" applyAlignment="1">
      <alignment horizontal="center" vertical="center"/>
    </xf>
    <xf numFmtId="182" fontId="0" fillId="2" borderId="37" xfId="0" applyNumberFormat="1" applyFill="1" applyBorder="1" applyAlignment="1">
      <alignment horizontal="center" vertical="center"/>
    </xf>
    <xf numFmtId="182" fontId="0" fillId="11" borderId="37" xfId="0" applyNumberFormat="1" applyFill="1" applyBorder="1" applyAlignment="1">
      <alignment horizontal="center" vertical="center"/>
    </xf>
    <xf numFmtId="167" fontId="0" fillId="11" borderId="37" xfId="0" applyNumberFormat="1" applyFill="1" applyBorder="1" applyAlignment="1">
      <alignment horizontal="center" vertical="center"/>
    </xf>
    <xf numFmtId="185" fontId="0" fillId="2" borderId="37" xfId="0" applyNumberFormat="1" applyFill="1" applyBorder="1" applyAlignment="1">
      <alignment horizontal="center" vertical="center"/>
    </xf>
    <xf numFmtId="0" fontId="0" fillId="2" borderId="37" xfId="0" applyFill="1" applyBorder="1" applyAlignment="1">
      <alignment horizontal="left" vertical="top"/>
    </xf>
    <xf numFmtId="168" fontId="0" fillId="12" borderId="37" xfId="0" applyNumberFormat="1" applyFill="1" applyBorder="1" applyAlignment="1">
      <alignment horizontal="center" vertical="center"/>
    </xf>
    <xf numFmtId="183" fontId="0" fillId="2" borderId="37" xfId="0" applyNumberFormat="1" applyFill="1" applyBorder="1" applyAlignment="1">
      <alignment horizontal="left" vertical="top"/>
    </xf>
    <xf numFmtId="184" fontId="0" fillId="2" borderId="37" xfId="0" applyNumberFormat="1" applyFill="1" applyBorder="1" applyAlignment="1">
      <alignment horizontal="left" vertical="top"/>
    </xf>
    <xf numFmtId="186" fontId="0" fillId="2" borderId="37" xfId="0" applyNumberFormat="1" applyFill="1" applyBorder="1" applyAlignment="1">
      <alignment horizontal="center" vertical="center"/>
    </xf>
    <xf numFmtId="186" fontId="0" fillId="11" borderId="37" xfId="0" applyNumberFormat="1" applyFill="1" applyBorder="1" applyAlignment="1">
      <alignment horizontal="center" vertical="center"/>
    </xf>
    <xf numFmtId="187" fontId="0" fillId="2" borderId="37" xfId="0" applyNumberFormat="1" applyFill="1" applyBorder="1" applyAlignment="1">
      <alignment horizontal="center" vertical="center"/>
    </xf>
    <xf numFmtId="187" fontId="0" fillId="11" borderId="37" xfId="0" applyNumberFormat="1" applyFill="1" applyBorder="1" applyAlignment="1">
      <alignment horizontal="center" vertical="center"/>
    </xf>
    <xf numFmtId="0" fontId="13" fillId="0" borderId="0" xfId="0" applyFont="1"/>
    <xf numFmtId="0" fontId="14" fillId="0" borderId="0" xfId="0" applyFont="1" applyAlignment="1">
      <alignment horizontal="center"/>
    </xf>
    <xf numFmtId="49" fontId="14" fillId="0" borderId="0" xfId="0" applyNumberFormat="1" applyFont="1"/>
    <xf numFmtId="0" fontId="14" fillId="0" borderId="0" xfId="0" applyFont="1"/>
    <xf numFmtId="0" fontId="15" fillId="0" borderId="0" xfId="0" applyFont="1" applyAlignment="1">
      <alignment horizontal="right"/>
    </xf>
    <xf numFmtId="0" fontId="16" fillId="0" borderId="0" xfId="0" applyFont="1" applyAlignment="1">
      <alignment horizontal="center"/>
    </xf>
    <xf numFmtId="0" fontId="16" fillId="0" borderId="0" xfId="0" applyFont="1"/>
    <xf numFmtId="0" fontId="0" fillId="4" borderId="1" xfId="0" applyFill="1" applyBorder="1" applyAlignment="1">
      <alignment horizontal="center"/>
    </xf>
    <xf numFmtId="0" fontId="0" fillId="4" borderId="32" xfId="0" applyFill="1" applyBorder="1"/>
    <xf numFmtId="0" fontId="0" fillId="4" borderId="2" xfId="0" applyFill="1" applyBorder="1"/>
    <xf numFmtId="0" fontId="1" fillId="0" borderId="1" xfId="0" applyFont="1" applyBorder="1" applyAlignment="1">
      <alignment horizontal="center"/>
    </xf>
    <xf numFmtId="0" fontId="0" fillId="0" borderId="32" xfId="0" applyBorder="1"/>
    <xf numFmtId="0" fontId="0" fillId="0" borderId="2" xfId="0" applyBorder="1"/>
    <xf numFmtId="0" fontId="0" fillId="3" borderId="1" xfId="0" applyFill="1" applyBorder="1" applyAlignment="1">
      <alignment horizontal="center"/>
    </xf>
    <xf numFmtId="49" fontId="2" fillId="2" borderId="0" xfId="0" applyNumberFormat="1" applyFont="1" applyFill="1" applyAlignment="1">
      <alignment horizontal="center" wrapText="1"/>
    </xf>
    <xf numFmtId="0" fontId="6" fillId="2" borderId="0" xfId="0" applyFont="1" applyFill="1" applyAlignment="1">
      <alignment horizontal="center" wrapText="1"/>
    </xf>
    <xf numFmtId="0" fontId="1" fillId="5" borderId="4" xfId="0" applyFont="1" applyFill="1" applyBorder="1" applyAlignment="1">
      <alignment horizontal="left"/>
    </xf>
    <xf numFmtId="0" fontId="1" fillId="2" borderId="0" xfId="0" applyFont="1" applyFill="1" applyAlignment="1">
      <alignment horizontal="left"/>
    </xf>
    <xf numFmtId="0" fontId="0" fillId="0" borderId="38" xfId="0" applyBorder="1" applyAlignment="1">
      <alignment horizontal="center" vertical="center"/>
    </xf>
    <xf numFmtId="0" fontId="0" fillId="0" borderId="39" xfId="0" applyBorder="1" applyAlignment="1">
      <alignment horizontal="center" vertical="center"/>
    </xf>
    <xf numFmtId="0" fontId="0" fillId="0" borderId="40" xfId="0" applyBorder="1" applyAlignment="1">
      <alignment horizontal="center" vertical="center"/>
    </xf>
    <xf numFmtId="168" fontId="0" fillId="12" borderId="38" xfId="0" applyNumberFormat="1" applyFill="1" applyBorder="1" applyAlignment="1">
      <alignment horizontal="center" vertical="center"/>
    </xf>
    <xf numFmtId="0" fontId="0" fillId="12" borderId="39" xfId="0" applyFill="1" applyBorder="1" applyAlignment="1">
      <alignment horizontal="center" vertical="center"/>
    </xf>
    <xf numFmtId="0" fontId="0" fillId="12" borderId="40" xfId="0" applyFill="1" applyBorder="1" applyAlignment="1">
      <alignment horizontal="center" vertical="center"/>
    </xf>
    <xf numFmtId="168" fontId="0" fillId="11" borderId="38" xfId="0" applyNumberFormat="1" applyFill="1" applyBorder="1" applyAlignment="1">
      <alignment horizontal="center" vertical="center"/>
    </xf>
    <xf numFmtId="0" fontId="0" fillId="0" borderId="38" xfId="0" applyBorder="1" applyAlignment="1">
      <alignment horizontal="left" vertical="top"/>
    </xf>
    <xf numFmtId="0" fontId="0" fillId="0" borderId="39" xfId="0" applyBorder="1" applyAlignment="1">
      <alignment horizontal="left" vertical="top"/>
    </xf>
    <xf numFmtId="0" fontId="0" fillId="0" borderId="40" xfId="0" applyBorder="1" applyAlignment="1">
      <alignment horizontal="left" vertical="top"/>
    </xf>
    <xf numFmtId="0" fontId="0" fillId="0" borderId="38" xfId="0" applyBorder="1" applyAlignment="1">
      <alignment horizontal="left" vertical="center" wrapText="1"/>
    </xf>
    <xf numFmtId="0" fontId="0" fillId="0" borderId="39" xfId="0" applyBorder="1" applyAlignment="1">
      <alignment horizontal="left" vertical="center" wrapText="1"/>
    </xf>
    <xf numFmtId="0" fontId="0" fillId="0" borderId="40" xfId="0" applyBorder="1" applyAlignment="1">
      <alignment horizontal="left" vertical="center" wrapText="1"/>
    </xf>
    <xf numFmtId="0" fontId="0" fillId="0" borderId="38" xfId="0" applyBorder="1" applyAlignment="1">
      <alignment horizontal="left" vertical="center"/>
    </xf>
    <xf numFmtId="0" fontId="0" fillId="0" borderId="39" xfId="0" applyBorder="1" applyAlignment="1">
      <alignment horizontal="left" vertical="center"/>
    </xf>
    <xf numFmtId="0" fontId="0" fillId="0" borderId="40" xfId="0" applyBorder="1" applyAlignment="1">
      <alignment horizontal="left" vertical="center"/>
    </xf>
  </cellXfs>
  <cellStyles count="1">
    <cellStyle name="Normal" xfId="0" builtinId="0"/>
  </cellStyles>
  <dxfs count="0"/>
  <tableStyles count="0" defaultTableStyle="TableStyleMedium2" defaultPivotStyle="PivotStyleLight16"/>
  <colors>
    <mruColors>
      <color rgb="FFFF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07C69-301A-4CF2-B808-7B4B83849F47}">
  <sheetPr>
    <pageSetUpPr fitToPage="1"/>
  </sheetPr>
  <dimension ref="B1:K163"/>
  <sheetViews>
    <sheetView tabSelected="1" topLeftCell="A44" zoomScaleNormal="100" workbookViewId="0">
      <selection activeCell="C153" sqref="C153:F153"/>
    </sheetView>
  </sheetViews>
  <sheetFormatPr defaultRowHeight="15" x14ac:dyDescent="0.25"/>
  <cols>
    <col min="2" max="2" width="22.7109375" style="5" customWidth="1"/>
    <col min="3" max="3" width="24.42578125" customWidth="1"/>
    <col min="4" max="4" width="22.28515625" customWidth="1"/>
    <col min="5" max="5" width="23.7109375" customWidth="1"/>
    <col min="6" max="6" width="22.28515625" customWidth="1"/>
    <col min="7" max="7" width="17.140625" customWidth="1"/>
    <col min="8" max="8" width="24.5703125" customWidth="1"/>
    <col min="9" max="9" width="18.42578125" customWidth="1"/>
    <col min="10" max="10" width="55.42578125" hidden="1" customWidth="1"/>
    <col min="11" max="11" width="11" bestFit="1" customWidth="1"/>
    <col min="12" max="12" width="12.7109375" bestFit="1" customWidth="1"/>
    <col min="13" max="13" width="11.28515625" bestFit="1" customWidth="1"/>
    <col min="15" max="15" width="18.28515625" bestFit="1" customWidth="1"/>
  </cols>
  <sheetData>
    <row r="1" spans="2:8" ht="23.25" x14ac:dyDescent="0.35">
      <c r="B1" s="131" t="s">
        <v>220</v>
      </c>
    </row>
    <row r="2" spans="2:8" ht="18.75" x14ac:dyDescent="0.3">
      <c r="D2" s="6"/>
      <c r="H2" s="182" t="s">
        <v>231</v>
      </c>
    </row>
    <row r="3" spans="2:8" ht="18.75" x14ac:dyDescent="0.3">
      <c r="B3" s="6" t="s">
        <v>120</v>
      </c>
      <c r="D3" s="6"/>
      <c r="H3" s="182" t="s">
        <v>232</v>
      </c>
    </row>
    <row r="4" spans="2:8" ht="19.5" thickBot="1" x14ac:dyDescent="0.35">
      <c r="B4" s="134" t="s">
        <v>117</v>
      </c>
      <c r="D4" s="6"/>
    </row>
    <row r="5" spans="2:8" ht="15.75" customHeight="1" thickBot="1" x14ac:dyDescent="0.3">
      <c r="B5" s="132" t="s">
        <v>113</v>
      </c>
      <c r="C5" s="139" t="s">
        <v>112</v>
      </c>
    </row>
    <row r="6" spans="2:8" ht="15.75" customHeight="1" thickBot="1" x14ac:dyDescent="0.3">
      <c r="B6" s="133" t="s">
        <v>3</v>
      </c>
      <c r="C6" s="140">
        <v>1</v>
      </c>
    </row>
    <row r="7" spans="2:8" ht="15.75" customHeight="1" thickBot="1" x14ac:dyDescent="0.3">
      <c r="B7" s="133" t="s">
        <v>5</v>
      </c>
      <c r="C7" s="141">
        <v>220</v>
      </c>
    </row>
    <row r="8" spans="2:8" ht="15.75" thickBot="1" x14ac:dyDescent="0.3">
      <c r="B8" s="133" t="s">
        <v>6</v>
      </c>
      <c r="C8" s="142">
        <v>50</v>
      </c>
    </row>
    <row r="9" spans="2:8" ht="15.75" thickBot="1" x14ac:dyDescent="0.3">
      <c r="B9" s="133" t="s">
        <v>9</v>
      </c>
      <c r="C9" s="143">
        <v>60</v>
      </c>
    </row>
    <row r="10" spans="2:8" ht="15.75" thickBot="1" x14ac:dyDescent="0.3">
      <c r="B10" s="133" t="s">
        <v>14</v>
      </c>
      <c r="C10" s="143">
        <v>120</v>
      </c>
    </row>
    <row r="11" spans="2:8" x14ac:dyDescent="0.25">
      <c r="B11" s="144"/>
    </row>
    <row r="12" spans="2:8" ht="18.75" x14ac:dyDescent="0.3">
      <c r="B12" s="6" t="s">
        <v>123</v>
      </c>
    </row>
    <row r="13" spans="2:8" ht="16.5" thickBot="1" x14ac:dyDescent="0.3">
      <c r="B13" s="134" t="s">
        <v>122</v>
      </c>
    </row>
    <row r="14" spans="2:8" ht="15.75" thickBot="1" x14ac:dyDescent="0.3">
      <c r="B14" s="132" t="s">
        <v>121</v>
      </c>
      <c r="C14" s="139" t="s">
        <v>118</v>
      </c>
    </row>
    <row r="15" spans="2:8" ht="15.75" thickBot="1" x14ac:dyDescent="0.3">
      <c r="B15" s="133" t="s">
        <v>119</v>
      </c>
      <c r="C15" s="145">
        <v>1</v>
      </c>
    </row>
    <row r="16" spans="2:8" x14ac:dyDescent="0.25">
      <c r="B16" s="144"/>
    </row>
    <row r="17" spans="2:5" ht="16.5" thickBot="1" x14ac:dyDescent="0.3">
      <c r="B17" s="134" t="s">
        <v>132</v>
      </c>
    </row>
    <row r="18" spans="2:5" ht="15.75" thickBot="1" x14ac:dyDescent="0.3">
      <c r="B18" s="132" t="s">
        <v>124</v>
      </c>
      <c r="C18" s="139" t="s">
        <v>118</v>
      </c>
      <c r="D18" s="132" t="s">
        <v>133</v>
      </c>
      <c r="E18" s="132" t="s">
        <v>134</v>
      </c>
    </row>
    <row r="19" spans="2:5" ht="15.75" thickBot="1" x14ac:dyDescent="0.3">
      <c r="B19" s="133" t="s">
        <v>125</v>
      </c>
      <c r="C19" s="145">
        <v>1</v>
      </c>
      <c r="D19" s="152">
        <v>1</v>
      </c>
      <c r="E19" s="152">
        <v>1</v>
      </c>
    </row>
    <row r="20" spans="2:5" ht="15.75" thickBot="1" x14ac:dyDescent="0.3">
      <c r="B20" s="133" t="s">
        <v>126</v>
      </c>
      <c r="C20" s="145">
        <v>1</v>
      </c>
      <c r="D20" s="152">
        <v>1</v>
      </c>
      <c r="E20" s="152">
        <v>1</v>
      </c>
    </row>
    <row r="21" spans="2:5" ht="15.75" thickBot="1" x14ac:dyDescent="0.3">
      <c r="B21" s="133" t="s">
        <v>127</v>
      </c>
      <c r="C21" s="145">
        <v>1</v>
      </c>
      <c r="D21" s="152">
        <v>1</v>
      </c>
      <c r="E21" s="152">
        <v>1</v>
      </c>
    </row>
    <row r="22" spans="2:5" ht="15.75" thickBot="1" x14ac:dyDescent="0.3">
      <c r="B22" s="133" t="s">
        <v>128</v>
      </c>
      <c r="C22" s="145">
        <v>1</v>
      </c>
      <c r="D22" s="152">
        <v>1</v>
      </c>
      <c r="E22" s="152">
        <v>1</v>
      </c>
    </row>
    <row r="23" spans="2:5" ht="15.75" thickBot="1" x14ac:dyDescent="0.3">
      <c r="B23" s="133" t="s">
        <v>129</v>
      </c>
      <c r="C23" s="145">
        <v>0</v>
      </c>
      <c r="D23" s="152">
        <v>0</v>
      </c>
      <c r="E23" s="152">
        <v>1</v>
      </c>
    </row>
    <row r="24" spans="2:5" ht="15.75" thickBot="1" x14ac:dyDescent="0.3">
      <c r="B24" s="133" t="s">
        <v>130</v>
      </c>
      <c r="C24" s="145">
        <v>0</v>
      </c>
      <c r="D24" s="152">
        <v>0</v>
      </c>
      <c r="E24" s="152">
        <v>1</v>
      </c>
    </row>
    <row r="25" spans="2:5" ht="15.75" thickBot="1" x14ac:dyDescent="0.3">
      <c r="B25" s="133" t="s">
        <v>131</v>
      </c>
      <c r="C25" s="145">
        <v>0</v>
      </c>
      <c r="D25" s="152">
        <v>0</v>
      </c>
      <c r="E25" s="152">
        <v>0</v>
      </c>
    </row>
    <row r="26" spans="2:5" x14ac:dyDescent="0.25">
      <c r="B26"/>
    </row>
    <row r="27" spans="2:5" ht="18.75" x14ac:dyDescent="0.3">
      <c r="B27" s="6" t="s">
        <v>138</v>
      </c>
    </row>
    <row r="28" spans="2:5" ht="15.75" x14ac:dyDescent="0.25">
      <c r="B28" s="134" t="s">
        <v>140</v>
      </c>
    </row>
    <row r="29" spans="2:5" ht="18.75" customHeight="1" x14ac:dyDescent="0.25">
      <c r="B29" s="134" t="s">
        <v>139</v>
      </c>
    </row>
    <row r="30" spans="2:5" ht="18.75" customHeight="1" x14ac:dyDescent="0.25">
      <c r="B30" s="134" t="s">
        <v>152</v>
      </c>
    </row>
    <row r="31" spans="2:5" ht="18.75" customHeight="1" thickBot="1" x14ac:dyDescent="0.3">
      <c r="B31" s="134" t="s">
        <v>153</v>
      </c>
    </row>
    <row r="32" spans="2:5" ht="15" customHeight="1" thickBot="1" x14ac:dyDescent="0.3">
      <c r="B32" s="135" t="s">
        <v>114</v>
      </c>
      <c r="C32" s="135" t="s">
        <v>116</v>
      </c>
      <c r="D32" s="135" t="s">
        <v>114</v>
      </c>
      <c r="E32" s="135" t="s">
        <v>115</v>
      </c>
    </row>
    <row r="33" spans="2:11" ht="15.75" thickBot="1" x14ac:dyDescent="0.3">
      <c r="B33" s="136" t="s">
        <v>10</v>
      </c>
      <c r="C33" s="137" t="s">
        <v>143</v>
      </c>
      <c r="D33" s="136" t="s">
        <v>45</v>
      </c>
      <c r="E33" s="138" t="s">
        <v>147</v>
      </c>
    </row>
    <row r="34" spans="2:11" ht="15.75" thickBot="1" x14ac:dyDescent="0.3">
      <c r="B34" s="136" t="s">
        <v>15</v>
      </c>
      <c r="C34" s="137" t="s">
        <v>144</v>
      </c>
      <c r="D34" s="136" t="s">
        <v>47</v>
      </c>
      <c r="E34" s="138" t="s">
        <v>148</v>
      </c>
    </row>
    <row r="35" spans="2:11" ht="16.5" thickBot="1" x14ac:dyDescent="0.3">
      <c r="B35" s="136" t="s">
        <v>18</v>
      </c>
      <c r="C35" s="137" t="s">
        <v>145</v>
      </c>
      <c r="D35" s="136" t="s">
        <v>48</v>
      </c>
      <c r="E35" s="138" t="s">
        <v>149</v>
      </c>
      <c r="K35" s="134"/>
    </row>
    <row r="36" spans="2:11" ht="15.75" thickBot="1" x14ac:dyDescent="0.3">
      <c r="B36" s="136" t="s">
        <v>21</v>
      </c>
      <c r="C36" s="137" t="s">
        <v>146</v>
      </c>
      <c r="D36" s="136" t="s">
        <v>50</v>
      </c>
      <c r="E36" s="138" t="s">
        <v>150</v>
      </c>
    </row>
    <row r="37" spans="2:11" ht="15.75" thickBot="1" x14ac:dyDescent="0.3">
      <c r="B37" s="136" t="s">
        <v>25</v>
      </c>
      <c r="C37" s="137" t="s">
        <v>259</v>
      </c>
      <c r="D37" s="136" t="s">
        <v>51</v>
      </c>
      <c r="E37" s="138" t="s">
        <v>262</v>
      </c>
    </row>
    <row r="38" spans="2:11" ht="15.75" thickBot="1" x14ac:dyDescent="0.3">
      <c r="B38" s="136" t="s">
        <v>28</v>
      </c>
      <c r="C38" s="137" t="s">
        <v>260</v>
      </c>
      <c r="D38" s="136" t="s">
        <v>53</v>
      </c>
      <c r="E38" s="138" t="s">
        <v>263</v>
      </c>
    </row>
    <row r="39" spans="2:11" ht="15.75" thickBot="1" x14ac:dyDescent="0.3">
      <c r="B39" s="136" t="s">
        <v>31</v>
      </c>
      <c r="C39" s="137" t="s">
        <v>261</v>
      </c>
      <c r="D39" s="136" t="s">
        <v>106</v>
      </c>
      <c r="E39" s="138" t="s">
        <v>264</v>
      </c>
    </row>
    <row r="40" spans="2:11" ht="16.5" thickBot="1" x14ac:dyDescent="0.3">
      <c r="B40" s="134" t="s">
        <v>154</v>
      </c>
    </row>
    <row r="41" spans="2:11" ht="15" customHeight="1" thickBot="1" x14ac:dyDescent="0.3">
      <c r="B41" s="135" t="s">
        <v>137</v>
      </c>
      <c r="C41" s="192" t="s">
        <v>151</v>
      </c>
      <c r="D41" s="193"/>
      <c r="E41" s="193"/>
      <c r="F41" s="194"/>
    </row>
    <row r="42" spans="2:11" ht="15.75" thickBot="1" x14ac:dyDescent="0.3">
      <c r="B42" s="136" t="s">
        <v>135</v>
      </c>
      <c r="C42" s="195" t="s">
        <v>265</v>
      </c>
      <c r="D42" s="193"/>
      <c r="E42" s="193"/>
      <c r="F42" s="194"/>
    </row>
    <row r="43" spans="2:11" ht="15.75" thickBot="1" x14ac:dyDescent="0.3">
      <c r="B43" s="136" t="s">
        <v>136</v>
      </c>
      <c r="C43" s="189" t="s">
        <v>266</v>
      </c>
      <c r="D43" s="190"/>
      <c r="E43" s="190"/>
      <c r="F43" s="191"/>
    </row>
    <row r="45" spans="2:11" ht="18.75" x14ac:dyDescent="0.3">
      <c r="B45" s="6" t="s">
        <v>141</v>
      </c>
    </row>
    <row r="46" spans="2:11" ht="15.75" x14ac:dyDescent="0.25">
      <c r="B46" s="134" t="s">
        <v>142</v>
      </c>
    </row>
    <row r="47" spans="2:11" x14ac:dyDescent="0.25">
      <c r="B47" s="149" t="s">
        <v>236</v>
      </c>
      <c r="C47" s="150"/>
      <c r="D47" s="150"/>
      <c r="E47" s="150"/>
    </row>
    <row r="48" spans="2:11" x14ac:dyDescent="0.25">
      <c r="B48" s="148" t="s">
        <v>13</v>
      </c>
      <c r="C48" s="151"/>
      <c r="D48" s="151"/>
      <c r="E48" s="151"/>
    </row>
    <row r="49" spans="2:11" x14ac:dyDescent="0.25">
      <c r="B49" s="148" t="s">
        <v>267</v>
      </c>
      <c r="C49" s="151"/>
      <c r="D49" s="151"/>
      <c r="E49" s="151"/>
    </row>
    <row r="50" spans="2:11" x14ac:dyDescent="0.25">
      <c r="B50" s="149" t="s">
        <v>237</v>
      </c>
      <c r="C50" s="150"/>
      <c r="D50" s="150"/>
      <c r="E50" s="150"/>
    </row>
    <row r="51" spans="2:11" x14ac:dyDescent="0.25">
      <c r="B51" s="148" t="s">
        <v>24</v>
      </c>
      <c r="C51" s="151"/>
      <c r="D51" s="151"/>
      <c r="E51" s="151"/>
    </row>
    <row r="52" spans="2:11" x14ac:dyDescent="0.25">
      <c r="B52" s="148" t="s">
        <v>268</v>
      </c>
      <c r="C52" s="151"/>
      <c r="D52" s="151"/>
      <c r="E52" s="151"/>
    </row>
    <row r="53" spans="2:11" x14ac:dyDescent="0.25">
      <c r="B53" s="149" t="s">
        <v>238</v>
      </c>
      <c r="C53" s="150"/>
      <c r="D53" s="150"/>
      <c r="E53" s="150"/>
    </row>
    <row r="54" spans="2:11" x14ac:dyDescent="0.25">
      <c r="B54" s="148" t="s">
        <v>187</v>
      </c>
      <c r="C54" s="151"/>
      <c r="D54" s="151"/>
      <c r="E54" s="151"/>
    </row>
    <row r="55" spans="2:11" x14ac:dyDescent="0.25">
      <c r="B55" s="148" t="s">
        <v>269</v>
      </c>
      <c r="C55" s="151"/>
      <c r="D55" s="151"/>
      <c r="E55" s="151"/>
    </row>
    <row r="56" spans="2:11" x14ac:dyDescent="0.25">
      <c r="B56" s="149" t="s">
        <v>239</v>
      </c>
      <c r="C56" s="150"/>
      <c r="D56" s="150"/>
      <c r="E56" s="150"/>
    </row>
    <row r="57" spans="2:11" x14ac:dyDescent="0.25">
      <c r="B57" s="148" t="s">
        <v>235</v>
      </c>
      <c r="C57" s="151"/>
      <c r="D57" s="151"/>
      <c r="E57" s="151"/>
    </row>
    <row r="58" spans="2:11" x14ac:dyDescent="0.25">
      <c r="B58" s="148" t="s">
        <v>270</v>
      </c>
      <c r="C58" s="151"/>
      <c r="D58" s="151"/>
      <c r="E58" s="151"/>
    </row>
    <row r="59" spans="2:11" x14ac:dyDescent="0.25">
      <c r="B59" s="148" t="s">
        <v>240</v>
      </c>
      <c r="C59" s="151"/>
      <c r="D59" s="151"/>
      <c r="E59" s="151"/>
    </row>
    <row r="60" spans="2:11" x14ac:dyDescent="0.25">
      <c r="B60" s="148" t="s">
        <v>241</v>
      </c>
      <c r="C60" s="151"/>
      <c r="D60" s="151"/>
      <c r="E60" s="151"/>
    </row>
    <row r="61" spans="2:11" x14ac:dyDescent="0.25">
      <c r="B61" s="148" t="s">
        <v>242</v>
      </c>
      <c r="C61" s="151"/>
      <c r="D61" s="151"/>
      <c r="E61" s="151"/>
      <c r="K61" s="98"/>
    </row>
    <row r="62" spans="2:11" x14ac:dyDescent="0.25">
      <c r="B62" s="148" t="s">
        <v>243</v>
      </c>
      <c r="C62" s="151"/>
      <c r="D62" s="151"/>
      <c r="E62" s="151"/>
    </row>
    <row r="63" spans="2:11" x14ac:dyDescent="0.25">
      <c r="B63" s="148" t="s">
        <v>271</v>
      </c>
      <c r="C63" s="151"/>
      <c r="D63" s="151"/>
      <c r="E63" s="151"/>
    </row>
    <row r="64" spans="2:11" x14ac:dyDescent="0.25">
      <c r="B64" s="148" t="s">
        <v>244</v>
      </c>
      <c r="C64" s="151"/>
      <c r="D64" s="151"/>
      <c r="E64" s="151"/>
    </row>
    <row r="65" spans="2:5" x14ac:dyDescent="0.25">
      <c r="B65" s="148" t="s">
        <v>272</v>
      </c>
      <c r="C65" s="151"/>
      <c r="D65" s="151"/>
      <c r="E65" s="151"/>
    </row>
    <row r="66" spans="2:5" x14ac:dyDescent="0.25">
      <c r="B66" s="148" t="s">
        <v>245</v>
      </c>
      <c r="C66" s="151"/>
      <c r="D66" s="151"/>
      <c r="E66" s="151"/>
    </row>
    <row r="67" spans="2:5" x14ac:dyDescent="0.25">
      <c r="B67" s="148" t="s">
        <v>273</v>
      </c>
      <c r="C67" s="151"/>
      <c r="D67" s="151"/>
      <c r="E67" s="151"/>
    </row>
    <row r="68" spans="2:5" x14ac:dyDescent="0.25">
      <c r="B68" s="148" t="s">
        <v>246</v>
      </c>
      <c r="C68" s="151"/>
      <c r="D68" s="151"/>
      <c r="E68" s="151"/>
    </row>
    <row r="69" spans="2:5" x14ac:dyDescent="0.25">
      <c r="B69" s="148" t="s">
        <v>274</v>
      </c>
      <c r="C69" s="151"/>
      <c r="D69" s="151"/>
      <c r="E69" s="151"/>
    </row>
    <row r="70" spans="2:5" x14ac:dyDescent="0.25">
      <c r="B70" s="148" t="s">
        <v>221</v>
      </c>
      <c r="C70" s="151"/>
      <c r="D70" s="151"/>
      <c r="E70" s="151"/>
    </row>
    <row r="71" spans="2:5" x14ac:dyDescent="0.25">
      <c r="B71" s="148" t="s">
        <v>222</v>
      </c>
      <c r="C71" s="151"/>
      <c r="D71" s="151"/>
      <c r="E71" s="151"/>
    </row>
    <row r="72" spans="2:5" x14ac:dyDescent="0.25">
      <c r="B72" s="148" t="s">
        <v>223</v>
      </c>
      <c r="C72" s="151"/>
      <c r="D72" s="151"/>
      <c r="E72" s="151"/>
    </row>
    <row r="73" spans="2:5" x14ac:dyDescent="0.25">
      <c r="B73" s="148" t="s">
        <v>224</v>
      </c>
      <c r="C73" s="151"/>
      <c r="D73" s="151"/>
      <c r="E73" s="151"/>
    </row>
    <row r="74" spans="2:5" x14ac:dyDescent="0.25">
      <c r="B74" s="148" t="s">
        <v>247</v>
      </c>
      <c r="C74" s="151"/>
      <c r="D74" s="151"/>
      <c r="E74" s="151"/>
    </row>
    <row r="75" spans="2:5" x14ac:dyDescent="0.25">
      <c r="B75" s="148" t="s">
        <v>225</v>
      </c>
      <c r="C75" s="151"/>
      <c r="D75" s="151"/>
      <c r="E75" s="151"/>
    </row>
    <row r="76" spans="2:5" x14ac:dyDescent="0.25">
      <c r="B76" s="148" t="s">
        <v>248</v>
      </c>
      <c r="C76" s="151"/>
      <c r="D76" s="151"/>
      <c r="E76" s="151"/>
    </row>
    <row r="77" spans="2:5" x14ac:dyDescent="0.25">
      <c r="B77" s="148" t="s">
        <v>226</v>
      </c>
      <c r="C77" s="151"/>
      <c r="D77" s="151"/>
      <c r="E77" s="151"/>
    </row>
    <row r="78" spans="2:5" x14ac:dyDescent="0.25">
      <c r="B78" s="148" t="s">
        <v>249</v>
      </c>
      <c r="C78" s="151"/>
      <c r="D78" s="151"/>
      <c r="E78" s="151"/>
    </row>
    <row r="79" spans="2:5" x14ac:dyDescent="0.25">
      <c r="B79" s="148" t="s">
        <v>227</v>
      </c>
      <c r="C79" s="151"/>
      <c r="D79" s="151"/>
      <c r="E79" s="151"/>
    </row>
    <row r="80" spans="2:5" x14ac:dyDescent="0.25">
      <c r="B80" s="148" t="s">
        <v>56</v>
      </c>
      <c r="C80" s="151"/>
      <c r="D80" s="151"/>
      <c r="E80" s="151"/>
    </row>
    <row r="81" spans="2:5" x14ac:dyDescent="0.25">
      <c r="B81" s="148" t="s">
        <v>275</v>
      </c>
      <c r="C81" s="151"/>
      <c r="D81" s="151"/>
      <c r="E81" s="151"/>
    </row>
    <row r="82" spans="2:5" x14ac:dyDescent="0.25">
      <c r="B82" s="148" t="s">
        <v>250</v>
      </c>
      <c r="C82" s="151"/>
      <c r="D82" s="151"/>
      <c r="E82" s="151"/>
    </row>
    <row r="83" spans="2:5" x14ac:dyDescent="0.25">
      <c r="B83" s="148" t="s">
        <v>276</v>
      </c>
      <c r="C83" s="151"/>
      <c r="D83" s="151"/>
      <c r="E83" s="151"/>
    </row>
    <row r="84" spans="2:5" x14ac:dyDescent="0.25">
      <c r="B84" s="148" t="s">
        <v>251</v>
      </c>
      <c r="C84" s="151"/>
      <c r="D84" s="151"/>
      <c r="E84" s="151"/>
    </row>
    <row r="85" spans="2:5" x14ac:dyDescent="0.25">
      <c r="B85" s="148" t="s">
        <v>277</v>
      </c>
      <c r="C85" s="151"/>
      <c r="D85" s="151"/>
      <c r="E85" s="151"/>
    </row>
    <row r="86" spans="2:5" x14ac:dyDescent="0.25">
      <c r="B86" s="148" t="s">
        <v>228</v>
      </c>
      <c r="C86" s="151"/>
      <c r="D86" s="151"/>
      <c r="E86" s="151"/>
    </row>
    <row r="87" spans="2:5" x14ac:dyDescent="0.25">
      <c r="B87" s="148" t="s">
        <v>278</v>
      </c>
      <c r="C87" s="151"/>
      <c r="D87" s="151"/>
      <c r="E87" s="151"/>
    </row>
    <row r="88" spans="2:5" x14ac:dyDescent="0.25">
      <c r="B88" s="148" t="s">
        <v>56</v>
      </c>
      <c r="C88" s="151"/>
      <c r="D88" s="151"/>
      <c r="E88" s="151"/>
    </row>
    <row r="89" spans="2:5" x14ac:dyDescent="0.25">
      <c r="B89" s="149" t="s">
        <v>252</v>
      </c>
      <c r="C89" s="150"/>
      <c r="D89" s="150"/>
      <c r="E89" s="150"/>
    </row>
    <row r="90" spans="2:5" x14ac:dyDescent="0.25">
      <c r="B90" s="148" t="s">
        <v>59</v>
      </c>
      <c r="C90" s="151"/>
      <c r="D90" s="151"/>
      <c r="E90" s="151"/>
    </row>
    <row r="91" spans="2:5" x14ac:dyDescent="0.25">
      <c r="B91" s="148" t="s">
        <v>253</v>
      </c>
      <c r="C91" s="151"/>
      <c r="D91" s="151"/>
      <c r="E91" s="151"/>
    </row>
    <row r="92" spans="2:5" x14ac:dyDescent="0.25">
      <c r="B92" s="148" t="s">
        <v>60</v>
      </c>
      <c r="C92" s="151"/>
      <c r="D92" s="151"/>
      <c r="E92" s="151"/>
    </row>
    <row r="93" spans="2:5" x14ac:dyDescent="0.25">
      <c r="B93" s="148" t="s">
        <v>279</v>
      </c>
      <c r="C93" s="151"/>
      <c r="D93" s="151"/>
      <c r="E93" s="151"/>
    </row>
    <row r="94" spans="2:5" x14ac:dyDescent="0.25">
      <c r="B94" s="148" t="s">
        <v>61</v>
      </c>
      <c r="C94" s="151"/>
      <c r="D94" s="151"/>
      <c r="E94" s="151"/>
    </row>
    <row r="95" spans="2:5" x14ac:dyDescent="0.25">
      <c r="B95" s="148" t="s">
        <v>254</v>
      </c>
      <c r="C95" s="151"/>
      <c r="D95" s="151"/>
      <c r="E95" s="151"/>
    </row>
    <row r="96" spans="2:5" x14ac:dyDescent="0.25">
      <c r="B96" s="148" t="s">
        <v>63</v>
      </c>
      <c r="C96" s="151"/>
      <c r="D96" s="151"/>
      <c r="E96" s="151"/>
    </row>
    <row r="97" spans="2:5" x14ac:dyDescent="0.25">
      <c r="B97" s="148" t="s">
        <v>280</v>
      </c>
      <c r="C97" s="151"/>
      <c r="D97" s="151"/>
      <c r="E97" s="151"/>
    </row>
    <row r="98" spans="2:5" x14ac:dyDescent="0.25">
      <c r="B98" s="148" t="s">
        <v>107</v>
      </c>
      <c r="C98" s="151"/>
      <c r="D98" s="151"/>
      <c r="E98" s="151"/>
    </row>
    <row r="99" spans="2:5" x14ac:dyDescent="0.25">
      <c r="B99" s="148" t="s">
        <v>281</v>
      </c>
      <c r="C99" s="151"/>
      <c r="D99" s="151"/>
      <c r="E99" s="151"/>
    </row>
    <row r="100" spans="2:5" x14ac:dyDescent="0.25">
      <c r="B100" s="148" t="s">
        <v>65</v>
      </c>
      <c r="C100" s="151"/>
      <c r="D100" s="151"/>
      <c r="E100" s="151"/>
    </row>
    <row r="101" spans="2:5" x14ac:dyDescent="0.25">
      <c r="B101" s="148" t="s">
        <v>255</v>
      </c>
      <c r="C101" s="151"/>
      <c r="D101" s="151"/>
      <c r="E101" s="151"/>
    </row>
    <row r="102" spans="2:5" x14ac:dyDescent="0.25">
      <c r="B102" s="148" t="s">
        <v>229</v>
      </c>
      <c r="C102" s="151"/>
      <c r="D102" s="151"/>
      <c r="E102" s="151"/>
    </row>
    <row r="103" spans="2:5" x14ac:dyDescent="0.25">
      <c r="B103" s="148" t="s">
        <v>282</v>
      </c>
      <c r="C103" s="151"/>
      <c r="D103" s="151"/>
      <c r="E103" s="151"/>
    </row>
    <row r="104" spans="2:5" x14ac:dyDescent="0.25">
      <c r="B104" s="148" t="s">
        <v>66</v>
      </c>
      <c r="C104" s="151"/>
      <c r="D104" s="151"/>
      <c r="E104" s="151"/>
    </row>
    <row r="105" spans="2:5" x14ac:dyDescent="0.25">
      <c r="B105" s="148" t="s">
        <v>283</v>
      </c>
      <c r="C105" s="151"/>
      <c r="D105" s="151"/>
      <c r="E105" s="151"/>
    </row>
    <row r="106" spans="2:5" x14ac:dyDescent="0.25">
      <c r="B106" s="148" t="s">
        <v>67</v>
      </c>
      <c r="C106" s="151"/>
      <c r="D106" s="151"/>
      <c r="E106" s="151"/>
    </row>
    <row r="107" spans="2:5" x14ac:dyDescent="0.25">
      <c r="B107" s="148" t="s">
        <v>256</v>
      </c>
      <c r="C107" s="151"/>
      <c r="D107" s="151"/>
      <c r="E107" s="151"/>
    </row>
    <row r="108" spans="2:5" x14ac:dyDescent="0.25">
      <c r="B108" s="149" t="s">
        <v>257</v>
      </c>
      <c r="C108" s="150"/>
      <c r="D108" s="150"/>
      <c r="E108" s="150"/>
    </row>
    <row r="109" spans="2:5" x14ac:dyDescent="0.25">
      <c r="B109" s="148" t="s">
        <v>68</v>
      </c>
      <c r="C109" s="151"/>
      <c r="D109" s="151"/>
      <c r="E109" s="151"/>
    </row>
    <row r="110" spans="2:5" x14ac:dyDescent="0.25">
      <c r="B110" s="148" t="s">
        <v>284</v>
      </c>
      <c r="C110" s="151"/>
      <c r="D110" s="151"/>
      <c r="E110" s="151"/>
    </row>
    <row r="111" spans="2:5" x14ac:dyDescent="0.25">
      <c r="B111" s="148" t="s">
        <v>69</v>
      </c>
      <c r="C111" s="151"/>
      <c r="D111" s="151"/>
      <c r="E111" s="151"/>
    </row>
    <row r="112" spans="2:5" x14ac:dyDescent="0.25">
      <c r="B112" s="148" t="s">
        <v>285</v>
      </c>
      <c r="C112" s="151"/>
      <c r="D112" s="151"/>
      <c r="E112" s="151"/>
    </row>
    <row r="113" spans="2:5" x14ac:dyDescent="0.25">
      <c r="B113" s="148" t="s">
        <v>258</v>
      </c>
      <c r="C113" s="151"/>
      <c r="D113" s="151"/>
      <c r="E113" s="151"/>
    </row>
    <row r="114" spans="2:5" x14ac:dyDescent="0.25">
      <c r="B114" s="148" t="s">
        <v>286</v>
      </c>
      <c r="C114" s="151"/>
      <c r="D114" s="151"/>
      <c r="E114" s="151"/>
    </row>
    <row r="115" spans="2:5" x14ac:dyDescent="0.25">
      <c r="B115" s="148" t="s">
        <v>70</v>
      </c>
      <c r="C115" s="151"/>
      <c r="D115" s="151"/>
      <c r="E115" s="151"/>
    </row>
    <row r="116" spans="2:5" x14ac:dyDescent="0.25">
      <c r="B116" s="148" t="s">
        <v>287</v>
      </c>
      <c r="C116" s="151"/>
      <c r="D116" s="151"/>
      <c r="E116" s="151"/>
    </row>
    <row r="117" spans="2:5" x14ac:dyDescent="0.25">
      <c r="B117" s="148" t="s">
        <v>71</v>
      </c>
      <c r="C117" s="151"/>
      <c r="D117" s="151"/>
      <c r="E117" s="151"/>
    </row>
    <row r="118" spans="2:5" x14ac:dyDescent="0.25">
      <c r="B118" s="148" t="s">
        <v>288</v>
      </c>
      <c r="C118" s="151"/>
      <c r="D118" s="151"/>
      <c r="E118" s="151"/>
    </row>
    <row r="119" spans="2:5" x14ac:dyDescent="0.25">
      <c r="B119" s="148" t="s">
        <v>108</v>
      </c>
      <c r="C119" s="151"/>
      <c r="D119" s="151"/>
      <c r="E119" s="151"/>
    </row>
    <row r="120" spans="2:5" x14ac:dyDescent="0.25">
      <c r="B120" s="148" t="s">
        <v>56</v>
      </c>
      <c r="C120" s="151"/>
      <c r="D120" s="151"/>
      <c r="E120" s="151"/>
    </row>
    <row r="121" spans="2:5" x14ac:dyDescent="0.25">
      <c r="B121" s="148" t="s">
        <v>72</v>
      </c>
      <c r="C121" s="151"/>
      <c r="D121" s="151"/>
      <c r="E121" s="151"/>
    </row>
    <row r="122" spans="2:5" x14ac:dyDescent="0.25">
      <c r="B122" s="148" t="s">
        <v>289</v>
      </c>
      <c r="C122" s="151"/>
      <c r="D122" s="151"/>
      <c r="E122" s="151"/>
    </row>
    <row r="123" spans="2:5" x14ac:dyDescent="0.25">
      <c r="B123" s="148" t="s">
        <v>109</v>
      </c>
      <c r="C123" s="151"/>
      <c r="D123" s="151"/>
      <c r="E123" s="151"/>
    </row>
    <row r="124" spans="2:5" x14ac:dyDescent="0.25">
      <c r="B124" s="148" t="s">
        <v>290</v>
      </c>
      <c r="C124" s="151"/>
      <c r="D124" s="151"/>
      <c r="E124" s="151"/>
    </row>
    <row r="125" spans="2:5" x14ac:dyDescent="0.25">
      <c r="B125" s="148" t="s">
        <v>73</v>
      </c>
      <c r="C125" s="151"/>
      <c r="D125" s="151"/>
      <c r="E125" s="151"/>
    </row>
    <row r="126" spans="2:5" x14ac:dyDescent="0.25">
      <c r="B126" s="148" t="s">
        <v>291</v>
      </c>
      <c r="C126" s="151"/>
      <c r="D126" s="151"/>
      <c r="E126" s="151"/>
    </row>
    <row r="127" spans="2:5" x14ac:dyDescent="0.25">
      <c r="B127" s="148" t="s">
        <v>75</v>
      </c>
      <c r="C127" s="151"/>
      <c r="D127" s="151"/>
      <c r="E127" s="151"/>
    </row>
    <row r="128" spans="2:5" x14ac:dyDescent="0.25">
      <c r="B128" s="148" t="s">
        <v>292</v>
      </c>
      <c r="C128" s="151"/>
      <c r="D128" s="151"/>
      <c r="E128" s="151"/>
    </row>
    <row r="129" spans="2:5" x14ac:dyDescent="0.25">
      <c r="B129" s="148" t="s">
        <v>76</v>
      </c>
      <c r="C129" s="151"/>
      <c r="D129" s="151"/>
      <c r="E129" s="151"/>
    </row>
    <row r="130" spans="2:5" x14ac:dyDescent="0.25">
      <c r="B130" s="148" t="s">
        <v>293</v>
      </c>
      <c r="C130" s="151"/>
      <c r="D130" s="151"/>
      <c r="E130" s="151"/>
    </row>
    <row r="131" spans="2:5" x14ac:dyDescent="0.25">
      <c r="B131" s="148" t="s">
        <v>77</v>
      </c>
      <c r="C131" s="151"/>
      <c r="D131" s="151"/>
      <c r="E131" s="151"/>
    </row>
    <row r="132" spans="2:5" x14ac:dyDescent="0.25">
      <c r="B132" s="148" t="s">
        <v>294</v>
      </c>
      <c r="C132" s="151"/>
      <c r="D132" s="151"/>
      <c r="E132" s="151"/>
    </row>
    <row r="133" spans="2:5" x14ac:dyDescent="0.25">
      <c r="B133" s="148" t="s">
        <v>79</v>
      </c>
      <c r="C133" s="151"/>
      <c r="D133" s="151"/>
      <c r="E133" s="151"/>
    </row>
    <row r="134" spans="2:5" x14ac:dyDescent="0.25">
      <c r="B134" s="148" t="s">
        <v>295</v>
      </c>
      <c r="C134" s="151"/>
      <c r="D134" s="151"/>
      <c r="E134" s="151"/>
    </row>
    <row r="135" spans="2:5" x14ac:dyDescent="0.25">
      <c r="B135" s="148" t="s">
        <v>80</v>
      </c>
      <c r="C135" s="151"/>
      <c r="D135" s="151"/>
      <c r="E135" s="151"/>
    </row>
    <row r="136" spans="2:5" x14ac:dyDescent="0.25">
      <c r="B136" s="148" t="s">
        <v>230</v>
      </c>
      <c r="C136" s="151"/>
      <c r="D136" s="151"/>
      <c r="E136" s="151"/>
    </row>
    <row r="137" spans="2:5" x14ac:dyDescent="0.25">
      <c r="B137" s="1"/>
    </row>
    <row r="138" spans="2:5" ht="18.75" x14ac:dyDescent="0.3">
      <c r="B138" s="6" t="s">
        <v>156</v>
      </c>
    </row>
    <row r="139" spans="2:5" ht="15.75" x14ac:dyDescent="0.25">
      <c r="B139" s="134" t="s">
        <v>155</v>
      </c>
    </row>
    <row r="140" spans="2:5" ht="15.75" x14ac:dyDescent="0.25">
      <c r="B140" s="134" t="s">
        <v>152</v>
      </c>
    </row>
    <row r="141" spans="2:5" ht="16.5" thickBot="1" x14ac:dyDescent="0.3">
      <c r="B141" s="134" t="s">
        <v>153</v>
      </c>
    </row>
    <row r="142" spans="2:5" ht="15.75" thickBot="1" x14ac:dyDescent="0.3">
      <c r="B142" s="135" t="s">
        <v>114</v>
      </c>
      <c r="C142" s="135" t="s">
        <v>159</v>
      </c>
      <c r="D142" s="135" t="s">
        <v>114</v>
      </c>
      <c r="E142" s="135" t="s">
        <v>160</v>
      </c>
    </row>
    <row r="143" spans="2:5" ht="15.75" thickBot="1" x14ac:dyDescent="0.3">
      <c r="B143" s="136" t="s">
        <v>10</v>
      </c>
      <c r="C143" s="137" t="str">
        <f ca="1">IF(C19=1,CALCULATIONS!O20,"()")</f>
        <v>DCW[34](0FCF598F)</v>
      </c>
      <c r="D143" s="136" t="s">
        <v>45</v>
      </c>
      <c r="E143" s="138" t="str">
        <f ca="1">IF(C19=1,CALCULATIONS!O27,"()")</f>
        <v>DCW[41](FFF9AAD4)</v>
      </c>
    </row>
    <row r="144" spans="2:5" ht="15.75" thickBot="1" x14ac:dyDescent="0.3">
      <c r="B144" s="136" t="s">
        <v>15</v>
      </c>
      <c r="C144" s="137" t="str">
        <f ca="1">IF(C20=1,CALCULATIONS!O21,"()")</f>
        <v>DCW[35](2114B35A)</v>
      </c>
      <c r="D144" s="136" t="s">
        <v>47</v>
      </c>
      <c r="E144" s="138" t="str">
        <f ca="1">IF(C20=1,CALCULATIONS!O28,"()")</f>
        <v>DCW[42](0)</v>
      </c>
    </row>
    <row r="145" spans="2:10" ht="15.75" thickBot="1" x14ac:dyDescent="0.3">
      <c r="B145" s="136" t="s">
        <v>18</v>
      </c>
      <c r="C145" s="137" t="str">
        <f ca="1">IF(C21=1,CALCULATIONS!O22,"()")</f>
        <v>DCW[36](0FD3B6B1)</v>
      </c>
      <c r="D145" s="136" t="s">
        <v>48</v>
      </c>
      <c r="E145" s="138" t="str">
        <f ca="1">IF(C21=1,CALCULATIONS!O29,"()")</f>
        <v>DCW[43](FFE72DEF)</v>
      </c>
    </row>
    <row r="146" spans="2:10" ht="15.75" thickBot="1" x14ac:dyDescent="0.3">
      <c r="B146" s="136" t="s">
        <v>21</v>
      </c>
      <c r="C146" s="137" t="str">
        <f ca="1">IF(C22=1,CALCULATIONS!O23,"()")</f>
        <v>DCW[37](21131224)</v>
      </c>
      <c r="D146" s="136" t="s">
        <v>50</v>
      </c>
      <c r="E146" s="138" t="str">
        <f ca="1">IF(C22=1,CALCULATIONS!O30,"()")</f>
        <v>DCW[44](28A7B0)</v>
      </c>
    </row>
    <row r="147" spans="2:10" ht="15.75" thickBot="1" x14ac:dyDescent="0.3">
      <c r="B147" s="136" t="s">
        <v>25</v>
      </c>
      <c r="C147" s="137" t="str">
        <f>IF(C23=1,CALCULATIONS!O24,"()")</f>
        <v>()</v>
      </c>
      <c r="D147" s="136" t="s">
        <v>51</v>
      </c>
      <c r="E147" s="138" t="str">
        <f>IF(C23=1,CALCULATIONS!O31,"()")</f>
        <v>()</v>
      </c>
    </row>
    <row r="148" spans="2:10" ht="15.75" thickBot="1" x14ac:dyDescent="0.3">
      <c r="B148" s="136" t="s">
        <v>28</v>
      </c>
      <c r="C148" s="137" t="str">
        <f>IF(C24=1,CALCULATIONS!O25,"()")</f>
        <v>()</v>
      </c>
      <c r="D148" s="136" t="s">
        <v>53</v>
      </c>
      <c r="E148" s="138" t="str">
        <f>IF(C24=1,CALCULATIONS!O32,"()")</f>
        <v>()</v>
      </c>
    </row>
    <row r="149" spans="2:10" ht="15.75" thickBot="1" x14ac:dyDescent="0.3">
      <c r="B149" s="136" t="s">
        <v>31</v>
      </c>
      <c r="C149" s="137" t="str">
        <f>IF(C25=1,CALCULATIONS!O26,"()")</f>
        <v>()</v>
      </c>
      <c r="D149" s="136" t="s">
        <v>106</v>
      </c>
      <c r="E149" s="138" t="str">
        <f>IF(C25=1,CALCULATIONS!O33,"()")</f>
        <v>()</v>
      </c>
    </row>
    <row r="150" spans="2:10" ht="16.5" thickBot="1" x14ac:dyDescent="0.3">
      <c r="B150" s="134" t="s">
        <v>154</v>
      </c>
    </row>
    <row r="151" spans="2:10" ht="15.75" thickBot="1" x14ac:dyDescent="0.3">
      <c r="B151" s="135" t="s">
        <v>137</v>
      </c>
      <c r="C151" s="192" t="s">
        <v>161</v>
      </c>
      <c r="D151" s="193"/>
      <c r="E151" s="193"/>
      <c r="F151" s="194"/>
    </row>
    <row r="152" spans="2:10" ht="15.75" thickBot="1" x14ac:dyDescent="0.3">
      <c r="B152" s="136" t="s">
        <v>135</v>
      </c>
      <c r="C152" s="195" t="str">
        <f ca="1">IF(MID(J152,LEN(J152)-2,3)="; )", MID(J152, 1, LEN(J152)-3) &amp; ")",J152)</f>
        <v>DCM(34:0FCF598F; 35:2114B35A; 36:0FD3B6B1; 37:21131224)</v>
      </c>
      <c r="D152" s="193"/>
      <c r="E152" s="193"/>
      <c r="F152" s="194"/>
      <c r="J152" t="str">
        <f ca="1">"DCM("&amp;IF(MID(C143,FIND("(",C143,1)+1,LEN(C143)-FIND("(",C143,1)-1)="","","34:"&amp;MID(C143,FIND("(",C143,1)+1,LEN(C143)-FIND("(",C143,1)-1) &amp; "; ")            &amp;IF(MID(C144,FIND("(",C144,1)+1,LEN(C144)-FIND("(",C144,1)-1)="","","35:"&amp;MID(C144,FIND("(",C144,1)+1,LEN(C144)-FIND("(",C144,1)-1)&amp; "; ")                  &amp;IF(MID(C145,FIND("(",C145,1)+1,LEN(C145)-FIND("(",C145,1)-1)="","","36:"&amp;MID(C145,FIND("(",C145,1)+1,LEN(C145)-FIND("(",C145,1)-1)&amp; "; ")                            &amp;IF(MID(C146,FIND("(",C146,1)+1,LEN(C146)-FIND("(",C146,1)-1)="","","37:"&amp;MID(C146,FIND("(",C146,1)+1,LEN(C146)-FIND("(",C146,1)-1)&amp; "; ")                          &amp;IF(MID(C147,FIND("(",C147,1)+1,LEN(C147)-FIND("(",C147,1)-1)="","","38:"&amp;MID(C147,FIND("(",C147,1)+1,LEN(C147)-FIND("(",C147,1)-1)&amp; "; ")                         &amp;IF(MID(C148,FIND("(",C148,1)+1,LEN(C148)-FIND("(",C148,1)-1)="","","39:"&amp;MID(C148,FIND("(",C148,1)+1,LEN(C148)-FIND("(",C148,1)-1)&amp; "; ")                     &amp;IF(MID(C149,FIND("(",C149,1)+1,LEN(C149)-FIND("(",C149,1)-1)="","","40:"&amp;MID(C149,FIND("(",C149,1)+1,LEN(C149)-FIND("(",C149,1)-1))     &amp;")"</f>
        <v>DCM(34:0FCF598F; 35:2114B35A; 36:0FD3B6B1; 37:21131224; )</v>
      </c>
    </row>
    <row r="153" spans="2:10" ht="15.75" thickBot="1" x14ac:dyDescent="0.3">
      <c r="B153" s="136" t="s">
        <v>136</v>
      </c>
      <c r="C153" s="189" t="str">
        <f ca="1">IF(MID(J153,LEN(J153)-2,3)="; )", MID(J153, 1, LEN(J153)-3) &amp; ")",J153)</f>
        <v>DCM(41:FFF9AAD4; 42:0; 43:FFE72DEF; 44:28A7B0)</v>
      </c>
      <c r="D153" s="190"/>
      <c r="E153" s="190"/>
      <c r="F153" s="191"/>
      <c r="J153" t="str">
        <f ca="1">"DCM("&amp;IF(MID(E143,FIND("(",E143,1)+1,LEN(E143)-FIND("(",E143,1)-1)="","","41:"&amp;MID(E143,FIND("(",E143,1)+1,LEN(E143)-FIND("(",E143,1)-1) &amp; "; ")            &amp;IF(MID(E144,FIND("(",E144,1)+1,LEN(E144)-FIND("(",E144,1)-1)="","","42:"&amp;MID(E144,FIND("(",E144,1)+1,LEN(E144)-FIND("(",E144,1)-1)&amp; "; ")                  &amp;IF(MID(E145,FIND("(",E145,1)+1,LEN(E145)-FIND("(",E145,1)-1)="","","43:"&amp;MID(E145,FIND("(",E145,1)+1,LEN(E145)-FIND("(",E145,1)-1)&amp; "; ")                            &amp;IF(MID(E146,FIND("(",E146,1)+1,LEN(E146)-FIND("(",E146,1)-1)="","","44:"&amp;MID(E146,FIND("(",E146,1)+1,LEN(E146)-FIND("(",E146,1)-1)&amp; "; ")                          &amp;IF(MID(E147,FIND("(",E147,1)+1,LEN(C147)-FIND("(",E147,1)-1)="","","45:"&amp;MID(E147,FIND("(",E147,1)+1,LEN(E147)-FIND("(",E147,1)-1)&amp; "; ")                         &amp;IF(MID(E148,FIND("(",E148,1)+1,LEN(E148)-FIND("(",E148,1)-1)="","","46:"&amp;MID(E148,FIND("(",E148,1)+1,LEN(E148)-FIND("(",E148,1)-1)&amp; "; ")                     &amp;IF(MID(E149,FIND("(",E149,1)+1,LEN(E149)-FIND("(",E149,1)-1)="","","47:"&amp;MID(E149,FIND("(",E149,1)+1,LEN(E149)-FIND("(",E149,1)-1))     &amp;")"</f>
        <v>DCM(41:FFF9AAD4; 42:0; 43:FFE72DEF; 44:28A7B0; )</v>
      </c>
    </row>
    <row r="154" spans="2:10" x14ac:dyDescent="0.25">
      <c r="B154" s="1"/>
    </row>
    <row r="155" spans="2:10" ht="18.75" x14ac:dyDescent="0.3">
      <c r="B155" s="6" t="s">
        <v>157</v>
      </c>
    </row>
    <row r="156" spans="2:10" ht="15.75" x14ac:dyDescent="0.25">
      <c r="B156" s="134" t="s">
        <v>158</v>
      </c>
    </row>
    <row r="157" spans="2:10" x14ac:dyDescent="0.25">
      <c r="B157" s="1"/>
    </row>
    <row r="158" spans="2:10" x14ac:dyDescent="0.25">
      <c r="B158" s="1"/>
    </row>
    <row r="159" spans="2:10" x14ac:dyDescent="0.25">
      <c r="B159" s="1"/>
    </row>
    <row r="160" spans="2:10" x14ac:dyDescent="0.25">
      <c r="B160" s="1"/>
    </row>
    <row r="161" spans="2:2" x14ac:dyDescent="0.25">
      <c r="B161" s="1"/>
    </row>
    <row r="162" spans="2:2" x14ac:dyDescent="0.25">
      <c r="B162" s="1"/>
    </row>
    <row r="163" spans="2:2" x14ac:dyDescent="0.25">
      <c r="B163" s="1"/>
    </row>
  </sheetData>
  <mergeCells count="6">
    <mergeCell ref="C153:F153"/>
    <mergeCell ref="C41:F41"/>
    <mergeCell ref="C42:F42"/>
    <mergeCell ref="C43:F43"/>
    <mergeCell ref="C151:F151"/>
    <mergeCell ref="C152:F152"/>
  </mergeCells>
  <pageMargins left="0.7" right="0.7" top="0.75" bottom="0.75" header="0.3" footer="0.3"/>
  <pageSetup scale="7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897B4-1C78-442A-98AD-E41930C4BC8F}">
  <sheetPr>
    <pageSetUpPr fitToPage="1"/>
  </sheetPr>
  <dimension ref="A1:AB238"/>
  <sheetViews>
    <sheetView topLeftCell="H91" zoomScale="110" zoomScaleNormal="110" workbookViewId="0">
      <selection activeCell="V43" sqref="V43"/>
    </sheetView>
  </sheetViews>
  <sheetFormatPr defaultRowHeight="15" x14ac:dyDescent="0.25"/>
  <cols>
    <col min="1" max="1" width="79.42578125" style="1" bestFit="1" customWidth="1"/>
    <col min="2" max="2" width="12" style="3" customWidth="1"/>
    <col min="3" max="4" width="12" style="2" customWidth="1"/>
    <col min="5" max="5" width="2.85546875" style="3" customWidth="1"/>
    <col min="6" max="6" width="19.7109375" style="5" customWidth="1"/>
    <col min="7" max="7" width="22.42578125" bestFit="1" customWidth="1"/>
    <col min="8" max="8" width="14.28515625" customWidth="1"/>
    <col min="9" max="9" width="15.85546875" bestFit="1" customWidth="1"/>
    <col min="10" max="10" width="19.42578125" bestFit="1" customWidth="1"/>
    <col min="11" max="11" width="16.7109375" customWidth="1"/>
    <col min="12" max="12" width="11.28515625" bestFit="1" customWidth="1"/>
    <col min="13" max="13" width="3" bestFit="1" customWidth="1"/>
    <col min="14" max="14" width="11.85546875" customWidth="1"/>
    <col min="15" max="15" width="18.42578125" bestFit="1" customWidth="1"/>
    <col min="17" max="17" width="11" bestFit="1" customWidth="1"/>
    <col min="18" max="18" width="3.7109375" style="2" customWidth="1"/>
    <col min="19" max="19" width="4" style="2" customWidth="1"/>
    <col min="20" max="20" width="4" style="1" customWidth="1"/>
    <col min="21" max="21" width="4.85546875" style="3" customWidth="1"/>
    <col min="22" max="22" width="17.28515625" style="3" bestFit="1" customWidth="1"/>
    <col min="23" max="23" width="22.28515625" style="3" bestFit="1" customWidth="1"/>
    <col min="24" max="24" width="10.7109375" style="3" customWidth="1"/>
    <col min="25" max="25" width="16.28515625" style="3" customWidth="1"/>
    <col min="26" max="26" width="2.85546875" style="3" customWidth="1"/>
    <col min="27" max="27" width="11.5703125" style="4" customWidth="1"/>
    <col min="28" max="28" width="13.7109375" style="3" customWidth="1"/>
    <col min="29" max="29" width="12.7109375" bestFit="1" customWidth="1"/>
    <col min="30" max="30" width="11.28515625" bestFit="1" customWidth="1"/>
    <col min="32" max="32" width="18.28515625" bestFit="1" customWidth="1"/>
  </cols>
  <sheetData>
    <row r="1" spans="1:28" ht="18.75" x14ac:dyDescent="0.3">
      <c r="H1" s="6" t="s">
        <v>0</v>
      </c>
    </row>
    <row r="2" spans="1:28" ht="17.25" customHeight="1" thickBot="1" x14ac:dyDescent="0.35">
      <c r="A2" s="196" t="s">
        <v>1</v>
      </c>
      <c r="B2"/>
      <c r="C2"/>
      <c r="D2"/>
      <c r="E2"/>
      <c r="F2" s="7" t="s">
        <v>2</v>
      </c>
      <c r="G2" s="8"/>
      <c r="R2"/>
      <c r="S2"/>
      <c r="T2"/>
      <c r="U2"/>
      <c r="V2"/>
      <c r="W2"/>
      <c r="X2"/>
      <c r="Y2"/>
      <c r="Z2"/>
      <c r="AA2"/>
      <c r="AB2"/>
    </row>
    <row r="3" spans="1:28" ht="15.75" customHeight="1" thickBot="1" x14ac:dyDescent="0.3">
      <c r="A3" s="196"/>
      <c r="B3"/>
      <c r="C3"/>
      <c r="D3"/>
      <c r="E3"/>
      <c r="F3" s="9">
        <f>'STEP BY STEP GUIDE'!C6</f>
        <v>1</v>
      </c>
      <c r="G3" s="10" t="s">
        <v>3</v>
      </c>
      <c r="I3" s="197" t="s">
        <v>4</v>
      </c>
      <c r="J3" s="197"/>
      <c r="K3" s="197"/>
      <c r="R3"/>
      <c r="S3"/>
      <c r="T3"/>
      <c r="U3"/>
      <c r="V3"/>
      <c r="W3"/>
      <c r="X3"/>
      <c r="Y3"/>
      <c r="Z3"/>
      <c r="AA3"/>
      <c r="AB3"/>
    </row>
    <row r="4" spans="1:28" ht="15.75" customHeight="1" thickBot="1" x14ac:dyDescent="0.3">
      <c r="A4" s="196"/>
      <c r="B4"/>
      <c r="C4"/>
      <c r="D4"/>
      <c r="E4"/>
      <c r="F4" s="11">
        <f>'STEP BY STEP GUIDE'!C7</f>
        <v>220</v>
      </c>
      <c r="G4" s="10" t="s">
        <v>5</v>
      </c>
      <c r="I4" s="197"/>
      <c r="J4" s="197"/>
      <c r="K4" s="197"/>
      <c r="R4"/>
      <c r="S4"/>
      <c r="T4"/>
      <c r="U4"/>
      <c r="V4"/>
      <c r="W4"/>
      <c r="X4"/>
      <c r="Y4"/>
      <c r="Z4"/>
      <c r="AA4"/>
      <c r="AB4"/>
    </row>
    <row r="5" spans="1:28" ht="17.25" thickBot="1" x14ac:dyDescent="0.35">
      <c r="F5" s="12">
        <f>'STEP BY STEP GUIDE'!C8</f>
        <v>50</v>
      </c>
      <c r="G5" s="13" t="s">
        <v>6</v>
      </c>
      <c r="I5" s="3"/>
      <c r="J5" s="14" t="s">
        <v>7</v>
      </c>
      <c r="K5" s="15" t="s">
        <v>8</v>
      </c>
    </row>
    <row r="6" spans="1:28" ht="15.75" thickBot="1" x14ac:dyDescent="0.3">
      <c r="A6" s="147" t="str">
        <f>'STEP BY STEP GUIDE'!B47</f>
        <v>&gt;par u</v>
      </c>
      <c r="F6" s="16">
        <f>'STEP BY STEP GUIDE'!C9</f>
        <v>60</v>
      </c>
      <c r="G6" s="13" t="s">
        <v>9</v>
      </c>
      <c r="I6" s="17" t="s">
        <v>10</v>
      </c>
      <c r="J6" s="18" t="s">
        <v>11</v>
      </c>
      <c r="K6" s="19" t="s">
        <v>12</v>
      </c>
    </row>
    <row r="7" spans="1:28" ht="15.75" thickBot="1" x14ac:dyDescent="0.3">
      <c r="A7" s="146" t="str">
        <f>'STEP BY STEP GUIDE'!B48</f>
        <v>Present voltage is :</v>
      </c>
      <c r="B7" s="20"/>
      <c r="F7" s="16">
        <f>'STEP BY STEP GUIDE'!C10</f>
        <v>120</v>
      </c>
      <c r="G7" s="13" t="s">
        <v>14</v>
      </c>
      <c r="I7" s="17" t="s">
        <v>15</v>
      </c>
      <c r="J7" s="18" t="s">
        <v>16</v>
      </c>
      <c r="K7" s="19" t="s">
        <v>17</v>
      </c>
      <c r="AB7" s="20"/>
    </row>
    <row r="8" spans="1:28" x14ac:dyDescent="0.25">
      <c r="A8" s="146" t="str">
        <f>'STEP BY STEP GUIDE'!B49</f>
        <v>Ua=212.809V Ub=212.853V Uc=0.000V</v>
      </c>
      <c r="B8" s="20"/>
      <c r="I8" s="17" t="s">
        <v>18</v>
      </c>
      <c r="J8" s="18" t="s">
        <v>19</v>
      </c>
      <c r="K8" s="19" t="s">
        <v>20</v>
      </c>
      <c r="AB8" s="20"/>
    </row>
    <row r="9" spans="1:28" x14ac:dyDescent="0.25">
      <c r="A9" s="147" t="str">
        <f>'STEP BY STEP GUIDE'!B50</f>
        <v>&gt;par i</v>
      </c>
      <c r="I9" s="17" t="s">
        <v>21</v>
      </c>
      <c r="J9" s="18" t="s">
        <v>22</v>
      </c>
      <c r="K9" s="19" t="s">
        <v>23</v>
      </c>
    </row>
    <row r="10" spans="1:28" ht="15.75" customHeight="1" x14ac:dyDescent="0.25">
      <c r="A10" s="146" t="str">
        <f>'STEP BY STEP GUIDE'!B51</f>
        <v>Present current is :</v>
      </c>
      <c r="I10" s="17" t="s">
        <v>25</v>
      </c>
      <c r="J10" s="18" t="s">
        <v>26</v>
      </c>
      <c r="K10" s="19" t="s">
        <v>27</v>
      </c>
    </row>
    <row r="11" spans="1:28" s="21" customFormat="1" x14ac:dyDescent="0.25">
      <c r="A11" s="146" t="str">
        <f>'STEP BY STEP GUIDE'!B52</f>
        <v>Ia=2.0239A Ib=2.0216A Ic=0.0000A Ini=2.0250A Inm=0.0000A Inmi=2.0250A</v>
      </c>
      <c r="I11" s="17" t="s">
        <v>28</v>
      </c>
      <c r="J11" s="18" t="s">
        <v>29</v>
      </c>
      <c r="K11" s="19" t="s">
        <v>30</v>
      </c>
      <c r="L11"/>
      <c r="M11"/>
      <c r="R11" s="2"/>
      <c r="S11" s="2"/>
      <c r="T11" s="1"/>
      <c r="U11" s="3"/>
      <c r="V11" s="3"/>
      <c r="W11" s="3"/>
      <c r="X11" s="3"/>
      <c r="Y11" s="3"/>
      <c r="Z11" s="3"/>
      <c r="AA11" s="4"/>
      <c r="AB11" s="3"/>
    </row>
    <row r="12" spans="1:28" x14ac:dyDescent="0.25">
      <c r="A12" s="147" t="str">
        <f>'STEP BY STEP GUIDE'!B53</f>
        <v>&gt;par a</v>
      </c>
      <c r="I12" s="17" t="s">
        <v>31</v>
      </c>
      <c r="J12" s="18" t="s">
        <v>32</v>
      </c>
    </row>
    <row r="13" spans="1:28" ht="15.75" thickBot="1" x14ac:dyDescent="0.3">
      <c r="A13" s="146" t="str">
        <f>'STEP BY STEP GUIDE'!B54</f>
        <v>Voltage and current angle is :</v>
      </c>
    </row>
    <row r="14" spans="1:28" x14ac:dyDescent="0.25">
      <c r="A14" s="146" t="str">
        <f>'STEP BY STEP GUIDE'!B55</f>
        <v>Angle_A= 59.963 Angle_B= 59.705 Angle_C= 0.000 Angle_N= 0.000</v>
      </c>
      <c r="F14" s="22" t="s">
        <v>33</v>
      </c>
      <c r="G14" s="23"/>
      <c r="H14" s="23"/>
      <c r="I14" s="23"/>
      <c r="J14" s="23"/>
      <c r="K14" s="23"/>
      <c r="L14" s="24"/>
    </row>
    <row r="15" spans="1:28" x14ac:dyDescent="0.25">
      <c r="A15" s="147" t="str">
        <f>'STEP BY STEP GUIDE'!B56</f>
        <v>&gt;dcr</v>
      </c>
      <c r="F15" s="25" t="str">
        <f>"DCM( "&amp;M20&amp;$K$17&amp;"20000000"&amp;"; "&amp;M21&amp;$K$17&amp;"20000000"&amp;"; "&amp;M22&amp;$K$17&amp;"20000000"&amp;"; "&amp;M23&amp;$K$17&amp;"20000000"&amp;"; "&amp;M24&amp;$K$17&amp;"20000000"&amp;"; "&amp;M25&amp;$K$17&amp;"20000000"&amp;"; "&amp;M26&amp;$K$17&amp;"20000000"&amp;" )"</f>
        <v>DCM( 34:20000000; 35:20000000; 36:20000000; 37:20000000; 38:20000000; 39:20000000; 40:20000000 )</v>
      </c>
      <c r="G15" s="18"/>
      <c r="H15" s="18"/>
      <c r="I15" s="18"/>
      <c r="J15" s="18"/>
      <c r="K15" s="18"/>
      <c r="L15" s="26"/>
    </row>
    <row r="16" spans="1:28" ht="15.75" thickBot="1" x14ac:dyDescent="0.3">
      <c r="A16" s="146" t="str">
        <f>'STEP BY STEP GUIDE'!B57</f>
        <v>00 STATE_CTRL      01 FEATURE_CTRL    02 HARMONIC_CTRL   03 METER_TYPE</v>
      </c>
      <c r="F16" s="30" t="str">
        <f>"DCM( "&amp;M27&amp;$K$17&amp;"0"&amp;"; "&amp;M28&amp;$K$17&amp;"0"&amp;"; "&amp;M29&amp;$K$17&amp;"0"&amp;"; "&amp;M30&amp;$K$17&amp;"0"&amp;"; "&amp;M31&amp;$K$17&amp;"0"&amp;"; "&amp;M32&amp;$K$17&amp;"0"&amp;" )"</f>
        <v>DCM( 41:0; 42:0; 43:0; 44:0; 45:0; 46:0 )</v>
      </c>
      <c r="G16" s="31"/>
      <c r="H16" s="31"/>
      <c r="I16" s="31"/>
      <c r="J16" s="31"/>
      <c r="K16" s="31"/>
      <c r="L16" s="32"/>
      <c r="R16" s="2" t="s">
        <v>34</v>
      </c>
      <c r="S16" s="2">
        <v>1</v>
      </c>
      <c r="U16" s="2" t="str">
        <f t="shared" ref="U16:U79" ca="1" si="0">MID(INDIRECT(ADDRESS(R16,1)),(S16-1)*19+1,2)</f>
        <v>00</v>
      </c>
      <c r="V16" s="5" t="str">
        <f t="shared" ref="V16:V79" ca="1" si="1">TRIM(MID(INDIRECT(ADDRESS(R16,1)),(S16-1)*19+4,16))</f>
        <v>STATE_CTRL</v>
      </c>
      <c r="W16" s="27" t="str">
        <f t="shared" ref="W16:W76" ca="1" si="2">TRIM(MID(INDIRECT(ADDRESS(R16+1,1)),(S16-1)*19+1,19))</f>
        <v>2</v>
      </c>
      <c r="X16" s="28" t="s">
        <v>35</v>
      </c>
      <c r="Y16">
        <f t="shared" ref="Y16:Y24" ca="1" si="3">(HEX2DEC(LEFT(REPT("0",16-LEN(W16))&amp;W16,10))*16^6+HEX2DEC(RIGHT(W16,6)))/2^(0+MID(X16,FIND(".",X16)+1,2))</f>
        <v>2</v>
      </c>
      <c r="Z16"/>
      <c r="AA16" s="29"/>
      <c r="AB16"/>
    </row>
    <row r="17" spans="1:28" x14ac:dyDescent="0.25">
      <c r="A17" s="146" t="str">
        <f>'STEP BY STEP GUIDE'!B58</f>
        <v>2                  300                0                  CCC</v>
      </c>
      <c r="G17" s="5"/>
      <c r="H17" s="198" t="s">
        <v>111</v>
      </c>
      <c r="I17" s="198"/>
      <c r="J17" s="198"/>
      <c r="K17" s="33" t="s">
        <v>110</v>
      </c>
      <c r="R17" s="2" t="s">
        <v>34</v>
      </c>
      <c r="S17" s="2">
        <v>2</v>
      </c>
      <c r="U17" s="2" t="str">
        <f t="shared" ca="1" si="0"/>
        <v>01</v>
      </c>
      <c r="V17" s="5" t="str">
        <f t="shared" ca="1" si="1"/>
        <v>FEATURE_CTRL</v>
      </c>
      <c r="W17" s="27" t="str">
        <f t="shared" ca="1" si="2"/>
        <v>300</v>
      </c>
      <c r="X17" s="28" t="s">
        <v>35</v>
      </c>
      <c r="Y17">
        <f t="shared" ca="1" si="3"/>
        <v>768</v>
      </c>
      <c r="Z17"/>
      <c r="AA17" s="29"/>
      <c r="AB17"/>
    </row>
    <row r="18" spans="1:28" x14ac:dyDescent="0.25">
      <c r="A18" s="146" t="str">
        <f>'STEP BY STEP GUIDE'!B59</f>
        <v>04 M               05 N_MAX           06 PULSE0_CTRL     07 PULSE1_CTRL</v>
      </c>
      <c r="G18" s="34">
        <f>'STEP BY STEP GUIDE'!C15</f>
        <v>1</v>
      </c>
      <c r="H18" s="199" t="s">
        <v>36</v>
      </c>
      <c r="I18" s="199"/>
      <c r="J18" s="199"/>
      <c r="K18" s="199"/>
      <c r="R18" s="2" t="s">
        <v>34</v>
      </c>
      <c r="S18" s="2">
        <v>3</v>
      </c>
      <c r="U18" s="2" t="str">
        <f t="shared" ca="1" si="0"/>
        <v>02</v>
      </c>
      <c r="V18" s="5" t="str">
        <f t="shared" ca="1" si="1"/>
        <v>HARMONIC_CTRL</v>
      </c>
      <c r="W18" s="27" t="str">
        <f t="shared" ca="1" si="2"/>
        <v>0</v>
      </c>
      <c r="X18" s="28" t="s">
        <v>35</v>
      </c>
      <c r="Y18">
        <f t="shared" ca="1" si="3"/>
        <v>0</v>
      </c>
      <c r="Z18"/>
      <c r="AA18" s="29"/>
      <c r="AB18"/>
    </row>
    <row r="19" spans="1:28" ht="38.25" customHeight="1" x14ac:dyDescent="0.25">
      <c r="A19" s="146" t="str">
        <f>'STEP BY STEP GUIDE'!B60</f>
        <v>0                  1130               810001D0           810201D0</v>
      </c>
      <c r="C19" s="35" t="s">
        <v>37</v>
      </c>
      <c r="D19" s="35" t="s">
        <v>38</v>
      </c>
      <c r="G19" s="28" t="s">
        <v>39</v>
      </c>
      <c r="H19" s="36" t="s">
        <v>40</v>
      </c>
      <c r="I19" s="126" t="str">
        <f>"f_test"&amp;CHAR(10)&amp;"delta_CAL("&amp;F5&amp;"Hz)"</f>
        <v>f_test
delta_CAL(50Hz)</v>
      </c>
      <c r="J19" s="126" t="str">
        <f>"f_normalized"&amp;CHAR(10)&amp;"delta_CAL(60Hz)"</f>
        <v>f_normalized
delta_CAL(60Hz)</v>
      </c>
      <c r="K19" s="37" t="s">
        <v>41</v>
      </c>
      <c r="N19" s="28" t="s">
        <v>42</v>
      </c>
      <c r="O19" s="28" t="s">
        <v>43</v>
      </c>
      <c r="R19" s="2" t="s">
        <v>34</v>
      </c>
      <c r="S19" s="2">
        <v>4</v>
      </c>
      <c r="U19" s="2" t="str">
        <f t="shared" ca="1" si="0"/>
        <v>03</v>
      </c>
      <c r="V19" s="5" t="str">
        <f t="shared" ca="1" si="1"/>
        <v>METER_TYPE</v>
      </c>
      <c r="W19" s="27" t="str">
        <f t="shared" ca="1" si="2"/>
        <v>CCC</v>
      </c>
      <c r="X19" s="28" t="s">
        <v>35</v>
      </c>
      <c r="Y19">
        <f t="shared" ca="1" si="3"/>
        <v>3276</v>
      </c>
      <c r="Z19"/>
      <c r="AA19" s="29"/>
      <c r="AB19"/>
    </row>
    <row r="20" spans="1:28" ht="14.45" customHeight="1" x14ac:dyDescent="0.25">
      <c r="A20" s="146" t="str">
        <f>'STEP BY STEP GUIDE'!B61</f>
        <v>08 PULSE2_CTRL     09 P_K_t           10 Q_K_t           11 I_K_t</v>
      </c>
      <c r="C20" s="38">
        <f ca="1">AA120</f>
        <v>2.0240404987852365</v>
      </c>
      <c r="D20" s="38">
        <f t="shared" ref="D20:D26" ca="1" si="4">C20*J20</f>
        <v>1</v>
      </c>
      <c r="F20" s="39" t="s">
        <v>10</v>
      </c>
      <c r="G20" s="40" t="str">
        <f t="shared" ref="G20:G33" ca="1" si="5">W50</f>
        <v>20000000</v>
      </c>
      <c r="H20" s="109">
        <f t="shared" ref="H20:H26" ca="1" si="6">Y50</f>
        <v>1</v>
      </c>
      <c r="I20" s="108"/>
      <c r="J20" s="122">
        <f ca="1">F$3/AA120</f>
        <v>0.49406126043434784</v>
      </c>
      <c r="K20" s="109">
        <f ca="1">H20*J20</f>
        <v>0.49406126043434784</v>
      </c>
      <c r="L20" s="41" t="s">
        <v>10</v>
      </c>
      <c r="M20" s="42">
        <v>34</v>
      </c>
      <c r="N20" s="43" t="str">
        <f ca="1">RIGHT(DEC2HEX(INT(K20*2^29 +0.5),8),8)</f>
        <v>0FCF598F</v>
      </c>
      <c r="O20" s="44" t="str">
        <f t="shared" ref="O20:O26" ca="1" si="7">"DCW["&amp;M20&amp;"]("&amp;N20&amp;")"</f>
        <v>DCW[34](0FCF598F)</v>
      </c>
      <c r="R20" s="2">
        <f>R16+2</f>
        <v>18</v>
      </c>
      <c r="S20" s="2">
        <v>1</v>
      </c>
      <c r="U20" s="2" t="str">
        <f t="shared" ca="1" si="0"/>
        <v>04</v>
      </c>
      <c r="V20" s="5" t="str">
        <f t="shared" ca="1" si="1"/>
        <v>M</v>
      </c>
      <c r="W20" s="27" t="str">
        <f t="shared" ca="1" si="2"/>
        <v>0</v>
      </c>
      <c r="X20" s="28" t="s">
        <v>35</v>
      </c>
      <c r="Y20">
        <f t="shared" ca="1" si="3"/>
        <v>0</v>
      </c>
      <c r="Z20"/>
      <c r="AA20" s="29"/>
      <c r="AB20"/>
    </row>
    <row r="21" spans="1:28" ht="14.45" customHeight="1" x14ac:dyDescent="0.25">
      <c r="A21" s="146" t="str">
        <f>'STEP BY STEP GUIDE'!B62</f>
        <v>110401D0           500000             500000             500000</v>
      </c>
      <c r="C21" s="45">
        <f ca="1">AA153</f>
        <v>212.81186891831064</v>
      </c>
      <c r="D21" s="45">
        <f t="shared" ca="1" si="4"/>
        <v>219.99999999999997</v>
      </c>
      <c r="F21" s="46" t="s">
        <v>15</v>
      </c>
      <c r="G21" s="110" t="str">
        <f t="shared" ca="1" si="5"/>
        <v>20000000</v>
      </c>
      <c r="H21" s="111">
        <f t="shared" ca="1" si="6"/>
        <v>1</v>
      </c>
      <c r="I21" s="112"/>
      <c r="J21" s="123">
        <f ca="1">F$4/AA153</f>
        <v>1.0337769275662372</v>
      </c>
      <c r="K21" s="113">
        <f t="shared" ref="K21:K26" ca="1" si="8">H21*J21</f>
        <v>1.0337769275662372</v>
      </c>
      <c r="L21" s="47" t="s">
        <v>15</v>
      </c>
      <c r="M21" s="48">
        <v>35</v>
      </c>
      <c r="N21" s="49" t="str">
        <f ca="1">RIGHT(DEC2HEX(INT(K21*2^29 +0.5),8),8)</f>
        <v>2114B35A</v>
      </c>
      <c r="O21" s="50" t="str">
        <f t="shared" ca="1" si="7"/>
        <v>DCW[35](2114B35A)</v>
      </c>
      <c r="R21" s="2">
        <f t="shared" ref="R21:R79" si="9">R17+2</f>
        <v>18</v>
      </c>
      <c r="S21" s="2">
        <v>2</v>
      </c>
      <c r="U21" s="2" t="str">
        <f t="shared" ca="1" si="0"/>
        <v>05</v>
      </c>
      <c r="V21" s="5" t="str">
        <f t="shared" ca="1" si="1"/>
        <v>N_MAX</v>
      </c>
      <c r="W21" s="27" t="str">
        <f t="shared" ca="1" si="2"/>
        <v>1130</v>
      </c>
      <c r="X21" s="28" t="s">
        <v>35</v>
      </c>
      <c r="Y21">
        <f t="shared" ca="1" si="3"/>
        <v>4400</v>
      </c>
      <c r="Z21"/>
      <c r="AA21" s="29"/>
      <c r="AB21"/>
    </row>
    <row r="22" spans="1:28" ht="14.45" customHeight="1" x14ac:dyDescent="0.25">
      <c r="A22" s="146" t="str">
        <f>'STEP BY STEP GUIDE'!B63</f>
        <v>12 S_K_t           13 CREEP_THR_P     14 CREEP_THR_Q     15 CREEP_THR_I</v>
      </c>
      <c r="C22" s="38">
        <f ca="1">AA121</f>
        <v>2.0218605603093618</v>
      </c>
      <c r="D22" s="38">
        <f t="shared" ca="1" si="4"/>
        <v>1</v>
      </c>
      <c r="F22" s="46" t="s">
        <v>18</v>
      </c>
      <c r="G22" s="114" t="str">
        <f t="shared" ca="1" si="5"/>
        <v>20000000</v>
      </c>
      <c r="H22" s="115">
        <f t="shared" ca="1" si="6"/>
        <v>1</v>
      </c>
      <c r="I22" s="116"/>
      <c r="J22" s="124">
        <f ca="1">F$3/AA121</f>
        <v>0.49459394956840719</v>
      </c>
      <c r="K22" s="117">
        <f t="shared" ca="1" si="8"/>
        <v>0.49459394956840719</v>
      </c>
      <c r="L22" s="51" t="s">
        <v>18</v>
      </c>
      <c r="M22" s="52">
        <v>36</v>
      </c>
      <c r="N22" s="53" t="str">
        <f t="shared" ref="N22:N26" ca="1" si="10">RIGHT(DEC2HEX(INT(K22*2^29 +0.5),8),8)</f>
        <v>0FD3B6B1</v>
      </c>
      <c r="O22" s="54" t="str">
        <f t="shared" ca="1" si="7"/>
        <v>DCW[36](0FD3B6B1)</v>
      </c>
      <c r="R22" s="2">
        <f t="shared" si="9"/>
        <v>18</v>
      </c>
      <c r="S22" s="2">
        <v>3</v>
      </c>
      <c r="U22" s="2" t="str">
        <f t="shared" ca="1" si="0"/>
        <v>06</v>
      </c>
      <c r="V22" s="5" t="str">
        <f t="shared" ca="1" si="1"/>
        <v>PULSE0_CTRL</v>
      </c>
      <c r="W22" s="27" t="str">
        <f t="shared" ca="1" si="2"/>
        <v>810001D0</v>
      </c>
      <c r="X22" s="28" t="s">
        <v>35</v>
      </c>
      <c r="Y22">
        <f t="shared" ca="1" si="3"/>
        <v>2164261328</v>
      </c>
      <c r="Z22"/>
      <c r="AA22" s="29"/>
      <c r="AB22"/>
    </row>
    <row r="23" spans="1:28" x14ac:dyDescent="0.25">
      <c r="A23" s="146" t="str">
        <f>'STEP BY STEP GUIDE'!B64</f>
        <v>500000             2E9A               2E9A               212D</v>
      </c>
      <c r="C23" s="45">
        <f ca="1">AA154</f>
        <v>212.85283048416576</v>
      </c>
      <c r="D23" s="45">
        <f t="shared" ca="1" si="4"/>
        <v>220</v>
      </c>
      <c r="F23" s="46" t="s">
        <v>21</v>
      </c>
      <c r="G23" s="110" t="str">
        <f t="shared" ca="1" si="5"/>
        <v>20000000</v>
      </c>
      <c r="H23" s="111">
        <f t="shared" ca="1" si="6"/>
        <v>1</v>
      </c>
      <c r="I23" s="112"/>
      <c r="J23" s="123">
        <f ca="1">F$4/AA154</f>
        <v>1.0335779867224548</v>
      </c>
      <c r="K23" s="113">
        <f t="shared" ca="1" si="8"/>
        <v>1.0335779867224548</v>
      </c>
      <c r="L23" s="47" t="s">
        <v>21</v>
      </c>
      <c r="M23" s="48">
        <v>37</v>
      </c>
      <c r="N23" s="49" t="str">
        <f t="shared" ca="1" si="10"/>
        <v>21131224</v>
      </c>
      <c r="O23" s="50" t="str">
        <f t="shared" ca="1" si="7"/>
        <v>DCW[37](21131224)</v>
      </c>
      <c r="R23" s="2">
        <f t="shared" si="9"/>
        <v>18</v>
      </c>
      <c r="S23" s="2">
        <v>4</v>
      </c>
      <c r="U23" s="2" t="str">
        <f t="shared" ca="1" si="0"/>
        <v>07</v>
      </c>
      <c r="V23" s="5" t="str">
        <f t="shared" ca="1" si="1"/>
        <v>PULSE1_CTRL</v>
      </c>
      <c r="W23" s="27" t="str">
        <f t="shared" ca="1" si="2"/>
        <v>810201D0</v>
      </c>
      <c r="X23" s="28" t="s">
        <v>35</v>
      </c>
      <c r="Y23">
        <f t="shared" ca="1" si="3"/>
        <v>2164392400</v>
      </c>
      <c r="Z23"/>
      <c r="AA23" s="29"/>
      <c r="AB23"/>
    </row>
    <row r="24" spans="1:28" x14ac:dyDescent="0.25">
      <c r="A24" s="146" t="str">
        <f>'STEP BY STEP GUIDE'!B65</f>
        <v>16 CREEP_THR_S     17 PWR_OFFS_CTRL   18 PWR_OFFS_P      19 PWR_OFFS_Q</v>
      </c>
      <c r="C24" s="38">
        <f ca="1">AA122</f>
        <v>0</v>
      </c>
      <c r="D24" s="38" t="e">
        <f t="shared" ca="1" si="4"/>
        <v>#DIV/0!</v>
      </c>
      <c r="F24" s="46" t="s">
        <v>25</v>
      </c>
      <c r="G24" s="114" t="str">
        <f t="shared" ca="1" si="5"/>
        <v>20000000</v>
      </c>
      <c r="H24" s="115">
        <f t="shared" ca="1" si="6"/>
        <v>1</v>
      </c>
      <c r="I24" s="116"/>
      <c r="J24" s="123" t="e">
        <f ca="1">F$3/AA122</f>
        <v>#DIV/0!</v>
      </c>
      <c r="K24" s="117" t="e">
        <f t="shared" ca="1" si="8"/>
        <v>#DIV/0!</v>
      </c>
      <c r="L24" s="51" t="s">
        <v>25</v>
      </c>
      <c r="M24" s="52">
        <v>38</v>
      </c>
      <c r="N24" s="53" t="e">
        <f t="shared" ca="1" si="10"/>
        <v>#DIV/0!</v>
      </c>
      <c r="O24" s="54" t="e">
        <f t="shared" ca="1" si="7"/>
        <v>#DIV/0!</v>
      </c>
      <c r="R24" s="2">
        <f t="shared" si="9"/>
        <v>20</v>
      </c>
      <c r="S24" s="2">
        <v>1</v>
      </c>
      <c r="U24" s="2" t="str">
        <f t="shared" ca="1" si="0"/>
        <v>08</v>
      </c>
      <c r="V24" s="5" t="str">
        <f t="shared" ca="1" si="1"/>
        <v>PULSE2_CTRL</v>
      </c>
      <c r="W24" s="27" t="str">
        <f t="shared" ca="1" si="2"/>
        <v>110401D0</v>
      </c>
      <c r="X24" s="28" t="s">
        <v>35</v>
      </c>
      <c r="Y24">
        <f t="shared" ca="1" si="3"/>
        <v>285475280</v>
      </c>
      <c r="Z24"/>
      <c r="AA24" s="29"/>
      <c r="AB24"/>
    </row>
    <row r="25" spans="1:28" x14ac:dyDescent="0.25">
      <c r="A25" s="146" t="str">
        <f>'STEP BY STEP GUIDE'!B66</f>
        <v>2E9A               0                  0                  0</v>
      </c>
      <c r="C25" s="45">
        <f ca="1">AA155</f>
        <v>0</v>
      </c>
      <c r="D25" s="45" t="e">
        <f t="shared" ca="1" si="4"/>
        <v>#DIV/0!</v>
      </c>
      <c r="F25" s="46" t="s">
        <v>28</v>
      </c>
      <c r="G25" s="110" t="str">
        <f t="shared" ca="1" si="5"/>
        <v>20000000</v>
      </c>
      <c r="H25" s="111">
        <f t="shared" ca="1" si="6"/>
        <v>1</v>
      </c>
      <c r="I25" s="112"/>
      <c r="J25" s="123" t="e">
        <f ca="1">F$4/AA155</f>
        <v>#DIV/0!</v>
      </c>
      <c r="K25" s="113" t="e">
        <f t="shared" ca="1" si="8"/>
        <v>#DIV/0!</v>
      </c>
      <c r="L25" s="47" t="s">
        <v>28</v>
      </c>
      <c r="M25" s="48">
        <v>39</v>
      </c>
      <c r="N25" s="49" t="e">
        <f t="shared" ca="1" si="10"/>
        <v>#DIV/0!</v>
      </c>
      <c r="O25" s="50" t="e">
        <f t="shared" ca="1" si="7"/>
        <v>#DIV/0!</v>
      </c>
      <c r="R25" s="2">
        <f t="shared" si="9"/>
        <v>20</v>
      </c>
      <c r="S25" s="2">
        <v>2</v>
      </c>
      <c r="U25" s="2" t="str">
        <f t="shared" ca="1" si="0"/>
        <v>09</v>
      </c>
      <c r="V25" s="5" t="str">
        <f t="shared" ca="1" si="1"/>
        <v>P_K_t</v>
      </c>
      <c r="W25" s="27" t="str">
        <f t="shared" ca="1" si="2"/>
        <v>500000</v>
      </c>
      <c r="X25" s="28" t="s">
        <v>44</v>
      </c>
      <c r="Y25">
        <f t="shared" ref="Y25:Y30" ca="1" si="11">HEX2DEC(IF(AND(LEN(W25)=8,HEX2DEC(LEFT(W25,1))&gt;7),"FF","00")&amp;W25)/2^(0+MID(X25,FIND(".",X25)+1,2))</f>
        <v>0.3125</v>
      </c>
      <c r="Z25"/>
      <c r="AA25" s="29"/>
      <c r="AB25"/>
    </row>
    <row r="26" spans="1:28" x14ac:dyDescent="0.25">
      <c r="A26" s="146" t="str">
        <f>'STEP BY STEP GUIDE'!B67</f>
        <v>20 PWR_OFFS_S      21 SWELL_THR_VA    22 SWELL_THR_VB    23 SWELL_THR_VC</v>
      </c>
      <c r="C26" s="38">
        <f ca="1">AA124</f>
        <v>0</v>
      </c>
      <c r="D26" s="38" t="e">
        <f t="shared" ca="1" si="4"/>
        <v>#DIV/0!</v>
      </c>
      <c r="F26" s="55" t="s">
        <v>31</v>
      </c>
      <c r="G26" s="118" t="str">
        <f t="shared" ca="1" si="5"/>
        <v>20000000</v>
      </c>
      <c r="H26" s="119">
        <f t="shared" ca="1" si="6"/>
        <v>1</v>
      </c>
      <c r="I26" s="120"/>
      <c r="J26" s="125" t="e">
        <f ca="1">F$3/AA124</f>
        <v>#DIV/0!</v>
      </c>
      <c r="K26" s="121" t="e">
        <f t="shared" ca="1" si="8"/>
        <v>#DIV/0!</v>
      </c>
      <c r="L26" s="56" t="s">
        <v>31</v>
      </c>
      <c r="M26" s="57">
        <v>40</v>
      </c>
      <c r="N26" s="58" t="e">
        <f t="shared" ca="1" si="10"/>
        <v>#DIV/0!</v>
      </c>
      <c r="O26" s="59" t="e">
        <f t="shared" ca="1" si="7"/>
        <v>#DIV/0!</v>
      </c>
      <c r="R26" s="2">
        <f t="shared" si="9"/>
        <v>20</v>
      </c>
      <c r="S26" s="2">
        <v>3</v>
      </c>
      <c r="U26" s="2" t="str">
        <f t="shared" ca="1" si="0"/>
        <v>10</v>
      </c>
      <c r="V26" s="5" t="str">
        <f t="shared" ca="1" si="1"/>
        <v>Q_K_t</v>
      </c>
      <c r="W26" s="27" t="str">
        <f t="shared" ca="1" si="2"/>
        <v>500000</v>
      </c>
      <c r="X26" s="28" t="s">
        <v>44</v>
      </c>
      <c r="Y26">
        <f t="shared" ca="1" si="11"/>
        <v>0.3125</v>
      </c>
      <c r="Z26"/>
      <c r="AA26" s="29"/>
      <c r="AB26"/>
    </row>
    <row r="27" spans="1:28" x14ac:dyDescent="0.25">
      <c r="A27" s="146" t="str">
        <f>'STEP BY STEP GUIDE'!B68</f>
        <v>0                  5EAB918            5EAB918            5EAB918</v>
      </c>
      <c r="F27" s="39" t="s">
        <v>45</v>
      </c>
      <c r="G27" s="60" t="str">
        <f t="shared" ca="1" si="5"/>
        <v>0</v>
      </c>
      <c r="H27" s="61">
        <f t="shared" ref="H27:H33" ca="1" si="12">AA57</f>
        <v>0</v>
      </c>
      <c r="I27" s="62">
        <f ca="1">DEGREES(ATAN2(Y138,Y147))-F6</f>
        <v>-2.8988872424477563E-2</v>
      </c>
      <c r="J27" s="62">
        <f ca="1">I27*60/$F$5</f>
        <v>-3.4786646909373074E-2</v>
      </c>
      <c r="K27" s="61">
        <f ca="1">H27+J27 + IF($G$18=1,J28,0)</f>
        <v>-3.4786646909373074E-2</v>
      </c>
      <c r="L27" s="63" t="s">
        <v>45</v>
      </c>
      <c r="M27" s="64">
        <v>41</v>
      </c>
      <c r="N27" s="65" t="str">
        <f t="shared" ref="N27:N33" ca="1" si="13">RIGHT(DEC2HEX((K27)/180*2^31),8)</f>
        <v>FFF9AAD4</v>
      </c>
      <c r="O27" s="66" t="str">
        <f t="shared" ref="O27:O33" ca="1" si="14">"DCW["&amp;M27&amp;"]("&amp;RIGHT(RIGHT(DEC2HEX((K27)/180*2^31),8),8)&amp;")"</f>
        <v>DCW[41](FFF9AAD4)</v>
      </c>
      <c r="R27" s="2">
        <f t="shared" si="9"/>
        <v>20</v>
      </c>
      <c r="S27" s="2">
        <v>4</v>
      </c>
      <c r="U27" s="2" t="str">
        <f t="shared" ca="1" si="0"/>
        <v>11</v>
      </c>
      <c r="V27" s="5" t="str">
        <f t="shared" ca="1" si="1"/>
        <v>I_K_t</v>
      </c>
      <c r="W27" s="27" t="str">
        <f t="shared" ca="1" si="2"/>
        <v>500000</v>
      </c>
      <c r="X27" s="28" t="s">
        <v>44</v>
      </c>
      <c r="Y27">
        <f t="shared" ca="1" si="11"/>
        <v>0.3125</v>
      </c>
      <c r="Z27"/>
      <c r="AA27" s="29"/>
      <c r="AB27"/>
    </row>
    <row r="28" spans="1:28" x14ac:dyDescent="0.25">
      <c r="A28" s="146" t="str">
        <f>'STEP BY STEP GUIDE'!B69</f>
        <v>24 SAG_THR_VA      25 SAG_THR_VB      26 SAG_THR_VC      27 K_IA</v>
      </c>
      <c r="F28" s="46" t="s">
        <v>47</v>
      </c>
      <c r="G28" s="67" t="str">
        <f t="shared" ca="1" si="5"/>
        <v>0</v>
      </c>
      <c r="H28" s="68">
        <f t="shared" ca="1" si="12"/>
        <v>0</v>
      </c>
      <c r="I28" s="69"/>
      <c r="J28" s="69">
        <v>0</v>
      </c>
      <c r="K28" s="68">
        <f ca="1">IF($G$18=1,H28+J28,0)</f>
        <v>0</v>
      </c>
      <c r="L28" s="70" t="s">
        <v>47</v>
      </c>
      <c r="M28" s="71">
        <v>42</v>
      </c>
      <c r="N28" s="72" t="str">
        <f t="shared" ca="1" si="13"/>
        <v>0</v>
      </c>
      <c r="O28" s="73" t="str">
        <f t="shared" ca="1" si="14"/>
        <v>DCW[42](0)</v>
      </c>
      <c r="R28" s="2">
        <f t="shared" si="9"/>
        <v>22</v>
      </c>
      <c r="S28" s="2">
        <v>1</v>
      </c>
      <c r="U28" s="2" t="str">
        <f t="shared" ca="1" si="0"/>
        <v>12</v>
      </c>
      <c r="V28" s="5" t="str">
        <f t="shared" ca="1" si="1"/>
        <v>S_K_t</v>
      </c>
      <c r="W28" s="27" t="str">
        <f t="shared" ca="1" si="2"/>
        <v>500000</v>
      </c>
      <c r="X28" s="28" t="s">
        <v>44</v>
      </c>
      <c r="Y28">
        <f t="shared" ca="1" si="11"/>
        <v>0.3125</v>
      </c>
      <c r="Z28"/>
      <c r="AA28" s="29"/>
      <c r="AB28"/>
    </row>
    <row r="29" spans="1:28" x14ac:dyDescent="0.25">
      <c r="A29" s="146" t="str">
        <f>'STEP BY STEP GUIDE'!B70</f>
        <v>1A2EC26            1A2EC26            1A2EC26            9A523</v>
      </c>
      <c r="F29" s="46" t="s">
        <v>48</v>
      </c>
      <c r="G29" s="74" t="str">
        <f t="shared" ca="1" si="5"/>
        <v>0</v>
      </c>
      <c r="H29" s="75">
        <f t="shared" ca="1" si="12"/>
        <v>0</v>
      </c>
      <c r="I29" s="76">
        <f ca="1">DEGREES(ATAN2(Y139,Y148))-F6</f>
        <v>-0.29972356338154782</v>
      </c>
      <c r="J29" s="76">
        <f ca="1">I29*60/$F$5</f>
        <v>-0.35966827605785739</v>
      </c>
      <c r="K29" s="75">
        <f ca="1">H29-H30+J29+K30</f>
        <v>-0.136343502938405</v>
      </c>
      <c r="L29" s="77" t="s">
        <v>48</v>
      </c>
      <c r="M29" s="78">
        <v>43</v>
      </c>
      <c r="N29" s="79" t="str">
        <f t="shared" ca="1" si="13"/>
        <v>FFE72DEF</v>
      </c>
      <c r="O29" s="80" t="str">
        <f t="shared" ca="1" si="14"/>
        <v>DCW[43](FFE72DEF)</v>
      </c>
      <c r="R29" s="2">
        <f t="shared" si="9"/>
        <v>22</v>
      </c>
      <c r="S29" s="2">
        <v>2</v>
      </c>
      <c r="U29" s="2" t="str">
        <f t="shared" ca="1" si="0"/>
        <v>13</v>
      </c>
      <c r="V29" s="5" t="str">
        <f t="shared" ca="1" si="1"/>
        <v>CREEP_THR_P</v>
      </c>
      <c r="W29" s="27" t="str">
        <f t="shared" ca="1" si="2"/>
        <v>2E9A</v>
      </c>
      <c r="X29" s="28" t="s">
        <v>46</v>
      </c>
      <c r="Y29">
        <f t="shared" ca="1" si="11"/>
        <v>1.1110678315162659E-5</v>
      </c>
      <c r="Z29"/>
      <c r="AA29" s="29"/>
      <c r="AB29"/>
    </row>
    <row r="30" spans="1:28" x14ac:dyDescent="0.25">
      <c r="A30" s="146" t="str">
        <f>'STEP BY STEP GUIDE'!B71</f>
        <v>28 K_VA            29 K_IB            30 K_VB            31 K_IC</v>
      </c>
      <c r="F30" s="46" t="s">
        <v>50</v>
      </c>
      <c r="G30" s="67" t="str">
        <f t="shared" ca="1" si="5"/>
        <v>0</v>
      </c>
      <c r="H30" s="68">
        <f t="shared" si="12"/>
        <v>0</v>
      </c>
      <c r="I30" s="69"/>
      <c r="J30" s="69">
        <f ca="1">IF($G$18=1,(DEGREES(ACOS((Y164-Y157-Y158)/(-2*SQRT(Y157*Y158))))-$F$7)*60/$F$5,0)</f>
        <v>0.2233247731194524</v>
      </c>
      <c r="K30" s="68">
        <f ca="1">IF($G$18=1,H30+J30,0)</f>
        <v>0.2233247731194524</v>
      </c>
      <c r="L30" s="70" t="s">
        <v>50</v>
      </c>
      <c r="M30" s="71">
        <v>44</v>
      </c>
      <c r="N30" s="72" t="str">
        <f t="shared" ca="1" si="13"/>
        <v>28A7B0</v>
      </c>
      <c r="O30" s="73" t="str">
        <f t="shared" ca="1" si="14"/>
        <v>DCW[44](28A7B0)</v>
      </c>
      <c r="R30" s="2">
        <f t="shared" si="9"/>
        <v>22</v>
      </c>
      <c r="S30" s="2">
        <v>3</v>
      </c>
      <c r="U30" s="2" t="str">
        <f t="shared" ca="1" si="0"/>
        <v>14</v>
      </c>
      <c r="V30" s="5" t="str">
        <f t="shared" ca="1" si="1"/>
        <v>CREEP_THR_Q</v>
      </c>
      <c r="W30" s="27" t="str">
        <f t="shared" ca="1" si="2"/>
        <v>2E9A</v>
      </c>
      <c r="X30" s="28" t="s">
        <v>46</v>
      </c>
      <c r="Y30">
        <f t="shared" ca="1" si="11"/>
        <v>1.1110678315162659E-5</v>
      </c>
      <c r="Z30"/>
      <c r="AA30" s="29"/>
      <c r="AB30"/>
    </row>
    <row r="31" spans="1:28" x14ac:dyDescent="0.25">
      <c r="A31" s="146" t="str">
        <f>'STEP BY STEP GUIDE'!B72</f>
        <v>19CC00             9A523              19CC00             9A523</v>
      </c>
      <c r="F31" s="46" t="s">
        <v>51</v>
      </c>
      <c r="G31" s="74" t="str">
        <f t="shared" ca="1" si="5"/>
        <v>0</v>
      </c>
      <c r="H31" s="75">
        <f t="shared" si="12"/>
        <v>0</v>
      </c>
      <c r="I31" s="76" t="e">
        <f ca="1">DEGREES(ATAN2(Y140,Y149))-F6</f>
        <v>#DIV/0!</v>
      </c>
      <c r="J31" s="76" t="e">
        <f ca="1">I31*60/$F$5</f>
        <v>#DIV/0!</v>
      </c>
      <c r="K31" s="75" t="e">
        <f ca="1">H31-H32+J31+K32</f>
        <v>#DIV/0!</v>
      </c>
      <c r="L31" s="77" t="s">
        <v>51</v>
      </c>
      <c r="M31" s="78">
        <v>45</v>
      </c>
      <c r="N31" s="79" t="e">
        <f t="shared" ca="1" si="13"/>
        <v>#DIV/0!</v>
      </c>
      <c r="O31" s="80" t="e">
        <f t="shared" ca="1" si="14"/>
        <v>#DIV/0!</v>
      </c>
      <c r="R31" s="2">
        <f t="shared" si="9"/>
        <v>22</v>
      </c>
      <c r="S31" s="2">
        <v>4</v>
      </c>
      <c r="U31" s="2" t="str">
        <f t="shared" ca="1" si="0"/>
        <v>15</v>
      </c>
      <c r="V31" s="5" t="str">
        <f t="shared" ca="1" si="1"/>
        <v>CREEP_THR_I</v>
      </c>
      <c r="W31" s="27" t="str">
        <f t="shared" ca="1" si="2"/>
        <v>212D</v>
      </c>
      <c r="X31" s="28" t="s">
        <v>49</v>
      </c>
      <c r="Y31">
        <f ca="1">(HEX2DEC(LEFT(REPT("0",16-LEN(W31))&amp;W31,10))*16^6+HEX2DEC(RIGHT(W31,6)))/2^(0+MID(X31,FIND(".",X31)+1,2))</f>
        <v>8.0995559692382813E-3</v>
      </c>
      <c r="Z31"/>
      <c r="AA31" s="29"/>
      <c r="AB31"/>
    </row>
    <row r="32" spans="1:28" x14ac:dyDescent="0.25">
      <c r="A32" s="146" t="str">
        <f>'STEP BY STEP GUIDE'!B73</f>
        <v>32 K_VC            33 K_IN            34 CAL_M_IA        35 CAL_M_VA</v>
      </c>
      <c r="F32" s="55" t="s">
        <v>53</v>
      </c>
      <c r="G32" s="81" t="str">
        <f t="shared" ca="1" si="5"/>
        <v>0</v>
      </c>
      <c r="H32" s="82">
        <f t="shared" si="12"/>
        <v>0</v>
      </c>
      <c r="I32" s="83"/>
      <c r="J32" s="83" t="e">
        <f ca="1">IF($G$18=1,($F$7-(DEGREES(ACOS((Y166-Y157-Y159)/(-2*SQRT(Y157*Y159))))))*60/$F$5,0)</f>
        <v>#DIV/0!</v>
      </c>
      <c r="K32" s="82" t="e">
        <f ca="1">IF($G$18=1,H32+J32,0)</f>
        <v>#DIV/0!</v>
      </c>
      <c r="L32" s="84" t="s">
        <v>53</v>
      </c>
      <c r="M32" s="85">
        <v>46</v>
      </c>
      <c r="N32" s="86" t="e">
        <f t="shared" ca="1" si="13"/>
        <v>#DIV/0!</v>
      </c>
      <c r="O32" s="87" t="e">
        <f t="shared" ca="1" si="14"/>
        <v>#DIV/0!</v>
      </c>
      <c r="R32" s="2">
        <f t="shared" si="9"/>
        <v>24</v>
      </c>
      <c r="S32" s="2">
        <v>1</v>
      </c>
      <c r="U32" s="2" t="str">
        <f t="shared" ca="1" si="0"/>
        <v>16</v>
      </c>
      <c r="V32" s="5" t="str">
        <f t="shared" ca="1" si="1"/>
        <v>CREEP_THR_S</v>
      </c>
      <c r="W32" s="27" t="str">
        <f t="shared" ca="1" si="2"/>
        <v>2E9A</v>
      </c>
      <c r="X32" s="28" t="s">
        <v>46</v>
      </c>
      <c r="Y32">
        <f t="shared" ref="Y32:Y59" ca="1" si="15">HEX2DEC(IF(AND(LEN(W32)=8,HEX2DEC(LEFT(W32,1))&gt;7),"FF","00")&amp;W32)/2^(0+MID(X32,FIND(".",X32)+1,2))</f>
        <v>1.1110678315162659E-5</v>
      </c>
      <c r="Z32"/>
      <c r="AA32" s="29"/>
      <c r="AB32"/>
    </row>
    <row r="33" spans="1:28" ht="15.75" thickBot="1" x14ac:dyDescent="0.3">
      <c r="A33" s="146" t="str">
        <f>'STEP BY STEP GUIDE'!B74</f>
        <v>19CC00             9A523              20000000           20000000</v>
      </c>
      <c r="F33" s="55" t="s">
        <v>106</v>
      </c>
      <c r="G33" s="81" t="str">
        <f t="shared" ca="1" si="5"/>
        <v>0</v>
      </c>
      <c r="H33" s="82">
        <f t="shared" si="12"/>
        <v>0</v>
      </c>
      <c r="I33" s="76" t="e">
        <f ca="1">DEGREES(ATAN2(Y142,Y151))-F6</f>
        <v>#DIV/0!</v>
      </c>
      <c r="J33" s="76" t="e">
        <f ca="1">I33*60/$F$5</f>
        <v>#DIV/0!</v>
      </c>
      <c r="K33" s="82" t="e">
        <f ca="1">IF($G$18=1,H33+J33,0)</f>
        <v>#DIV/0!</v>
      </c>
      <c r="L33" s="84" t="s">
        <v>53</v>
      </c>
      <c r="M33" s="85">
        <v>47</v>
      </c>
      <c r="N33" s="86" t="e">
        <f t="shared" ca="1" si="13"/>
        <v>#DIV/0!</v>
      </c>
      <c r="O33" s="87" t="e">
        <f t="shared" ca="1" si="14"/>
        <v>#DIV/0!</v>
      </c>
      <c r="R33" s="2">
        <f t="shared" si="9"/>
        <v>24</v>
      </c>
      <c r="S33" s="2">
        <v>2</v>
      </c>
      <c r="U33" s="2" t="str">
        <f t="shared" ca="1" si="0"/>
        <v>17</v>
      </c>
      <c r="V33" s="5" t="str">
        <f t="shared" ca="1" si="1"/>
        <v>PWR_OFFS_CTRL</v>
      </c>
      <c r="W33" s="27" t="str">
        <f t="shared" ca="1" si="2"/>
        <v>0</v>
      </c>
      <c r="X33" s="28" t="s">
        <v>35</v>
      </c>
      <c r="Y33">
        <f t="shared" ca="1" si="15"/>
        <v>0</v>
      </c>
      <c r="Z33"/>
      <c r="AA33" s="29"/>
      <c r="AB33"/>
    </row>
    <row r="34" spans="1:28" x14ac:dyDescent="0.25">
      <c r="A34" s="146" t="str">
        <f>'STEP BY STEP GUIDE'!B75</f>
        <v>36 CAL_M_IB        37 CAL_M_VB        38 CAL_M_IC        39 CAL_M_VC</v>
      </c>
      <c r="F34" s="88" t="s">
        <v>233</v>
      </c>
      <c r="G34" s="23"/>
      <c r="H34" s="23"/>
      <c r="I34" s="23"/>
      <c r="J34" s="23"/>
      <c r="K34" s="23"/>
      <c r="L34" s="24"/>
      <c r="R34" s="2">
        <f t="shared" si="9"/>
        <v>24</v>
      </c>
      <c r="S34" s="2">
        <v>3</v>
      </c>
      <c r="U34" s="2" t="str">
        <f t="shared" ca="1" si="0"/>
        <v>18</v>
      </c>
      <c r="V34" s="5" t="str">
        <f t="shared" ca="1" si="1"/>
        <v>PWR_OFFS_P</v>
      </c>
      <c r="W34" s="27" t="str">
        <f t="shared" ca="1" si="2"/>
        <v>0</v>
      </c>
      <c r="X34" s="28" t="s">
        <v>52</v>
      </c>
      <c r="Y34">
        <f t="shared" ca="1" si="15"/>
        <v>0</v>
      </c>
      <c r="Z34"/>
      <c r="AA34" s="29"/>
      <c r="AB34"/>
    </row>
    <row r="35" spans="1:28" x14ac:dyDescent="0.25">
      <c r="A35" s="146" t="str">
        <f>'STEP BY STEP GUIDE'!B76</f>
        <v>20000000           20000000           20000000           20000000</v>
      </c>
      <c r="F35" s="89" t="e">
        <f ca="1">"DCM( "&amp;M20&amp;$K$17&amp;N20&amp;"; "&amp;M21&amp;$K$17&amp;N21&amp;"; "&amp;M22&amp;$K$17&amp;N22&amp;"; "&amp;M23&amp;$K$17&amp;N23&amp;"; "&amp;M24&amp;$K$17&amp;N24&amp;"; "&amp;M25&amp;$K$17&amp;N25&amp;"; "&amp;M26&amp;$K$17&amp;N26&amp;" )"</f>
        <v>#DIV/0!</v>
      </c>
      <c r="G35" s="90"/>
      <c r="H35" s="90"/>
      <c r="I35" s="90"/>
      <c r="J35" s="90"/>
      <c r="K35" s="90"/>
      <c r="L35" s="91"/>
      <c r="R35" s="2">
        <f t="shared" si="9"/>
        <v>24</v>
      </c>
      <c r="S35" s="2">
        <v>4</v>
      </c>
      <c r="U35" s="2" t="str">
        <f t="shared" ca="1" si="0"/>
        <v>19</v>
      </c>
      <c r="V35" s="5" t="str">
        <f t="shared" ca="1" si="1"/>
        <v>PWR_OFFS_Q</v>
      </c>
      <c r="W35" s="27" t="str">
        <f t="shared" ca="1" si="2"/>
        <v>0</v>
      </c>
      <c r="X35" s="28" t="s">
        <v>52</v>
      </c>
      <c r="Y35">
        <f t="shared" ca="1" si="15"/>
        <v>0</v>
      </c>
      <c r="Z35"/>
      <c r="AA35" s="29"/>
      <c r="AB35"/>
    </row>
    <row r="36" spans="1:28" ht="15.75" thickBot="1" x14ac:dyDescent="0.3">
      <c r="A36" s="146" t="str">
        <f>'STEP BY STEP GUIDE'!B77</f>
        <v>40 CAL_M_IN        41 CAL_PH_IA       42 CAL_PH_VA       43 CAL_PH_IB</v>
      </c>
      <c r="F36" s="92" t="e">
        <f ca="1">"DCM( "&amp;M27&amp;$K$17&amp;N27&amp;"; "&amp;M28&amp;$K$17&amp;N28&amp;"; "&amp;M29&amp;$K$17&amp;N29&amp;"; "&amp;M30&amp;$K$17&amp;N30&amp;"; "&amp;M31&amp;$K$17&amp;N31&amp;"; "&amp;M32&amp;$K$17&amp;N32&amp;"; "&amp;M33&amp;$K$17&amp;N33&amp;"  )"</f>
        <v>#DIV/0!</v>
      </c>
      <c r="G36" s="93"/>
      <c r="H36" s="93"/>
      <c r="I36" s="93"/>
      <c r="J36" s="93"/>
      <c r="K36" s="93"/>
      <c r="L36" s="94"/>
      <c r="R36" s="2">
        <f t="shared" si="9"/>
        <v>26</v>
      </c>
      <c r="S36" s="2">
        <v>1</v>
      </c>
      <c r="U36" s="2" t="str">
        <f t="shared" ca="1" si="0"/>
        <v>20</v>
      </c>
      <c r="V36" s="5" t="str">
        <f t="shared" ca="1" si="1"/>
        <v>PWR_OFFS_S</v>
      </c>
      <c r="W36" s="27" t="str">
        <f t="shared" ca="1" si="2"/>
        <v>0</v>
      </c>
      <c r="X36" s="28" t="s">
        <v>52</v>
      </c>
      <c r="Y36">
        <f t="shared" ca="1" si="15"/>
        <v>0</v>
      </c>
      <c r="Z36"/>
      <c r="AA36" s="29"/>
      <c r="AB36"/>
    </row>
    <row r="37" spans="1:28" ht="15.75" thickBot="1" x14ac:dyDescent="0.3">
      <c r="A37" s="146" t="str">
        <f>'STEP BY STEP GUIDE'!B78</f>
        <v>20000000           0                  0                  0</v>
      </c>
      <c r="R37" s="183">
        <f t="shared" si="9"/>
        <v>26</v>
      </c>
      <c r="S37" s="183">
        <v>2</v>
      </c>
      <c r="T37" s="184"/>
      <c r="U37" s="183" t="str">
        <f t="shared" ca="1" si="0"/>
        <v>21</v>
      </c>
      <c r="V37" s="185" t="str">
        <f t="shared" ca="1" si="1"/>
        <v>SWELL_THR_VA</v>
      </c>
      <c r="W37" s="186" t="str">
        <f t="shared" ca="1" si="2"/>
        <v>5EAB918</v>
      </c>
      <c r="X37" s="187" t="s">
        <v>54</v>
      </c>
      <c r="Y37" s="188">
        <f t="shared" ca="1" si="15"/>
        <v>2.3112839087843895E-2</v>
      </c>
      <c r="Z37"/>
      <c r="AA37" s="29"/>
      <c r="AB37"/>
    </row>
    <row r="38" spans="1:28" x14ac:dyDescent="0.25">
      <c r="A38" s="146" t="str">
        <f>'STEP BY STEP GUIDE'!B79</f>
        <v>44 CAL_PH_VB       45 CAL_PH_IC       46 CAL_PH_VC       47 CAL_PH_IN</v>
      </c>
      <c r="F38" s="88" t="s">
        <v>234</v>
      </c>
      <c r="G38" s="23"/>
      <c r="H38" s="23"/>
      <c r="I38" s="23"/>
      <c r="J38" s="23"/>
      <c r="K38" s="23"/>
      <c r="L38" s="24"/>
      <c r="R38" s="2">
        <f t="shared" si="9"/>
        <v>26</v>
      </c>
      <c r="S38" s="2">
        <v>3</v>
      </c>
      <c r="U38" s="2" t="str">
        <f t="shared" ca="1" si="0"/>
        <v>22</v>
      </c>
      <c r="V38" s="5" t="str">
        <f t="shared" ca="1" si="1"/>
        <v>SWELL_THR_VB</v>
      </c>
      <c r="W38" s="27" t="str">
        <f t="shared" ca="1" si="2"/>
        <v>5EAB918</v>
      </c>
      <c r="X38" s="28" t="s">
        <v>54</v>
      </c>
      <c r="Y38">
        <f t="shared" ca="1" si="15"/>
        <v>2.3112839087843895E-2</v>
      </c>
      <c r="Z38"/>
      <c r="AA38" s="29"/>
      <c r="AB38"/>
    </row>
    <row r="39" spans="1:28" x14ac:dyDescent="0.25">
      <c r="A39" s="146" t="str">
        <f>'STEP BY STEP GUIDE'!B80</f>
        <v>0                  0                  0                  0</v>
      </c>
      <c r="F39" s="89" t="str">
        <f ca="1">"DCM( "&amp;M20&amp;$K$17&amp;N20&amp;"; "&amp;M21&amp;$K$17&amp;N21&amp;"; "&amp;M22&amp;$K$17&amp;N22&amp;"; "&amp;M23&amp;$K$17&amp;N23&amp;" )"</f>
        <v>DCM( 34:0FCF598F; 35:2114B35A; 36:0FD3B6B1; 37:21131224 )</v>
      </c>
      <c r="G39" s="90"/>
      <c r="H39" s="90"/>
      <c r="I39" s="90"/>
      <c r="J39" s="90"/>
      <c r="K39" s="90"/>
      <c r="L39" s="91"/>
      <c r="R39" s="2">
        <f t="shared" si="9"/>
        <v>26</v>
      </c>
      <c r="S39" s="2">
        <v>4</v>
      </c>
      <c r="U39" s="2" t="str">
        <f t="shared" ca="1" si="0"/>
        <v>23</v>
      </c>
      <c r="V39" s="5" t="str">
        <f t="shared" ca="1" si="1"/>
        <v>SWELL_THR_VC</v>
      </c>
      <c r="W39" s="27" t="str">
        <f t="shared" ca="1" si="2"/>
        <v>5EAB918</v>
      </c>
      <c r="X39" s="28" t="s">
        <v>54</v>
      </c>
      <c r="Y39">
        <f t="shared" ca="1" si="15"/>
        <v>2.3112839087843895E-2</v>
      </c>
      <c r="Z39"/>
      <c r="AA39" s="29"/>
      <c r="AB39"/>
    </row>
    <row r="40" spans="1:28" ht="15.75" thickBot="1" x14ac:dyDescent="0.3">
      <c r="A40" s="146" t="str">
        <f>'STEP BY STEP GUIDE'!B81</f>
        <v>48 CPTR_CTRL       49 CPTR_BUFF_SIZE  50 CPTR_ADDR       51 Reserved1</v>
      </c>
      <c r="F40" s="92" t="str">
        <f ca="1">"DCM( "&amp;M27&amp;$K$17&amp;N27&amp;"; "&amp;M28&amp;$K$17&amp;N28&amp;"; "&amp;M29&amp;$K$17&amp;N29&amp;"; "&amp;M30&amp;$K$17&amp;N30&amp;" )"</f>
        <v>DCM( 41:FFF9AAD4; 42:0; 43:FFE72DEF; 44:28A7B0 )</v>
      </c>
      <c r="G40" s="93"/>
      <c r="H40" s="93"/>
      <c r="I40" s="93"/>
      <c r="J40" s="93"/>
      <c r="K40" s="93"/>
      <c r="L40" s="94"/>
      <c r="R40" s="2">
        <f t="shared" si="9"/>
        <v>28</v>
      </c>
      <c r="S40" s="2">
        <v>1</v>
      </c>
      <c r="U40" s="2" t="str">
        <f t="shared" ca="1" si="0"/>
        <v>24</v>
      </c>
      <c r="V40" s="5" t="str">
        <f t="shared" ca="1" si="1"/>
        <v>SAG_THR_VA</v>
      </c>
      <c r="W40" s="27" t="str">
        <f t="shared" ca="1" si="2"/>
        <v>1A2EC26</v>
      </c>
      <c r="X40" s="187" t="s">
        <v>54</v>
      </c>
      <c r="Y40">
        <f t="shared" ca="1" si="15"/>
        <v>6.392249371856451E-3</v>
      </c>
      <c r="Z40"/>
      <c r="AA40" s="29"/>
      <c r="AB40"/>
    </row>
    <row r="41" spans="1:28" x14ac:dyDescent="0.25">
      <c r="A41" s="146" t="str">
        <f>'STEP BY STEP GUIDE'!B82</f>
        <v>F00                7D00               20000000           0</v>
      </c>
      <c r="R41" s="2">
        <f t="shared" si="9"/>
        <v>28</v>
      </c>
      <c r="S41" s="2">
        <v>2</v>
      </c>
      <c r="U41" s="2" t="str">
        <f t="shared" ca="1" si="0"/>
        <v>25</v>
      </c>
      <c r="V41" s="5" t="str">
        <f t="shared" ca="1" si="1"/>
        <v>SAG_THR_VB</v>
      </c>
      <c r="W41" s="27" t="str">
        <f t="shared" ca="1" si="2"/>
        <v>1A2EC26</v>
      </c>
      <c r="X41" s="28" t="s">
        <v>54</v>
      </c>
      <c r="Y41">
        <f t="shared" ca="1" si="15"/>
        <v>6.392249371856451E-3</v>
      </c>
      <c r="Z41"/>
      <c r="AA41" s="29"/>
      <c r="AB41"/>
    </row>
    <row r="42" spans="1:28" x14ac:dyDescent="0.25">
      <c r="A42" s="146" t="str">
        <f>'STEP BY STEP GUIDE'!B83</f>
        <v>52 Reserved2       53 Reserved3       54 ATS_CTRL_20_23  55 ATS_CTRL_24_27</v>
      </c>
      <c r="R42" s="2">
        <f t="shared" si="9"/>
        <v>28</v>
      </c>
      <c r="S42" s="2">
        <v>3</v>
      </c>
      <c r="U42" s="2" t="str">
        <f t="shared" ca="1" si="0"/>
        <v>26</v>
      </c>
      <c r="V42" s="5" t="str">
        <f t="shared" ca="1" si="1"/>
        <v>SAG_THR_VC</v>
      </c>
      <c r="W42" s="27" t="str">
        <f t="shared" ca="1" si="2"/>
        <v>1A2EC26</v>
      </c>
      <c r="X42" s="28" t="s">
        <v>54</v>
      </c>
      <c r="Y42">
        <f t="shared" ca="1" si="15"/>
        <v>6.392249371856451E-3</v>
      </c>
      <c r="Z42"/>
      <c r="AA42" s="29"/>
      <c r="AB42"/>
    </row>
    <row r="43" spans="1:28" x14ac:dyDescent="0.25">
      <c r="A43" s="146" t="str">
        <f>'STEP BY STEP GUIDE'!B84</f>
        <v>0                  0                  1010103            7000001</v>
      </c>
      <c r="E43" s="17"/>
      <c r="R43" s="2">
        <f t="shared" si="9"/>
        <v>28</v>
      </c>
      <c r="S43" s="2">
        <v>4</v>
      </c>
      <c r="U43" s="2" t="str">
        <f t="shared" ca="1" si="0"/>
        <v>27</v>
      </c>
      <c r="V43" s="5" t="str">
        <f t="shared" ca="1" si="1"/>
        <v>K_IA</v>
      </c>
      <c r="W43" s="27" t="str">
        <f t="shared" ca="1" si="2"/>
        <v>9A523</v>
      </c>
      <c r="X43" s="28" t="s">
        <v>55</v>
      </c>
      <c r="Y43">
        <f t="shared" ca="1" si="15"/>
        <v>617.2841796875</v>
      </c>
      <c r="Z43"/>
      <c r="AA43" s="29"/>
      <c r="AB43"/>
    </row>
    <row r="44" spans="1:28" x14ac:dyDescent="0.25">
      <c r="A44" s="146" t="str">
        <f>'STEP BY STEP GUIDE'!B85</f>
        <v>56 ATS_CTRL_28_2B  57 Reserved4       58 PWR_OFFS_P_A    59 PWR_OFFS_P_B</v>
      </c>
      <c r="R44" s="2">
        <f t="shared" si="9"/>
        <v>30</v>
      </c>
      <c r="S44" s="2">
        <v>1</v>
      </c>
      <c r="U44" s="2" t="str">
        <f t="shared" ca="1" si="0"/>
        <v>28</v>
      </c>
      <c r="V44" s="5" t="str">
        <f t="shared" ca="1" si="1"/>
        <v>K_VA</v>
      </c>
      <c r="W44" s="27" t="str">
        <f t="shared" ca="1" si="2"/>
        <v>19CC00</v>
      </c>
      <c r="X44" s="28" t="s">
        <v>55</v>
      </c>
      <c r="Y44">
        <f t="shared" ca="1" si="15"/>
        <v>1651</v>
      </c>
      <c r="Z44"/>
      <c r="AA44" s="29"/>
      <c r="AB44"/>
    </row>
    <row r="45" spans="1:28" x14ac:dyDescent="0.25">
      <c r="A45" s="146" t="str">
        <f>'STEP BY STEP GUIDE'!B86</f>
        <v>3                  0                  0                  0</v>
      </c>
      <c r="R45" s="2">
        <f t="shared" si="9"/>
        <v>30</v>
      </c>
      <c r="S45" s="2">
        <v>2</v>
      </c>
      <c r="U45" s="2" t="str">
        <f t="shared" ca="1" si="0"/>
        <v>29</v>
      </c>
      <c r="V45" s="5" t="str">
        <f t="shared" ca="1" si="1"/>
        <v>K_IB</v>
      </c>
      <c r="W45" s="27" t="str">
        <f t="shared" ca="1" si="2"/>
        <v>9A523</v>
      </c>
      <c r="X45" s="28" t="s">
        <v>55</v>
      </c>
      <c r="Y45">
        <f t="shared" ca="1" si="15"/>
        <v>617.2841796875</v>
      </c>
      <c r="Z45"/>
      <c r="AA45" s="29"/>
      <c r="AB45"/>
    </row>
    <row r="46" spans="1:28" x14ac:dyDescent="0.25">
      <c r="A46" s="146" t="str">
        <f>'STEP BY STEP GUIDE'!B87</f>
        <v>60 PWR_OFFS_P_C    61 PWR_OFFS_Q_A    62 PWR_OFFS_Q_B    63 PWR_OFFS_Q_C</v>
      </c>
      <c r="R46" s="2">
        <f t="shared" si="9"/>
        <v>30</v>
      </c>
      <c r="S46" s="2">
        <v>3</v>
      </c>
      <c r="U46" s="2" t="str">
        <f t="shared" ca="1" si="0"/>
        <v>30</v>
      </c>
      <c r="V46" s="5" t="str">
        <f t="shared" ca="1" si="1"/>
        <v>K_VB</v>
      </c>
      <c r="W46" s="27" t="str">
        <f t="shared" ca="1" si="2"/>
        <v>19CC00</v>
      </c>
      <c r="X46" s="28" t="s">
        <v>55</v>
      </c>
      <c r="Y46">
        <f t="shared" ca="1" si="15"/>
        <v>1651</v>
      </c>
      <c r="Z46"/>
      <c r="AA46" s="29"/>
      <c r="AB46"/>
    </row>
    <row r="47" spans="1:28" x14ac:dyDescent="0.25">
      <c r="A47" s="146" t="str">
        <f>'STEP BY STEP GUIDE'!B88</f>
        <v>0                  0                  0                  0</v>
      </c>
      <c r="R47" s="2">
        <f t="shared" si="9"/>
        <v>30</v>
      </c>
      <c r="S47" s="2">
        <v>4</v>
      </c>
      <c r="U47" s="2" t="str">
        <f t="shared" ca="1" si="0"/>
        <v>31</v>
      </c>
      <c r="V47" s="5" t="str">
        <f t="shared" ca="1" si="1"/>
        <v>K_IC</v>
      </c>
      <c r="W47" s="27" t="str">
        <f t="shared" ca="1" si="2"/>
        <v>9A523</v>
      </c>
      <c r="X47" s="28" t="s">
        <v>55</v>
      </c>
      <c r="Y47">
        <f t="shared" ca="1" si="15"/>
        <v>617.2841796875</v>
      </c>
      <c r="Z47"/>
      <c r="AA47" s="29"/>
      <c r="AB47"/>
    </row>
    <row r="48" spans="1:28" x14ac:dyDescent="0.25">
      <c r="A48" s="147" t="str">
        <f>'STEP BY STEP GUIDE'!B89</f>
        <v>&gt;dsr</v>
      </c>
      <c r="R48" s="2">
        <f t="shared" si="9"/>
        <v>32</v>
      </c>
      <c r="S48" s="2">
        <v>1</v>
      </c>
      <c r="U48" s="2" t="str">
        <f t="shared" ca="1" si="0"/>
        <v>32</v>
      </c>
      <c r="V48" s="5" t="str">
        <f t="shared" ca="1" si="1"/>
        <v>K_VC</v>
      </c>
      <c r="W48" s="27" t="str">
        <f t="shared" ca="1" si="2"/>
        <v>19CC00</v>
      </c>
      <c r="X48" s="28" t="s">
        <v>55</v>
      </c>
      <c r="Y48">
        <f t="shared" ca="1" si="15"/>
        <v>1651</v>
      </c>
      <c r="Z48"/>
      <c r="AA48" s="29"/>
      <c r="AB48"/>
    </row>
    <row r="49" spans="1:28" x14ac:dyDescent="0.25">
      <c r="A49" s="146" t="str">
        <f>'STEP BY STEP GUIDE'!B90</f>
        <v>00 VERSION         01 STATUS          02 STATE_FLAG      03 CAPTURE_STATUS</v>
      </c>
      <c r="R49" s="2">
        <f t="shared" si="9"/>
        <v>32</v>
      </c>
      <c r="S49" s="2">
        <v>2</v>
      </c>
      <c r="U49" s="2" t="str">
        <f t="shared" ca="1" si="0"/>
        <v>33</v>
      </c>
      <c r="V49" s="5" t="str">
        <f t="shared" ca="1" si="1"/>
        <v>K_IN</v>
      </c>
      <c r="W49" s="27" t="str">
        <f t="shared" ca="1" si="2"/>
        <v>9A523</v>
      </c>
      <c r="X49" s="28" t="s">
        <v>55</v>
      </c>
      <c r="Y49">
        <f t="shared" ca="1" si="15"/>
        <v>617.2841796875</v>
      </c>
      <c r="Z49"/>
      <c r="AA49" s="29"/>
      <c r="AB49"/>
    </row>
    <row r="50" spans="1:28" x14ac:dyDescent="0.25">
      <c r="A50" s="146" t="str">
        <f>'STEP BY STEP GUIDE'!B91</f>
        <v>30300              8                  4000023            0</v>
      </c>
      <c r="R50" s="2">
        <f t="shared" si="9"/>
        <v>32</v>
      </c>
      <c r="S50" s="2">
        <v>3</v>
      </c>
      <c r="U50" s="2" t="str">
        <f t="shared" ca="1" si="0"/>
        <v>34</v>
      </c>
      <c r="V50" s="5" t="str">
        <f t="shared" ca="1" si="1"/>
        <v>CAL_M_IA</v>
      </c>
      <c r="W50" s="27" t="str">
        <f t="shared" ca="1" si="2"/>
        <v>20000000</v>
      </c>
      <c r="X50" s="28" t="s">
        <v>58</v>
      </c>
      <c r="Y50">
        <f t="shared" ca="1" si="15"/>
        <v>1</v>
      </c>
      <c r="Z50"/>
      <c r="AA50" s="29"/>
      <c r="AB50"/>
    </row>
    <row r="51" spans="1:28" x14ac:dyDescent="0.25">
      <c r="A51" s="146" t="str">
        <f>'STEP BY STEP GUIDE'!B92</f>
        <v>04 INTERVAL_NUM    05 N               06 PH_OFFSET       07 FREQ</v>
      </c>
      <c r="R51" s="2">
        <f t="shared" si="9"/>
        <v>32</v>
      </c>
      <c r="S51" s="2">
        <v>4</v>
      </c>
      <c r="U51" s="2" t="str">
        <f t="shared" ca="1" si="0"/>
        <v>35</v>
      </c>
      <c r="V51" s="5" t="str">
        <f t="shared" ca="1" si="1"/>
        <v>CAL_M_VA</v>
      </c>
      <c r="W51" s="27" t="str">
        <f t="shared" ca="1" si="2"/>
        <v>20000000</v>
      </c>
      <c r="X51" s="28" t="s">
        <v>58</v>
      </c>
      <c r="Y51">
        <f t="shared" ca="1" si="15"/>
        <v>1</v>
      </c>
      <c r="Z51"/>
      <c r="AA51" s="29"/>
      <c r="AB51"/>
    </row>
    <row r="52" spans="1:28" x14ac:dyDescent="0.25">
      <c r="A52" s="146" t="str">
        <f>'STEP BY STEP GUIDE'!B93</f>
        <v>16C50049           FA0                FF0A3D71           31FFC</v>
      </c>
      <c r="R52" s="2">
        <f t="shared" si="9"/>
        <v>34</v>
      </c>
      <c r="S52" s="2">
        <v>1</v>
      </c>
      <c r="U52" s="2" t="str">
        <f t="shared" ca="1" si="0"/>
        <v>36</v>
      </c>
      <c r="V52" s="5" t="str">
        <f t="shared" ca="1" si="1"/>
        <v>CAL_M_IB</v>
      </c>
      <c r="W52" s="27" t="str">
        <f t="shared" ca="1" si="2"/>
        <v>20000000</v>
      </c>
      <c r="X52" s="28" t="s">
        <v>58</v>
      </c>
      <c r="Y52">
        <f t="shared" ca="1" si="15"/>
        <v>1</v>
      </c>
      <c r="Z52"/>
      <c r="AA52" s="29"/>
      <c r="AB52"/>
    </row>
    <row r="53" spans="1:28" x14ac:dyDescent="0.25">
      <c r="A53" s="146" t="str">
        <f>'STEP BY STEP GUIDE'!B94</f>
        <v>08 FREQ_VA         09 FREQ_VB         10 FREQ_VC         11 RESERVED_S11</v>
      </c>
      <c r="R53" s="2">
        <f t="shared" si="9"/>
        <v>34</v>
      </c>
      <c r="S53" s="2">
        <v>2</v>
      </c>
      <c r="U53" s="2" t="str">
        <f t="shared" ca="1" si="0"/>
        <v>37</v>
      </c>
      <c r="V53" s="5" t="str">
        <f t="shared" ca="1" si="1"/>
        <v>CAL_M_VB</v>
      </c>
      <c r="W53" s="27" t="str">
        <f t="shared" ca="1" si="2"/>
        <v>20000000</v>
      </c>
      <c r="X53" s="28" t="s">
        <v>58</v>
      </c>
      <c r="Y53">
        <f t="shared" ca="1" si="15"/>
        <v>1</v>
      </c>
      <c r="Z53"/>
      <c r="AA53" s="29"/>
      <c r="AB53"/>
    </row>
    <row r="54" spans="1:28" x14ac:dyDescent="0.25">
      <c r="A54" s="146" t="str">
        <f>'STEP BY STEP GUIDE'!B95</f>
        <v>31FFC              31FFC              0                  0</v>
      </c>
      <c r="R54" s="2">
        <f t="shared" si="9"/>
        <v>34</v>
      </c>
      <c r="S54" s="2">
        <v>3</v>
      </c>
      <c r="U54" s="2" t="str">
        <f t="shared" ca="1" si="0"/>
        <v>38</v>
      </c>
      <c r="V54" s="5" t="str">
        <f t="shared" ca="1" si="1"/>
        <v>CAL_M_IC</v>
      </c>
      <c r="W54" s="27" t="str">
        <f t="shared" ca="1" si="2"/>
        <v>20000000</v>
      </c>
      <c r="X54" s="28" t="s">
        <v>58</v>
      </c>
      <c r="Y54">
        <f t="shared" ca="1" si="15"/>
        <v>1</v>
      </c>
      <c r="Z54"/>
      <c r="AA54" s="95">
        <f t="shared" ref="AA54:AA59" ca="1" si="16">Y54*180</f>
        <v>180</v>
      </c>
      <c r="AB54"/>
    </row>
    <row r="55" spans="1:28" x14ac:dyDescent="0.25">
      <c r="A55" s="146" t="str">
        <f>'STEP BY STEP GUIDE'!B96</f>
        <v>12 TEMPERATURE     13 I_A_MAX         14 I_B_MAX         15 I_C_MAX</v>
      </c>
      <c r="R55" s="2">
        <f t="shared" si="9"/>
        <v>34</v>
      </c>
      <c r="S55" s="2">
        <v>4</v>
      </c>
      <c r="U55" s="2" t="str">
        <f t="shared" ca="1" si="0"/>
        <v>39</v>
      </c>
      <c r="V55" s="5" t="str">
        <f t="shared" ca="1" si="1"/>
        <v>CAL_M_VC</v>
      </c>
      <c r="W55" s="27" t="str">
        <f t="shared" ca="1" si="2"/>
        <v>20000000</v>
      </c>
      <c r="X55" s="28" t="s">
        <v>58</v>
      </c>
      <c r="Y55">
        <f t="shared" ca="1" si="15"/>
        <v>1</v>
      </c>
      <c r="Z55"/>
      <c r="AA55" s="95">
        <f t="shared" ca="1" si="16"/>
        <v>180</v>
      </c>
      <c r="AB55"/>
    </row>
    <row r="56" spans="1:28" x14ac:dyDescent="0.25">
      <c r="A56" s="146" t="str">
        <f>'STEP BY STEP GUIDE'!B97</f>
        <v>1C19               2791EC             276486             0</v>
      </c>
      <c r="R56" s="2">
        <f t="shared" si="9"/>
        <v>36</v>
      </c>
      <c r="S56" s="2">
        <v>1</v>
      </c>
      <c r="U56" s="2" t="str">
        <f t="shared" ca="1" si="0"/>
        <v>40</v>
      </c>
      <c r="V56" s="5" t="str">
        <f t="shared" ca="1" si="1"/>
        <v>CAL_M_IN</v>
      </c>
      <c r="W56" s="27" t="str">
        <f ca="1">TRIM(MID(INDIRECT(ADDRESS(R56+1,1)),(S56-1)*19+1,19))</f>
        <v>20000000</v>
      </c>
      <c r="X56" s="28" t="s">
        <v>58</v>
      </c>
      <c r="Y56">
        <f t="shared" ca="1" si="15"/>
        <v>1</v>
      </c>
      <c r="Z56"/>
      <c r="AA56" s="95">
        <f t="shared" ca="1" si="16"/>
        <v>180</v>
      </c>
      <c r="AB56"/>
    </row>
    <row r="57" spans="1:28" x14ac:dyDescent="0.25">
      <c r="A57" s="146" t="str">
        <f>'STEP BY STEP GUIDE'!B98</f>
        <v>16 I_Nm_MAX        17 I_Ni_MAX        18 V_A_MAX         19 V_B_MAX</v>
      </c>
      <c r="R57" s="2">
        <f t="shared" si="9"/>
        <v>36</v>
      </c>
      <c r="S57" s="2">
        <v>2</v>
      </c>
      <c r="U57" s="2" t="str">
        <f t="shared" ca="1" si="0"/>
        <v>41</v>
      </c>
      <c r="V57" s="5" t="str">
        <f t="shared" ca="1" si="1"/>
        <v>CAL_PH_IA</v>
      </c>
      <c r="W57" s="27" t="str">
        <f t="shared" ca="1" si="2"/>
        <v>0</v>
      </c>
      <c r="X57" s="28" t="s">
        <v>62</v>
      </c>
      <c r="Y57">
        <f t="shared" ca="1" si="15"/>
        <v>0</v>
      </c>
      <c r="Z57"/>
      <c r="AA57" s="95">
        <f t="shared" ca="1" si="16"/>
        <v>0</v>
      </c>
      <c r="AB57"/>
    </row>
    <row r="58" spans="1:28" x14ac:dyDescent="0.25">
      <c r="A58" s="146" t="str">
        <f>'STEP BY STEP GUIDE'!B99</f>
        <v>0                  1852D              60CD89D            609AC25</v>
      </c>
      <c r="R58" s="2">
        <f t="shared" si="9"/>
        <v>36</v>
      </c>
      <c r="S58" s="2">
        <v>3</v>
      </c>
      <c r="U58" s="2" t="str">
        <f t="shared" ca="1" si="0"/>
        <v>42</v>
      </c>
      <c r="V58" s="5" t="str">
        <f t="shared" ca="1" si="1"/>
        <v>CAL_PH_VA</v>
      </c>
      <c r="W58" s="27" t="str">
        <f t="shared" ca="1" si="2"/>
        <v>0</v>
      </c>
      <c r="X58" s="28" t="s">
        <v>62</v>
      </c>
      <c r="Y58">
        <f t="shared" ca="1" si="15"/>
        <v>0</v>
      </c>
      <c r="Z58"/>
      <c r="AA58" s="95">
        <f t="shared" ca="1" si="16"/>
        <v>0</v>
      </c>
      <c r="AB58"/>
    </row>
    <row r="59" spans="1:28" x14ac:dyDescent="0.25">
      <c r="A59" s="146" t="str">
        <f>'STEP BY STEP GUIDE'!B100</f>
        <v>20 V_C_MAX         21 FEATURES        22 RESERVED_S22    23 RESERVED_S23</v>
      </c>
      <c r="R59" s="2">
        <f t="shared" si="9"/>
        <v>36</v>
      </c>
      <c r="S59" s="2">
        <v>4</v>
      </c>
      <c r="U59" s="2" t="str">
        <f t="shared" ca="1" si="0"/>
        <v>43</v>
      </c>
      <c r="V59" s="5" t="str">
        <f t="shared" ca="1" si="1"/>
        <v>CAL_PH_IB</v>
      </c>
      <c r="W59" s="27" t="str">
        <f t="shared" ca="1" si="2"/>
        <v>0</v>
      </c>
      <c r="X59" s="28" t="s">
        <v>62</v>
      </c>
      <c r="Y59">
        <f t="shared" ca="1" si="15"/>
        <v>0</v>
      </c>
      <c r="Z59"/>
      <c r="AA59" s="95">
        <f t="shared" ca="1" si="16"/>
        <v>0</v>
      </c>
      <c r="AB59"/>
    </row>
    <row r="60" spans="1:28" x14ac:dyDescent="0.25">
      <c r="A60" s="146" t="str">
        <f>'STEP BY STEP GUIDE'!B101</f>
        <v>0                  803F6E00           0                  0</v>
      </c>
      <c r="R60" s="2">
        <f t="shared" si="9"/>
        <v>38</v>
      </c>
      <c r="S60" s="2">
        <v>1</v>
      </c>
      <c r="U60" s="2" t="str">
        <f t="shared" ca="1" si="0"/>
        <v>44</v>
      </c>
      <c r="V60" s="5" t="str">
        <f t="shared" ca="1" si="1"/>
        <v>CAL_PH_VB</v>
      </c>
      <c r="W60" s="27" t="str">
        <f t="shared" ca="1" si="2"/>
        <v>0</v>
      </c>
      <c r="X60" s="28" t="s">
        <v>62</v>
      </c>
      <c r="Y60">
        <f ca="1">(HEX2DEC(LEFT(REPT("0",16-LEN(W60))&amp;W60,10))*16^6+HEX2DEC(RIGHT(W60,6)))/2^(0+MID(X60,FIND(".",X60)+1,2))</f>
        <v>0</v>
      </c>
      <c r="Z60"/>
      <c r="AA60" s="29"/>
      <c r="AB60"/>
    </row>
    <row r="61" spans="1:28" x14ac:dyDescent="0.25">
      <c r="A61" s="146" t="str">
        <f>'STEP BY STEP GUIDE'!B102</f>
        <v>24 RESERVED_S24    25 PULSE0_COUNTER  26 PULSE1_COUNTER  27 PULSE2_COUNTER</v>
      </c>
      <c r="R61" s="2">
        <f t="shared" si="9"/>
        <v>38</v>
      </c>
      <c r="S61" s="2">
        <v>2</v>
      </c>
      <c r="U61" s="2" t="str">
        <f t="shared" ca="1" si="0"/>
        <v>45</v>
      </c>
      <c r="V61" s="5" t="str">
        <f t="shared" ca="1" si="1"/>
        <v>CAL_PH_IC</v>
      </c>
      <c r="W61" s="27" t="str">
        <f t="shared" ca="1" si="2"/>
        <v>0</v>
      </c>
      <c r="X61" s="28" t="s">
        <v>62</v>
      </c>
      <c r="Y61">
        <f ca="1">(HEX2DEC(LEFT(REPT("0",16-LEN(W61))&amp;W61,10))*16^6+HEX2DEC(RIGHT(W61,6)))/2^(0+MID(X61,FIND(".",X61)+1,2))</f>
        <v>0</v>
      </c>
      <c r="Z61"/>
      <c r="AA61" s="29"/>
      <c r="AB61"/>
    </row>
    <row r="62" spans="1:28" x14ac:dyDescent="0.25">
      <c r="A62" s="146" t="str">
        <f>'STEP BY STEP GUIDE'!B103</f>
        <v>0                  AA                 125                0</v>
      </c>
      <c r="R62" s="2">
        <f t="shared" si="9"/>
        <v>38</v>
      </c>
      <c r="S62" s="2">
        <v>3</v>
      </c>
      <c r="U62" s="2" t="str">
        <f t="shared" ca="1" si="0"/>
        <v>46</v>
      </c>
      <c r="V62" s="5" t="str">
        <f t="shared" ca="1" si="1"/>
        <v>CAL_PH_VC</v>
      </c>
      <c r="W62" s="27" t="str">
        <f t="shared" ca="1" si="2"/>
        <v>0</v>
      </c>
      <c r="X62" s="28" t="s">
        <v>62</v>
      </c>
      <c r="Y62">
        <f ca="1">(HEX2DEC(LEFT(REPT("0",16-LEN(W62))&amp;W62,10))*16^6+HEX2DEC(RIGHT(W62,6)))/2^(0+MID(X62,FIND(".",X62)+1,2))</f>
        <v>0</v>
      </c>
      <c r="Z62"/>
      <c r="AA62" s="29"/>
      <c r="AB62"/>
    </row>
    <row r="63" spans="1:28" x14ac:dyDescent="0.25">
      <c r="A63" s="146" t="str">
        <f>'STEP BY STEP GUIDE'!B104</f>
        <v>28 RESERVED_S28    29 RESERVED_S29    30 ZC_N_VA         31 ZC_N_VB</v>
      </c>
      <c r="B63" s="2"/>
      <c r="R63" s="2">
        <f t="shared" si="9"/>
        <v>38</v>
      </c>
      <c r="S63" s="2">
        <v>4</v>
      </c>
      <c r="U63" s="2" t="str">
        <f t="shared" ca="1" si="0"/>
        <v>47</v>
      </c>
      <c r="V63" s="5" t="str">
        <f t="shared" ca="1" si="1"/>
        <v>CAL_PH_IN</v>
      </c>
      <c r="W63" s="27" t="str">
        <f t="shared" ca="1" si="2"/>
        <v>0</v>
      </c>
      <c r="X63" s="28" t="s">
        <v>62</v>
      </c>
      <c r="Y63">
        <f ca="1">(HEX2DEC(LEFT(REPT("0",16-LEN(W63))&amp;W63,10))*16^6+HEX2DEC(RIGHT(W63,6)))/2^(0+MID(X63,FIND(".",X63)+1,2))</f>
        <v>0</v>
      </c>
      <c r="Z63"/>
      <c r="AA63" s="29"/>
      <c r="AB63"/>
    </row>
    <row r="64" spans="1:28" x14ac:dyDescent="0.25">
      <c r="A64" s="146" t="str">
        <f>'STEP BY STEP GUIDE'!B105</f>
        <v>0                  0                  E0FB0F             E2A662</v>
      </c>
      <c r="R64" s="2">
        <f t="shared" si="9"/>
        <v>40</v>
      </c>
      <c r="S64" s="2">
        <v>1</v>
      </c>
      <c r="U64" s="2" t="str">
        <f t="shared" ca="1" si="0"/>
        <v>48</v>
      </c>
      <c r="V64" s="5" t="str">
        <f t="shared" ca="1" si="1"/>
        <v>CPTR_CTRL</v>
      </c>
      <c r="W64" s="27" t="str">
        <f t="shared" ca="1" si="2"/>
        <v>F00</v>
      </c>
      <c r="X64" s="28" t="s">
        <v>35</v>
      </c>
      <c r="Y64">
        <f t="shared" ref="Y64:Y70" ca="1" si="17">(HEX2DEC(LEFT(REPT("0",16-LEN(W64))&amp;W64,10))*16^6+HEX2DEC(RIGHT(W64,6)))/2^(0+MID(X64,FIND(".",X64)+1,2))</f>
        <v>3840</v>
      </c>
      <c r="Z64"/>
      <c r="AA64" s="29"/>
      <c r="AB64"/>
    </row>
    <row r="65" spans="1:28" x14ac:dyDescent="0.25">
      <c r="A65" s="146" t="str">
        <f>'STEP BY STEP GUIDE'!B106</f>
        <v>32 ZC_N_VC         33 AT_CAL_41_44    34 AT_CAL_45_48</v>
      </c>
      <c r="R65" s="2">
        <f t="shared" si="9"/>
        <v>40</v>
      </c>
      <c r="S65" s="2">
        <v>2</v>
      </c>
      <c r="U65" s="2" t="str">
        <f t="shared" ca="1" si="0"/>
        <v>49</v>
      </c>
      <c r="V65" s="5" t="str">
        <f t="shared" ca="1" si="1"/>
        <v>CPTR_BUFF_SIZE</v>
      </c>
      <c r="W65" s="27" t="str">
        <f t="shared" ca="1" si="2"/>
        <v>7D00</v>
      </c>
      <c r="X65" s="28" t="s">
        <v>35</v>
      </c>
      <c r="Y65">
        <f t="shared" ca="1" si="17"/>
        <v>32000</v>
      </c>
      <c r="Z65"/>
      <c r="AA65" s="29"/>
      <c r="AB65"/>
    </row>
    <row r="66" spans="1:28" x14ac:dyDescent="0.25">
      <c r="A66" s="146" t="str">
        <f>'STEP BY STEP GUIDE'!B107</f>
        <v>0                  BA011804           1C022904</v>
      </c>
      <c r="R66" s="2">
        <f t="shared" si="9"/>
        <v>40</v>
      </c>
      <c r="S66" s="2">
        <v>3</v>
      </c>
      <c r="U66" s="2" t="str">
        <f t="shared" ca="1" si="0"/>
        <v>50</v>
      </c>
      <c r="V66" s="5" t="str">
        <f t="shared" ca="1" si="1"/>
        <v>CPTR_ADDR</v>
      </c>
      <c r="W66" s="27" t="str">
        <f t="shared" ca="1" si="2"/>
        <v>20000000</v>
      </c>
      <c r="X66" s="28" t="s">
        <v>35</v>
      </c>
      <c r="Y66">
        <f t="shared" ca="1" si="17"/>
        <v>536870912</v>
      </c>
      <c r="Z66"/>
      <c r="AA66" s="29"/>
      <c r="AB66"/>
    </row>
    <row r="67" spans="1:28" x14ac:dyDescent="0.25">
      <c r="A67" s="147" t="str">
        <f>'STEP BY STEP GUIDE'!B108</f>
        <v>&gt;dar</v>
      </c>
      <c r="R67" s="2">
        <f t="shared" si="9"/>
        <v>40</v>
      </c>
      <c r="S67" s="2">
        <v>4</v>
      </c>
      <c r="U67" s="2" t="str">
        <f t="shared" ca="1" si="0"/>
        <v>51</v>
      </c>
      <c r="V67" s="5" t="str">
        <f t="shared" ca="1" si="1"/>
        <v>Reserved1</v>
      </c>
      <c r="W67" s="27" t="str">
        <f t="shared" ca="1" si="2"/>
        <v>0</v>
      </c>
      <c r="X67" s="28" t="s">
        <v>35</v>
      </c>
      <c r="Y67">
        <f t="shared" ca="1" si="17"/>
        <v>0</v>
      </c>
      <c r="Z67"/>
      <c r="AA67" s="29"/>
      <c r="AB67"/>
    </row>
    <row r="68" spans="1:28" x14ac:dyDescent="0.25">
      <c r="A68" s="146" t="str">
        <f>'STEP BY STEP GUIDE'!B109</f>
        <v>00 I_A             01 I_B             02 I_C             03 I_Ni</v>
      </c>
      <c r="B68" s="2"/>
      <c r="E68" s="2"/>
      <c r="R68" s="2">
        <f t="shared" si="9"/>
        <v>42</v>
      </c>
      <c r="S68" s="2">
        <v>1</v>
      </c>
      <c r="T68" s="2"/>
      <c r="U68" s="2" t="str">
        <f t="shared" ca="1" si="0"/>
        <v>52</v>
      </c>
      <c r="V68" s="5" t="str">
        <f t="shared" ca="1" si="1"/>
        <v>Reserved2</v>
      </c>
      <c r="W68" s="27" t="str">
        <f t="shared" ca="1" si="2"/>
        <v>0</v>
      </c>
      <c r="X68" s="28" t="s">
        <v>35</v>
      </c>
      <c r="Y68">
        <f t="shared" ca="1" si="17"/>
        <v>0</v>
      </c>
      <c r="Z68"/>
      <c r="AA68" s="29"/>
      <c r="AB68"/>
    </row>
    <row r="69" spans="1:28" x14ac:dyDescent="0.25">
      <c r="A69" s="146" t="str">
        <f>'STEP BY STEP GUIDE'!B110</f>
        <v>B026F5CBA          AFC5E0357          0                  401F84B0B</v>
      </c>
      <c r="B69" s="2"/>
      <c r="E69" s="2"/>
      <c r="R69" s="2">
        <f t="shared" si="9"/>
        <v>42</v>
      </c>
      <c r="S69" s="2">
        <v>2</v>
      </c>
      <c r="U69" s="2" t="str">
        <f t="shared" ca="1" si="0"/>
        <v>53</v>
      </c>
      <c r="V69" s="5" t="str">
        <f t="shared" ca="1" si="1"/>
        <v>Reserved3</v>
      </c>
      <c r="W69" s="27" t="str">
        <f t="shared" ca="1" si="2"/>
        <v>0</v>
      </c>
      <c r="X69" s="28" t="s">
        <v>35</v>
      </c>
      <c r="Y69">
        <f t="shared" ca="1" si="17"/>
        <v>0</v>
      </c>
      <c r="Z69"/>
      <c r="AA69" s="29"/>
      <c r="AB69"/>
    </row>
    <row r="70" spans="1:28" x14ac:dyDescent="0.25">
      <c r="A70" s="146" t="str">
        <f>'STEP BY STEP GUIDE'!B111</f>
        <v>04 I_Nm            05 I_A_F           06 I_B_F           07 I_C_F</v>
      </c>
      <c r="B70" s="2"/>
      <c r="E70" s="2"/>
      <c r="R70" s="2">
        <f t="shared" si="9"/>
        <v>42</v>
      </c>
      <c r="S70" s="2">
        <v>3</v>
      </c>
      <c r="U70" s="2" t="str">
        <f t="shared" ca="1" si="0"/>
        <v>54</v>
      </c>
      <c r="V70" s="5" t="str">
        <f t="shared" ca="1" si="1"/>
        <v>ATS_CTRL_20_23</v>
      </c>
      <c r="W70" s="27" t="str">
        <f t="shared" ca="1" si="2"/>
        <v>1010103</v>
      </c>
      <c r="X70" s="28" t="s">
        <v>35</v>
      </c>
      <c r="Y70">
        <f t="shared" ca="1" si="17"/>
        <v>16843011</v>
      </c>
      <c r="Z70"/>
      <c r="AA70" s="29"/>
      <c r="AB70"/>
    </row>
    <row r="71" spans="1:28" x14ac:dyDescent="0.25">
      <c r="A71" s="146" t="str">
        <f>'STEP BY STEP GUIDE'!B112</f>
        <v>0                  B0183CC32          AFBE1B07D          0</v>
      </c>
      <c r="B71" s="2"/>
      <c r="E71" s="2"/>
      <c r="F71"/>
      <c r="R71" s="2">
        <f t="shared" si="9"/>
        <v>42</v>
      </c>
      <c r="S71" s="2">
        <v>4</v>
      </c>
      <c r="U71" s="2" t="str">
        <f t="shared" ca="1" si="0"/>
        <v>55</v>
      </c>
      <c r="V71" s="5" t="str">
        <f t="shared" ca="1" si="1"/>
        <v>ATS_CTRL_24_27</v>
      </c>
      <c r="W71" s="27" t="str">
        <f t="shared" ca="1" si="2"/>
        <v>7000001</v>
      </c>
      <c r="X71" s="28" t="s">
        <v>35</v>
      </c>
      <c r="Y71">
        <f t="shared" ref="Y71:Y76" ca="1" si="18">HEX2DEC(IF(AND(LEN(W71)=8,HEX2DEC(LEFT(W71,1))&gt;7),"FF","00")&amp;W71)/2^(0+MID(X71,FIND(".",X71)+1,2))</f>
        <v>117440513</v>
      </c>
      <c r="Z71"/>
      <c r="AA71" s="29"/>
      <c r="AB71"/>
    </row>
    <row r="72" spans="1:28" x14ac:dyDescent="0.25">
      <c r="A72" s="146" t="str">
        <f>'STEP BY STEP GUIDE'!B113</f>
        <v>08 I_Nmi           09 RESERVED_A09    10 RESERVED_A10    11 RESERVED_A11</v>
      </c>
      <c r="B72" s="2"/>
      <c r="E72" s="2"/>
      <c r="F72"/>
      <c r="R72" s="2">
        <f t="shared" si="9"/>
        <v>44</v>
      </c>
      <c r="S72" s="2">
        <v>1</v>
      </c>
      <c r="U72" s="2" t="str">
        <f t="shared" ca="1" si="0"/>
        <v>56</v>
      </c>
      <c r="V72" s="5" t="str">
        <f t="shared" ca="1" si="1"/>
        <v>ATS_CTRL_28_2B</v>
      </c>
      <c r="W72" s="27" t="str">
        <f t="shared" ca="1" si="2"/>
        <v>3</v>
      </c>
      <c r="X72" s="28" t="s">
        <v>35</v>
      </c>
      <c r="Y72">
        <f t="shared" ca="1" si="18"/>
        <v>3</v>
      </c>
      <c r="Z72"/>
      <c r="AA72" s="29"/>
      <c r="AB72"/>
    </row>
    <row r="73" spans="1:28" x14ac:dyDescent="0.25">
      <c r="A73" s="146" t="str">
        <f>'STEP BY STEP GUIDE'!B114</f>
        <v>401F84B03          0                  0                  0</v>
      </c>
      <c r="B73" s="2"/>
      <c r="E73" s="2"/>
      <c r="F73"/>
      <c r="R73" s="2">
        <f t="shared" si="9"/>
        <v>44</v>
      </c>
      <c r="S73" s="2">
        <v>2</v>
      </c>
      <c r="U73" s="2" t="str">
        <f t="shared" ca="1" si="0"/>
        <v>57</v>
      </c>
      <c r="V73" s="5" t="str">
        <f t="shared" ca="1" si="1"/>
        <v>Reserved4</v>
      </c>
      <c r="W73" s="27" t="str">
        <f t="shared" ca="1" si="2"/>
        <v>0</v>
      </c>
      <c r="X73" s="28" t="s">
        <v>52</v>
      </c>
      <c r="Y73">
        <f ca="1">HEX2DEC(IF(AND(LEN(W73)=8,HEX2DEC(LEFT(W73,1))&gt;7),"FF","00")&amp;W73)/2^(0+MID(X73,FIND(".",X73)+1,2))</f>
        <v>0</v>
      </c>
      <c r="Z73"/>
      <c r="AA73" s="29"/>
      <c r="AB73"/>
    </row>
    <row r="74" spans="1:28" x14ac:dyDescent="0.25">
      <c r="A74" s="146" t="str">
        <f>'STEP BY STEP GUIDE'!B115</f>
        <v>12 RESERVED_A12    13 RESERVED_A13    14 RESERVED_A14    15 P_A</v>
      </c>
      <c r="R74" s="2">
        <f t="shared" si="9"/>
        <v>44</v>
      </c>
      <c r="S74" s="2">
        <v>3</v>
      </c>
      <c r="U74" s="2" t="str">
        <f t="shared" ca="1" si="0"/>
        <v>58</v>
      </c>
      <c r="V74" s="5" t="str">
        <f t="shared" ca="1" si="1"/>
        <v>PWR_OFFS_P_A</v>
      </c>
      <c r="W74" s="27" t="str">
        <f t="shared" ca="1" si="2"/>
        <v>0</v>
      </c>
      <c r="X74" s="28" t="s">
        <v>52</v>
      </c>
      <c r="Y74">
        <f t="shared" ca="1" si="18"/>
        <v>0</v>
      </c>
      <c r="Z74"/>
      <c r="AA74" s="29"/>
      <c r="AB74"/>
    </row>
    <row r="75" spans="1:28" x14ac:dyDescent="0.25">
      <c r="A75" s="146" t="str">
        <f>'STEP BY STEP GUIDE'!B116</f>
        <v>0                  0                  0                  D896077273</v>
      </c>
      <c r="R75" s="2">
        <f t="shared" si="9"/>
        <v>44</v>
      </c>
      <c r="S75" s="2">
        <v>4</v>
      </c>
      <c r="U75" s="2" t="str">
        <f t="shared" ca="1" si="0"/>
        <v>59</v>
      </c>
      <c r="V75" s="5" t="str">
        <f t="shared" ca="1" si="1"/>
        <v>PWR_OFFS_P_B</v>
      </c>
      <c r="W75" s="27" t="str">
        <f t="shared" ca="1" si="2"/>
        <v>0</v>
      </c>
      <c r="X75" s="28" t="s">
        <v>52</v>
      </c>
      <c r="Y75">
        <f t="shared" ca="1" si="18"/>
        <v>0</v>
      </c>
      <c r="Z75"/>
      <c r="AA75" s="29"/>
      <c r="AB75"/>
    </row>
    <row r="76" spans="1:28" x14ac:dyDescent="0.25">
      <c r="A76" s="146" t="str">
        <f>'STEP BY STEP GUIDE'!B117</f>
        <v>16 P_B             17 P_C             18 P_A_F           19 P_B_F</v>
      </c>
      <c r="R76" s="2">
        <f t="shared" si="9"/>
        <v>46</v>
      </c>
      <c r="S76" s="2">
        <v>1</v>
      </c>
      <c r="U76" s="2" t="str">
        <f t="shared" ca="1" si="0"/>
        <v>60</v>
      </c>
      <c r="V76" s="5" t="str">
        <f t="shared" ca="1" si="1"/>
        <v>PWR_OFFS_P_C</v>
      </c>
      <c r="W76" s="27" t="str">
        <f t="shared" ca="1" si="2"/>
        <v>0</v>
      </c>
      <c r="X76" s="28" t="s">
        <v>52</v>
      </c>
      <c r="Y76">
        <f t="shared" ca="1" si="18"/>
        <v>0</v>
      </c>
      <c r="Z76"/>
      <c r="AA76" s="29"/>
      <c r="AB76"/>
    </row>
    <row r="77" spans="1:28" x14ac:dyDescent="0.25">
      <c r="A77" s="146" t="str">
        <f>'STEP BY STEP GUIDE'!B118</f>
        <v>DA2EDD6D57         0                  D88A51EDEA         DA257362B4</v>
      </c>
      <c r="R77" s="2">
        <f t="shared" si="9"/>
        <v>46</v>
      </c>
      <c r="S77" s="2">
        <v>2</v>
      </c>
      <c r="U77" s="2" t="str">
        <f t="shared" ca="1" si="0"/>
        <v>61</v>
      </c>
      <c r="V77" s="5" t="str">
        <f t="shared" ca="1" si="1"/>
        <v>PWR_OFFS_Q_A</v>
      </c>
      <c r="W77" s="27" t="str">
        <f t="shared" ref="W77:W79" ca="1" si="19">TRIM(MID(INDIRECT(ADDRESS(R77+1,1)),(S77-1)*19+1,19))</f>
        <v>0</v>
      </c>
      <c r="X77" s="28" t="s">
        <v>52</v>
      </c>
      <c r="Y77">
        <f t="shared" ref="Y77:Y79" ca="1" si="20">HEX2DEC(IF(AND(LEN(W77)=8,HEX2DEC(LEFT(W77,1))&gt;7),"FF","00")&amp;W77)/2^(0+MID(X77,FIND(".",X77)+1,2))</f>
        <v>0</v>
      </c>
      <c r="Z77"/>
      <c r="AA77" s="29"/>
      <c r="AB77"/>
    </row>
    <row r="78" spans="1:28" x14ac:dyDescent="0.25">
      <c r="A78" s="146" t="str">
        <f>'STEP BY STEP GUIDE'!B119</f>
        <v>20 P_C_F           21 P_N             22 P_N_F           23 RESERVED_A23</v>
      </c>
      <c r="R78" s="2">
        <f t="shared" si="9"/>
        <v>46</v>
      </c>
      <c r="S78" s="2">
        <v>3</v>
      </c>
      <c r="U78" s="3" t="str">
        <f t="shared" ca="1" si="0"/>
        <v>62</v>
      </c>
      <c r="V78" s="5" t="str">
        <f t="shared" ca="1" si="1"/>
        <v>PWR_OFFS_Q_B</v>
      </c>
      <c r="W78" s="27" t="str">
        <f t="shared" ca="1" si="19"/>
        <v>0</v>
      </c>
      <c r="X78" s="28" t="s">
        <v>52</v>
      </c>
      <c r="Y78">
        <f t="shared" ca="1" si="20"/>
        <v>0</v>
      </c>
    </row>
    <row r="79" spans="1:28" x14ac:dyDescent="0.25">
      <c r="A79" s="146" t="str">
        <f>'STEP BY STEP GUIDE'!B120</f>
        <v>0                  0                  0                  0</v>
      </c>
      <c r="R79" s="2">
        <f t="shared" si="9"/>
        <v>46</v>
      </c>
      <c r="S79" s="2">
        <v>4</v>
      </c>
      <c r="U79" s="3" t="str">
        <f t="shared" ca="1" si="0"/>
        <v>63</v>
      </c>
      <c r="V79" s="5" t="str">
        <f t="shared" ca="1" si="1"/>
        <v>PWR_OFFS_Q_C</v>
      </c>
      <c r="W79" s="27" t="str">
        <f t="shared" ca="1" si="19"/>
        <v>0</v>
      </c>
      <c r="X79" s="28" t="s">
        <v>52</v>
      </c>
      <c r="Y79">
        <f t="shared" ca="1" si="20"/>
        <v>0</v>
      </c>
    </row>
    <row r="80" spans="1:28" x14ac:dyDescent="0.25">
      <c r="A80" s="146" t="str">
        <f>'STEP BY STEP GUIDE'!B121</f>
        <v>24 Q_A             25 Q_B             26 Q_C             27 Q_A_F</v>
      </c>
    </row>
    <row r="81" spans="1:28" x14ac:dyDescent="0.25">
      <c r="A81" s="146" t="str">
        <f>'STEP BY STEP GUIDE'!B122</f>
        <v>176A4F997BA        175460426E4        0                  1769EF7FFC4</v>
      </c>
    </row>
    <row r="82" spans="1:28" x14ac:dyDescent="0.25">
      <c r="A82" s="146" t="str">
        <f>'STEP BY STEP GUIDE'!B123</f>
        <v>28 Q_B_F           29 Q_C_F           30 Q_N             31 Q_N_F</v>
      </c>
      <c r="R82" s="2">
        <v>49</v>
      </c>
      <c r="S82" s="2">
        <v>1</v>
      </c>
      <c r="U82" s="2" t="str">
        <f ca="1">MID(INDIRECT(ADDRESS(R82,1)),(S82-1)*19+1,2)</f>
        <v>00</v>
      </c>
      <c r="V82" s="5" t="str">
        <f ca="1">TRIM(MID(INDIRECT(ADDRESS(R82,1)),(S82-1)*19+4,16))</f>
        <v>VERSION</v>
      </c>
      <c r="W82" s="27" t="str">
        <f ca="1">TRIM(MID(INDIRECT(ADDRESS(R82+1,1)),(S82-1)*19+1,19))</f>
        <v>30300</v>
      </c>
      <c r="X82" s="28" t="s">
        <v>35</v>
      </c>
      <c r="Y82">
        <f ca="1">(HEX2DEC(LEFT(REPT("0",16-LEN(W82))&amp;W82,10))*16^6+HEX2DEC(RIGHT(W82,6)))/2^(0+MID(X82,FIND(".",X82)+1,2))</f>
        <v>197376</v>
      </c>
      <c r="Z82"/>
      <c r="AA82" s="29"/>
      <c r="AB82"/>
    </row>
    <row r="83" spans="1:28" x14ac:dyDescent="0.25">
      <c r="A83" s="146" t="str">
        <f>'STEP BY STEP GUIDE'!B124</f>
        <v>1755117F8CA        0                  0                  0</v>
      </c>
      <c r="R83" s="2">
        <v>49</v>
      </c>
      <c r="S83" s="2">
        <v>2</v>
      </c>
      <c r="U83" s="2" t="str">
        <f ca="1">MID(INDIRECT(ADDRESS(R83,1)),(S83-1)*19+1,2)</f>
        <v>01</v>
      </c>
      <c r="V83" s="5" t="str">
        <f ca="1">TRIM(MID(INDIRECT(ADDRESS(R83,1)),(S83-1)*19+4,16))</f>
        <v>STATUS</v>
      </c>
      <c r="W83" s="27" t="str">
        <f ca="1">TRIM(MID(INDIRECT(ADDRESS(R83+1,1)),(S83-1)*19+1,19))</f>
        <v>8</v>
      </c>
      <c r="X83" s="28" t="s">
        <v>35</v>
      </c>
      <c r="Y83">
        <f ca="1">(HEX2DEC(LEFT(REPT("0",16-LEN(W83))&amp;W83,10))*16^6+HEX2DEC(RIGHT(W83,6)))/2^(0+MID(X83,FIND(".",X83)+1,2))</f>
        <v>8</v>
      </c>
      <c r="Z83"/>
      <c r="AA83" s="29"/>
      <c r="AB83"/>
    </row>
    <row r="84" spans="1:28" x14ac:dyDescent="0.25">
      <c r="A84" s="146" t="str">
        <f>'STEP BY STEP GUIDE'!B125</f>
        <v>32 RESERVED_A32    33 V_A             34 V_B             35 V_C</v>
      </c>
      <c r="R84" s="2">
        <v>49</v>
      </c>
      <c r="S84" s="2">
        <v>3</v>
      </c>
      <c r="U84" s="2" t="str">
        <f t="shared" ref="U84:U116" ca="1" si="21">MID(INDIRECT(ADDRESS(R84,1)),(S84-1)*19+1,2)</f>
        <v>02</v>
      </c>
      <c r="V84" s="5" t="str">
        <f t="shared" ref="V84:V116" ca="1" si="22">TRIM(MID(INDIRECT(ADDRESS(R84,1)),(S84-1)*19+4,16))</f>
        <v>STATE_FLAG</v>
      </c>
      <c r="W84" s="27" t="str">
        <f t="shared" ref="W84:W116" ca="1" si="23">TRIM(MID(INDIRECT(ADDRESS(R84+1,1)),(S84-1)*19+1,19))</f>
        <v>4000023</v>
      </c>
      <c r="X84" s="28" t="s">
        <v>35</v>
      </c>
      <c r="Y84">
        <f t="shared" ref="Y84:Y116" ca="1" si="24">(HEX2DEC(LEFT(REPT("0",16-LEN(W84))&amp;W84,10))*16^6+HEX2DEC(RIGHT(W84,6)))/2^(0+MID(X84,FIND(".",X84)+1,2))</f>
        <v>67108899</v>
      </c>
      <c r="Z84"/>
      <c r="AA84" s="29"/>
      <c r="AB84"/>
    </row>
    <row r="85" spans="1:28" x14ac:dyDescent="0.25">
      <c r="A85" s="146" t="str">
        <f>'STEP BY STEP GUIDE'!B126</f>
        <v>0                  4275A678D1CF       427C334E36F2       0</v>
      </c>
      <c r="R85" s="2">
        <v>49</v>
      </c>
      <c r="S85" s="2">
        <v>4</v>
      </c>
      <c r="U85" s="2" t="str">
        <f t="shared" ca="1" si="21"/>
        <v>03</v>
      </c>
      <c r="V85" s="5" t="str">
        <f t="shared" ca="1" si="22"/>
        <v>CAPTURE_STATUS</v>
      </c>
      <c r="W85" s="27" t="str">
        <f t="shared" ca="1" si="23"/>
        <v>0</v>
      </c>
      <c r="X85" s="28" t="s">
        <v>35</v>
      </c>
      <c r="Y85">
        <f t="shared" ca="1" si="24"/>
        <v>0</v>
      </c>
      <c r="Z85"/>
      <c r="AA85" s="29"/>
      <c r="AB85"/>
    </row>
    <row r="86" spans="1:28" x14ac:dyDescent="0.25">
      <c r="A86" s="146" t="str">
        <f>'STEP BY STEP GUIDE'!B127</f>
        <v>36 RESERVED_A36    37 V_A_F           38 V_B_F           39 V_C_F</v>
      </c>
      <c r="R86" s="2">
        <f>R82+2</f>
        <v>51</v>
      </c>
      <c r="S86" s="2">
        <v>1</v>
      </c>
      <c r="U86" s="2" t="str">
        <f t="shared" ca="1" si="21"/>
        <v>04</v>
      </c>
      <c r="V86" s="5" t="str">
        <f t="shared" ca="1" si="22"/>
        <v>INTERVAL_NUM</v>
      </c>
      <c r="W86" s="27" t="str">
        <f t="shared" ca="1" si="23"/>
        <v>16C50049</v>
      </c>
      <c r="X86" s="28" t="s">
        <v>35</v>
      </c>
      <c r="Y86">
        <f t="shared" ca="1" si="24"/>
        <v>382009417</v>
      </c>
      <c r="Z86"/>
      <c r="AA86" s="29"/>
      <c r="AB86"/>
    </row>
    <row r="87" spans="1:28" x14ac:dyDescent="0.25">
      <c r="A87" s="146" t="str">
        <f>'STEP BY STEP GUIDE'!B128</f>
        <v>0                  427502F8C4BF       427B7FCD6F6A       0</v>
      </c>
      <c r="R87" s="2">
        <f>R83+2</f>
        <v>51</v>
      </c>
      <c r="S87" s="2">
        <v>2</v>
      </c>
      <c r="U87" s="2" t="str">
        <f t="shared" ca="1" si="21"/>
        <v>05</v>
      </c>
      <c r="V87" s="5" t="str">
        <f t="shared" ca="1" si="22"/>
        <v>N</v>
      </c>
      <c r="W87" s="27" t="str">
        <f t="shared" ca="1" si="23"/>
        <v>FA0</v>
      </c>
      <c r="X87" s="28" t="s">
        <v>35</v>
      </c>
      <c r="Y87">
        <f t="shared" ca="1" si="24"/>
        <v>4000</v>
      </c>
      <c r="Z87"/>
      <c r="AA87" s="29"/>
      <c r="AB87"/>
    </row>
    <row r="88" spans="1:28" x14ac:dyDescent="0.25">
      <c r="A88" s="146" t="str">
        <f>'STEP BY STEP GUIDE'!B129</f>
        <v>40 RESERVED_A40    41 V_AB            42 V_BC            43 V_CA</v>
      </c>
      <c r="R88" s="2">
        <f>R84+2</f>
        <v>51</v>
      </c>
      <c r="S88" s="2">
        <v>3</v>
      </c>
      <c r="U88" s="2" t="str">
        <f t="shared" ca="1" si="21"/>
        <v>06</v>
      </c>
      <c r="V88" s="5" t="str">
        <f t="shared" ca="1" si="22"/>
        <v>PH_OFFSET</v>
      </c>
      <c r="W88" s="27" t="str">
        <f t="shared" ca="1" si="23"/>
        <v>FF0A3D71</v>
      </c>
      <c r="X88" s="28" t="s">
        <v>62</v>
      </c>
      <c r="Y88">
        <f t="shared" ca="1" si="24"/>
        <v>1.9925000001676381</v>
      </c>
      <c r="Z88"/>
      <c r="AA88" s="29"/>
      <c r="AB88"/>
    </row>
    <row r="89" spans="1:28" x14ac:dyDescent="0.25">
      <c r="A89" s="146" t="str">
        <f>'STEP BY STEP GUIDE'!B130</f>
        <v>0                  C7CA5A0254E2       427C334E36F2       4275A678D1CF</v>
      </c>
      <c r="C89" s="3"/>
      <c r="D89" s="3"/>
      <c r="F89" s="3"/>
      <c r="R89" s="2">
        <f t="shared" ref="R89:R116" si="25">R85+2</f>
        <v>51</v>
      </c>
      <c r="S89" s="2">
        <v>4</v>
      </c>
      <c r="U89" s="2" t="str">
        <f t="shared" ca="1" si="21"/>
        <v>07</v>
      </c>
      <c r="V89" s="5" t="str">
        <f t="shared" ca="1" si="22"/>
        <v>FREQ</v>
      </c>
      <c r="W89" s="27" t="str">
        <f t="shared" ca="1" si="23"/>
        <v>31FFC</v>
      </c>
      <c r="X89" s="28" t="s">
        <v>74</v>
      </c>
      <c r="Y89" s="96">
        <f t="shared" ca="1" si="24"/>
        <v>49.9990234375</v>
      </c>
      <c r="Z89"/>
      <c r="AA89" s="29"/>
      <c r="AB89"/>
    </row>
    <row r="90" spans="1:28" x14ac:dyDescent="0.25">
      <c r="A90" s="146" t="str">
        <f>'STEP BY STEP GUIDE'!B131</f>
        <v>44 V_AB_F          45 V_BC_F          46 V_CA_F          47 RESERVED_A47</v>
      </c>
      <c r="C90" s="3"/>
      <c r="D90" s="3"/>
      <c r="F90" s="3"/>
      <c r="Q90" s="98"/>
      <c r="R90" s="2">
        <f t="shared" si="25"/>
        <v>53</v>
      </c>
      <c r="S90" s="2">
        <v>1</v>
      </c>
      <c r="U90" s="2" t="str">
        <f t="shared" ca="1" si="21"/>
        <v>08</v>
      </c>
      <c r="V90" s="5" t="str">
        <f t="shared" ca="1" si="22"/>
        <v>FREQ_VA</v>
      </c>
      <c r="W90" s="27" t="str">
        <f t="shared" ca="1" si="23"/>
        <v>31FFC</v>
      </c>
      <c r="X90" s="28" t="s">
        <v>74</v>
      </c>
      <c r="Y90" s="96">
        <f t="shared" ca="1" si="24"/>
        <v>49.9990234375</v>
      </c>
      <c r="Z90"/>
      <c r="AA90" s="29"/>
      <c r="AB90"/>
    </row>
    <row r="91" spans="1:28" x14ac:dyDescent="0.25">
      <c r="A91" s="146" t="str">
        <f>'STEP BY STEP GUIDE'!B132</f>
        <v>C7C8687AEF8C       427B7FCD6F6A       427502F8C4BF       0</v>
      </c>
      <c r="C91" s="3"/>
      <c r="D91" s="3"/>
      <c r="F91" s="3"/>
      <c r="R91" s="2">
        <f t="shared" si="25"/>
        <v>53</v>
      </c>
      <c r="S91" s="2">
        <v>2</v>
      </c>
      <c r="U91" s="2" t="str">
        <f t="shared" ca="1" si="21"/>
        <v>09</v>
      </c>
      <c r="V91" s="5" t="str">
        <f t="shared" ca="1" si="22"/>
        <v>FREQ_VB</v>
      </c>
      <c r="W91" s="27" t="str">
        <f t="shared" ca="1" si="23"/>
        <v>31FFC</v>
      </c>
      <c r="X91" s="28" t="s">
        <v>74</v>
      </c>
      <c r="Y91" s="96">
        <f t="shared" ca="1" si="24"/>
        <v>49.9990234375</v>
      </c>
      <c r="Z91"/>
      <c r="AA91" s="29"/>
      <c r="AB91"/>
    </row>
    <row r="92" spans="1:28" x14ac:dyDescent="0.25">
      <c r="A92" s="146" t="str">
        <f>'STEP BY STEP GUIDE'!B133</f>
        <v>48 RESERVED_A48    49 RESERVED_A49    50 ACC_T0          51 ACC_T1</v>
      </c>
      <c r="C92" s="3"/>
      <c r="D92" s="3"/>
      <c r="F92" s="3"/>
      <c r="R92" s="2">
        <f t="shared" si="25"/>
        <v>53</v>
      </c>
      <c r="S92" s="2">
        <v>3</v>
      </c>
      <c r="U92" s="2" t="str">
        <f t="shared" ca="1" si="21"/>
        <v>10</v>
      </c>
      <c r="V92" s="5" t="str">
        <f t="shared" ca="1" si="22"/>
        <v>FREQ_VC</v>
      </c>
      <c r="W92" s="27" t="str">
        <f t="shared" ca="1" si="23"/>
        <v>0</v>
      </c>
      <c r="X92" s="28" t="s">
        <v>74</v>
      </c>
      <c r="Y92" s="96">
        <f t="shared" ca="1" si="24"/>
        <v>0</v>
      </c>
      <c r="Z92"/>
      <c r="AA92" s="29"/>
      <c r="AB92"/>
    </row>
    <row r="93" spans="1:28" x14ac:dyDescent="0.25">
      <c r="A93" s="146" t="str">
        <f>'STEP BY STEP GUIDE'!B134</f>
        <v>0                  0                  D71E8610B          1725DBC879</v>
      </c>
      <c r="C93" s="3"/>
      <c r="D93" s="3"/>
      <c r="F93" s="3"/>
      <c r="R93" s="2">
        <f t="shared" si="25"/>
        <v>53</v>
      </c>
      <c r="S93" s="2">
        <v>4</v>
      </c>
      <c r="U93" s="2" t="str">
        <f t="shared" ca="1" si="21"/>
        <v>11</v>
      </c>
      <c r="V93" s="5" t="str">
        <f t="shared" ca="1" si="22"/>
        <v>RESERVED_S11</v>
      </c>
      <c r="W93" s="27" t="str">
        <f t="shared" ca="1" si="23"/>
        <v>0</v>
      </c>
      <c r="X93" s="28" t="s">
        <v>35</v>
      </c>
      <c r="Y93">
        <f t="shared" ca="1" si="24"/>
        <v>0</v>
      </c>
      <c r="Z93"/>
      <c r="AA93" s="29"/>
      <c r="AB93"/>
    </row>
    <row r="94" spans="1:28" x14ac:dyDescent="0.25">
      <c r="A94" s="146" t="str">
        <f>'STEP BY STEP GUIDE'!B135</f>
        <v>52 ACC_T2          53 RESERVED_A53    54 RESERVED_A54</v>
      </c>
      <c r="C94" s="3"/>
      <c r="D94" s="3"/>
      <c r="F94" s="3"/>
      <c r="R94" s="2">
        <f t="shared" si="25"/>
        <v>55</v>
      </c>
      <c r="S94" s="2">
        <v>1</v>
      </c>
      <c r="U94" s="2" t="str">
        <f t="shared" ca="1" si="21"/>
        <v>12</v>
      </c>
      <c r="V94" s="5" t="str">
        <f t="shared" ca="1" si="22"/>
        <v>TEMPERATURE</v>
      </c>
      <c r="W94" s="27" t="str">
        <f t="shared" ca="1" si="23"/>
        <v>1C19</v>
      </c>
      <c r="X94" s="28" t="s">
        <v>78</v>
      </c>
      <c r="Y94" s="97">
        <f ca="1">(HEX2DEC(LEFT(REPT("0",16-LEN(W94))&amp;W94,10))*16^6+HEX2DEC(RIGHT(W94,6)))/2^(0+MID(X94,FIND(".",X94)+1,2))</f>
        <v>28.09765625</v>
      </c>
      <c r="Z94"/>
      <c r="AA94" s="29"/>
      <c r="AB94"/>
    </row>
    <row r="95" spans="1:28" x14ac:dyDescent="0.25">
      <c r="A95" s="146" t="str">
        <f>'STEP BY STEP GUIDE'!B136</f>
        <v>0                  0                  0</v>
      </c>
      <c r="C95" s="3"/>
      <c r="D95" s="3"/>
      <c r="F95" s="3"/>
      <c r="R95" s="2">
        <f t="shared" si="25"/>
        <v>55</v>
      </c>
      <c r="S95" s="2">
        <v>2</v>
      </c>
      <c r="U95" s="2" t="str">
        <f t="shared" ca="1" si="21"/>
        <v>13</v>
      </c>
      <c r="V95" s="5" t="str">
        <f t="shared" ca="1" si="22"/>
        <v>I_A_MAX</v>
      </c>
      <c r="W95" s="27" t="str">
        <f t="shared" ca="1" si="23"/>
        <v>2791EC</v>
      </c>
      <c r="X95" s="28" t="s">
        <v>58</v>
      </c>
      <c r="Y95">
        <f ca="1">HEX2DEC(IF(AND(LEN(W95)=8,HEX2DEC(LEFT(W95,1))&gt;7),"FF","00")&amp;W95)/2^(0+MID(X95,FIND(".",X95)+1,2))</f>
        <v>4.8303231596946716E-3</v>
      </c>
      <c r="Z95"/>
      <c r="AA95" s="99">
        <f ca="1">Y95*Y43</f>
        <v>2.9816820692576584</v>
      </c>
      <c r="AB95"/>
    </row>
    <row r="96" spans="1:28" x14ac:dyDescent="0.25">
      <c r="C96" s="3"/>
      <c r="D96" s="3"/>
      <c r="F96" s="3"/>
      <c r="R96" s="2">
        <f t="shared" si="25"/>
        <v>55</v>
      </c>
      <c r="S96" s="2">
        <v>3</v>
      </c>
      <c r="U96" s="2" t="str">
        <f t="shared" ca="1" si="21"/>
        <v>14</v>
      </c>
      <c r="V96" s="5" t="str">
        <f t="shared" ca="1" si="22"/>
        <v>I_B_MAX</v>
      </c>
      <c r="W96" s="27" t="str">
        <f t="shared" ca="1" si="23"/>
        <v>276486</v>
      </c>
      <c r="X96" s="28" t="s">
        <v>58</v>
      </c>
      <c r="Y96">
        <f t="shared" ref="Y96:Y114" ca="1" si="26">HEX2DEC(IF(AND(LEN(W96)=8,HEX2DEC(LEFT(W96,1))&gt;7),"FF","00")&amp;W96)/2^(0+MID(X96,FIND(".",X96)+1,2))</f>
        <v>4.8086754977703094E-3</v>
      </c>
      <c r="Z96"/>
      <c r="AA96" s="99">
        <f ca="1">Y96*Y45</f>
        <v>2.9683193100245262</v>
      </c>
      <c r="AB96"/>
    </row>
    <row r="97" spans="3:28" x14ac:dyDescent="0.25">
      <c r="C97" s="3"/>
      <c r="D97" s="3"/>
      <c r="F97" s="3"/>
      <c r="R97" s="2">
        <f t="shared" si="25"/>
        <v>55</v>
      </c>
      <c r="S97" s="2">
        <v>4</v>
      </c>
      <c r="U97" s="2" t="str">
        <f t="shared" ca="1" si="21"/>
        <v>15</v>
      </c>
      <c r="V97" s="5" t="str">
        <f t="shared" ca="1" si="22"/>
        <v>I_C_MAX</v>
      </c>
      <c r="W97" s="27" t="str">
        <f t="shared" ca="1" si="23"/>
        <v>0</v>
      </c>
      <c r="X97" s="28" t="s">
        <v>58</v>
      </c>
      <c r="Y97">
        <f t="shared" ca="1" si="26"/>
        <v>0</v>
      </c>
      <c r="Z97"/>
      <c r="AA97" s="99">
        <f ca="1">Y97*Y47</f>
        <v>0</v>
      </c>
      <c r="AB97"/>
    </row>
    <row r="98" spans="3:28" x14ac:dyDescent="0.25">
      <c r="C98" s="3"/>
      <c r="D98" s="3"/>
      <c r="F98" s="3"/>
      <c r="R98" s="2">
        <f t="shared" si="25"/>
        <v>57</v>
      </c>
      <c r="S98" s="2">
        <v>1</v>
      </c>
      <c r="U98" s="2" t="str">
        <f t="shared" ca="1" si="21"/>
        <v>16</v>
      </c>
      <c r="V98" s="5" t="str">
        <f t="shared" ca="1" si="22"/>
        <v>I_Nm_MAX</v>
      </c>
      <c r="W98" s="27" t="str">
        <f t="shared" ca="1" si="23"/>
        <v>0</v>
      </c>
      <c r="X98" s="28" t="s">
        <v>58</v>
      </c>
      <c r="Y98">
        <f ca="1">HEX2DEC(IF(AND(LEN(W98)=8,HEX2DEC(LEFT(W98,1))&gt;7),"FF","00")&amp;W98)/2^(0+MID(X98,FIND(".",X98)+1,2))</f>
        <v>0</v>
      </c>
      <c r="Z98"/>
      <c r="AA98" s="29">
        <f ca="1">Y98</f>
        <v>0</v>
      </c>
      <c r="AB98"/>
    </row>
    <row r="99" spans="3:28" x14ac:dyDescent="0.25">
      <c r="C99" s="3"/>
      <c r="D99" s="3"/>
      <c r="F99" s="3"/>
      <c r="R99" s="2">
        <f t="shared" si="25"/>
        <v>57</v>
      </c>
      <c r="S99" s="2">
        <v>2</v>
      </c>
      <c r="U99" s="2" t="str">
        <f t="shared" ca="1" si="21"/>
        <v>17</v>
      </c>
      <c r="V99" s="5" t="str">
        <f t="shared" ca="1" si="22"/>
        <v>I_Ni_MAX</v>
      </c>
      <c r="W99" s="27" t="str">
        <f t="shared" ca="1" si="23"/>
        <v>1852D</v>
      </c>
      <c r="X99" s="28" t="s">
        <v>81</v>
      </c>
      <c r="Y99">
        <f t="shared" ca="1" si="26"/>
        <v>3.040435791015625</v>
      </c>
      <c r="Z99"/>
      <c r="AA99" s="29">
        <f ca="1">Y99</f>
        <v>3.040435791015625</v>
      </c>
      <c r="AB99"/>
    </row>
    <row r="100" spans="3:28" x14ac:dyDescent="0.25">
      <c r="C100" s="3"/>
      <c r="D100" s="3"/>
      <c r="F100" s="3"/>
      <c r="R100" s="2">
        <f t="shared" si="25"/>
        <v>57</v>
      </c>
      <c r="S100" s="2">
        <v>3</v>
      </c>
      <c r="U100" s="2" t="str">
        <f t="shared" ca="1" si="21"/>
        <v>18</v>
      </c>
      <c r="V100" s="5" t="str">
        <f t="shared" ca="1" si="22"/>
        <v>V_A_MAX</v>
      </c>
      <c r="W100" s="27" t="str">
        <f t="shared" ca="1" si="23"/>
        <v>60CD89D</v>
      </c>
      <c r="X100" s="28" t="s">
        <v>58</v>
      </c>
      <c r="Y100">
        <f t="shared" ca="1" si="26"/>
        <v>0.1890681330114603</v>
      </c>
      <c r="Z100"/>
      <c r="AA100" s="99">
        <f ca="1">Y100*Y44</f>
        <v>312.15148760192096</v>
      </c>
      <c r="AB100"/>
    </row>
    <row r="101" spans="3:28" x14ac:dyDescent="0.25">
      <c r="R101" s="2">
        <f t="shared" si="25"/>
        <v>57</v>
      </c>
      <c r="S101" s="2">
        <v>4</v>
      </c>
      <c r="U101" s="2" t="str">
        <f t="shared" ca="1" si="21"/>
        <v>19</v>
      </c>
      <c r="V101" s="5" t="str">
        <f t="shared" ca="1" si="22"/>
        <v>V_B_MAX</v>
      </c>
      <c r="W101" s="27" t="str">
        <f t="shared" ca="1" si="23"/>
        <v>609AC25</v>
      </c>
      <c r="X101" s="28" t="s">
        <v>58</v>
      </c>
      <c r="Y101">
        <f t="shared" ca="1" si="26"/>
        <v>0.18868071772158146</v>
      </c>
      <c r="Z101"/>
      <c r="AA101" s="99">
        <f ca="1">Y101*Y46</f>
        <v>311.51186495833099</v>
      </c>
      <c r="AB101"/>
    </row>
    <row r="102" spans="3:28" x14ac:dyDescent="0.25">
      <c r="R102" s="2">
        <f t="shared" si="25"/>
        <v>59</v>
      </c>
      <c r="S102" s="2">
        <v>1</v>
      </c>
      <c r="U102" s="2" t="str">
        <f t="shared" ca="1" si="21"/>
        <v>20</v>
      </c>
      <c r="V102" s="5" t="str">
        <f t="shared" ca="1" si="22"/>
        <v>V_C_MAX</v>
      </c>
      <c r="W102" s="27" t="str">
        <f t="shared" ca="1" si="23"/>
        <v>0</v>
      </c>
      <c r="X102" s="28" t="s">
        <v>58</v>
      </c>
      <c r="Y102">
        <f t="shared" ca="1" si="26"/>
        <v>0</v>
      </c>
      <c r="Z102"/>
      <c r="AA102" s="99">
        <f ca="1">Y102*Y48</f>
        <v>0</v>
      </c>
      <c r="AB102"/>
    </row>
    <row r="103" spans="3:28" x14ac:dyDescent="0.25">
      <c r="R103" s="2">
        <f t="shared" si="25"/>
        <v>59</v>
      </c>
      <c r="S103" s="2">
        <v>2</v>
      </c>
      <c r="U103" s="2" t="str">
        <f t="shared" ca="1" si="21"/>
        <v>21</v>
      </c>
      <c r="V103" s="5" t="str">
        <f t="shared" ca="1" si="22"/>
        <v>FEATURES</v>
      </c>
      <c r="W103" s="27" t="str">
        <f t="shared" ca="1" si="23"/>
        <v>803F6E00</v>
      </c>
      <c r="X103" s="28" t="s">
        <v>58</v>
      </c>
      <c r="Y103">
        <f t="shared" ca="1" si="26"/>
        <v>-3.9922571182250977</v>
      </c>
      <c r="Z103"/>
      <c r="AA103" s="29"/>
      <c r="AB103"/>
    </row>
    <row r="104" spans="3:28" x14ac:dyDescent="0.25">
      <c r="R104" s="2">
        <f t="shared" si="25"/>
        <v>59</v>
      </c>
      <c r="S104" s="2">
        <v>3</v>
      </c>
      <c r="U104" s="2" t="str">
        <f t="shared" ca="1" si="21"/>
        <v>22</v>
      </c>
      <c r="V104" s="5" t="str">
        <f t="shared" ca="1" si="22"/>
        <v>RESERVED_S22</v>
      </c>
      <c r="W104" s="27" t="str">
        <f t="shared" ca="1" si="23"/>
        <v>0</v>
      </c>
      <c r="X104" s="28" t="s">
        <v>35</v>
      </c>
      <c r="Y104">
        <f t="shared" ca="1" si="26"/>
        <v>0</v>
      </c>
      <c r="Z104"/>
      <c r="AA104" s="29"/>
      <c r="AB104"/>
    </row>
    <row r="105" spans="3:28" x14ac:dyDescent="0.25">
      <c r="R105" s="2">
        <f t="shared" si="25"/>
        <v>59</v>
      </c>
      <c r="S105" s="2">
        <v>4</v>
      </c>
      <c r="U105" s="2" t="str">
        <f t="shared" ca="1" si="21"/>
        <v>23</v>
      </c>
      <c r="V105" s="5" t="str">
        <f t="shared" ca="1" si="22"/>
        <v>RESERVED_S23</v>
      </c>
      <c r="W105" s="27" t="str">
        <f t="shared" ca="1" si="23"/>
        <v>0</v>
      </c>
      <c r="X105" s="28" t="s">
        <v>35</v>
      </c>
      <c r="Y105">
        <f t="shared" ca="1" si="26"/>
        <v>0</v>
      </c>
      <c r="Z105"/>
      <c r="AA105" s="29"/>
      <c r="AB105"/>
    </row>
    <row r="106" spans="3:28" x14ac:dyDescent="0.25">
      <c r="R106" s="2">
        <f t="shared" si="25"/>
        <v>61</v>
      </c>
      <c r="S106" s="2">
        <v>1</v>
      </c>
      <c r="U106" s="2" t="str">
        <f t="shared" ca="1" si="21"/>
        <v>24</v>
      </c>
      <c r="V106" s="5" t="str">
        <f t="shared" ca="1" si="22"/>
        <v>RESERVED_S24</v>
      </c>
      <c r="W106" s="27" t="str">
        <f t="shared" ca="1" si="23"/>
        <v>0</v>
      </c>
      <c r="X106" s="28" t="s">
        <v>35</v>
      </c>
      <c r="Y106">
        <f t="shared" ca="1" si="26"/>
        <v>0</v>
      </c>
      <c r="Z106"/>
      <c r="AA106" s="29"/>
      <c r="AB106"/>
    </row>
    <row r="107" spans="3:28" x14ac:dyDescent="0.25">
      <c r="R107" s="2">
        <f t="shared" si="25"/>
        <v>61</v>
      </c>
      <c r="S107" s="2">
        <v>2</v>
      </c>
      <c r="U107" s="2" t="str">
        <f t="shared" ca="1" si="21"/>
        <v>25</v>
      </c>
      <c r="V107" s="5" t="str">
        <f t="shared" ca="1" si="22"/>
        <v>PULSE0_COUNTER</v>
      </c>
      <c r="W107" s="27" t="str">
        <f t="shared" ca="1" si="23"/>
        <v>AA</v>
      </c>
      <c r="X107" s="28" t="s">
        <v>58</v>
      </c>
      <c r="Y107">
        <f t="shared" ca="1" si="26"/>
        <v>3.166496753692627E-7</v>
      </c>
      <c r="Z107"/>
      <c r="AA107" s="29"/>
      <c r="AB107"/>
    </row>
    <row r="108" spans="3:28" x14ac:dyDescent="0.25">
      <c r="R108" s="2">
        <f t="shared" si="25"/>
        <v>61</v>
      </c>
      <c r="S108" s="2">
        <v>3</v>
      </c>
      <c r="U108" s="2" t="str">
        <f t="shared" ca="1" si="21"/>
        <v>26</v>
      </c>
      <c r="V108" s="5" t="str">
        <f t="shared" ca="1" si="22"/>
        <v>PULSE1_COUNTER</v>
      </c>
      <c r="W108" s="27" t="str">
        <f t="shared" ca="1" si="23"/>
        <v>125</v>
      </c>
      <c r="X108" s="28" t="s">
        <v>58</v>
      </c>
      <c r="Y108">
        <f t="shared" ca="1" si="26"/>
        <v>5.4575502872467041E-7</v>
      </c>
      <c r="Z108"/>
      <c r="AA108" s="29"/>
      <c r="AB108"/>
    </row>
    <row r="109" spans="3:28" x14ac:dyDescent="0.25">
      <c r="R109" s="2">
        <f t="shared" si="25"/>
        <v>61</v>
      </c>
      <c r="S109" s="2">
        <v>4</v>
      </c>
      <c r="U109" s="2" t="str">
        <f t="shared" ca="1" si="21"/>
        <v>27</v>
      </c>
      <c r="V109" s="5" t="str">
        <f t="shared" ca="1" si="22"/>
        <v>PULSE2_COUNTER</v>
      </c>
      <c r="W109" s="27" t="str">
        <f t="shared" ca="1" si="23"/>
        <v>0</v>
      </c>
      <c r="X109" s="28" t="s">
        <v>58</v>
      </c>
      <c r="Y109">
        <f t="shared" ca="1" si="26"/>
        <v>0</v>
      </c>
      <c r="Z109"/>
      <c r="AA109" s="29"/>
      <c r="AB109"/>
    </row>
    <row r="110" spans="3:28" x14ac:dyDescent="0.25">
      <c r="R110" s="2">
        <f t="shared" si="25"/>
        <v>63</v>
      </c>
      <c r="S110" s="2">
        <v>1</v>
      </c>
      <c r="U110" s="2" t="str">
        <f t="shared" ca="1" si="21"/>
        <v>28</v>
      </c>
      <c r="V110" s="5" t="str">
        <f t="shared" ca="1" si="22"/>
        <v>RESERVED_S28</v>
      </c>
      <c r="W110" s="27" t="str">
        <f t="shared" ca="1" si="23"/>
        <v>0</v>
      </c>
      <c r="X110" s="28" t="s">
        <v>35</v>
      </c>
      <c r="Y110">
        <f t="shared" ca="1" si="26"/>
        <v>0</v>
      </c>
      <c r="Z110"/>
      <c r="AA110" s="29"/>
      <c r="AB110"/>
    </row>
    <row r="111" spans="3:28" x14ac:dyDescent="0.25">
      <c r="R111" s="2">
        <f t="shared" si="25"/>
        <v>63</v>
      </c>
      <c r="S111" s="2">
        <v>2</v>
      </c>
      <c r="U111" s="2" t="str">
        <f t="shared" ca="1" si="21"/>
        <v>29</v>
      </c>
      <c r="V111" s="5" t="str">
        <f t="shared" ca="1" si="22"/>
        <v>RESERVED_S29</v>
      </c>
      <c r="W111" s="27" t="str">
        <f t="shared" ca="1" si="23"/>
        <v>0</v>
      </c>
      <c r="X111" s="28" t="s">
        <v>35</v>
      </c>
      <c r="Y111">
        <f t="shared" ca="1" si="26"/>
        <v>0</v>
      </c>
      <c r="Z111"/>
      <c r="AA111" s="29"/>
      <c r="AB111"/>
    </row>
    <row r="112" spans="3:28" x14ac:dyDescent="0.25">
      <c r="R112" s="2">
        <f t="shared" si="25"/>
        <v>63</v>
      </c>
      <c r="S112" s="2">
        <v>3</v>
      </c>
      <c r="U112" s="2" t="str">
        <f t="shared" ca="1" si="21"/>
        <v>30</v>
      </c>
      <c r="V112" s="5" t="str">
        <f t="shared" ca="1" si="22"/>
        <v>ZC_N_VA</v>
      </c>
      <c r="W112" s="27" t="str">
        <f t="shared" ca="1" si="23"/>
        <v>E0FB0F</v>
      </c>
      <c r="X112" s="28" t="s">
        <v>74</v>
      </c>
      <c r="Y112">
        <f t="shared" ca="1" si="26"/>
        <v>3599.691162109375</v>
      </c>
      <c r="Z112"/>
      <c r="AA112" s="29"/>
      <c r="AB112"/>
    </row>
    <row r="113" spans="18:28" x14ac:dyDescent="0.25">
      <c r="R113" s="2">
        <f t="shared" si="25"/>
        <v>63</v>
      </c>
      <c r="S113" s="2">
        <v>4</v>
      </c>
      <c r="U113" s="2" t="str">
        <f t="shared" ca="1" si="21"/>
        <v>31</v>
      </c>
      <c r="V113" s="5" t="str">
        <f t="shared" ca="1" si="22"/>
        <v>ZC_N_VB</v>
      </c>
      <c r="W113" s="27" t="str">
        <f t="shared" ca="1" si="23"/>
        <v>E2A662</v>
      </c>
      <c r="X113" s="28" t="s">
        <v>74</v>
      </c>
      <c r="Y113">
        <f t="shared" ca="1" si="26"/>
        <v>3626.39892578125</v>
      </c>
      <c r="Z113"/>
      <c r="AA113" s="99">
        <f ca="1">Y112-Y113</f>
        <v>-26.707763671875</v>
      </c>
      <c r="AB113"/>
    </row>
    <row r="114" spans="18:28" x14ac:dyDescent="0.25">
      <c r="R114" s="2">
        <f t="shared" si="25"/>
        <v>65</v>
      </c>
      <c r="S114" s="2">
        <v>1</v>
      </c>
      <c r="U114" s="2" t="str">
        <f t="shared" ca="1" si="21"/>
        <v>32</v>
      </c>
      <c r="V114" s="5" t="str">
        <f t="shared" ca="1" si="22"/>
        <v>ZC_N_VC</v>
      </c>
      <c r="W114" s="27" t="str">
        <f t="shared" ca="1" si="23"/>
        <v>0</v>
      </c>
      <c r="X114" s="28" t="s">
        <v>74</v>
      </c>
      <c r="Y114">
        <f t="shared" ca="1" si="26"/>
        <v>0</v>
      </c>
      <c r="Z114"/>
      <c r="AA114" s="99">
        <f ca="1">Y112-Y114</f>
        <v>3599.691162109375</v>
      </c>
      <c r="AB114"/>
    </row>
    <row r="115" spans="18:28" x14ac:dyDescent="0.25">
      <c r="R115" s="2">
        <f t="shared" si="25"/>
        <v>65</v>
      </c>
      <c r="S115" s="2">
        <v>2</v>
      </c>
      <c r="U115" s="2" t="str">
        <f t="shared" ca="1" si="21"/>
        <v>33</v>
      </c>
      <c r="V115" s="5" t="str">
        <f t="shared" ca="1" si="22"/>
        <v>AT_CAL_41_44</v>
      </c>
      <c r="W115" s="27" t="str">
        <f t="shared" ca="1" si="23"/>
        <v>BA011804</v>
      </c>
      <c r="X115" s="28" t="s">
        <v>35</v>
      </c>
      <c r="Y115">
        <f t="shared" ca="1" si="24"/>
        <v>3120633860</v>
      </c>
      <c r="Z115"/>
      <c r="AA115" s="29"/>
      <c r="AB115"/>
    </row>
    <row r="116" spans="18:28" x14ac:dyDescent="0.25">
      <c r="R116" s="2">
        <f t="shared" si="25"/>
        <v>65</v>
      </c>
      <c r="S116" s="2">
        <v>3</v>
      </c>
      <c r="U116" s="2" t="str">
        <f t="shared" ca="1" si="21"/>
        <v>34</v>
      </c>
      <c r="V116" s="5" t="str">
        <f t="shared" ca="1" si="22"/>
        <v>AT_CAL_45_48</v>
      </c>
      <c r="W116" s="27" t="str">
        <f t="shared" ca="1" si="23"/>
        <v>1C022904</v>
      </c>
      <c r="X116" s="28" t="s">
        <v>35</v>
      </c>
      <c r="Y116">
        <f t="shared" ca="1" si="24"/>
        <v>469903620</v>
      </c>
      <c r="Z116"/>
      <c r="AA116" s="29"/>
      <c r="AB116"/>
    </row>
    <row r="117" spans="18:28" x14ac:dyDescent="0.25">
      <c r="R117" s="2">
        <v>65</v>
      </c>
      <c r="S117" s="2">
        <v>4</v>
      </c>
      <c r="U117" s="2" t="str">
        <f t="shared" ref="U117" ca="1" si="27">MID(INDIRECT(ADDRESS(R117,1)),(S117-1)*19+1,2)</f>
        <v/>
      </c>
      <c r="V117" s="5" t="str">
        <f t="shared" ref="V117" ca="1" si="28">TRIM(MID(INDIRECT(ADDRESS(R117,1)),(S117-1)*19+4,16))</f>
        <v/>
      </c>
      <c r="W117" s="27" t="str">
        <f t="shared" ref="W117" ca="1" si="29">TRIM(MID(INDIRECT(ADDRESS(R117+1,1)),(S117-1)*19+1,19))</f>
        <v/>
      </c>
      <c r="X117" s="28" t="s">
        <v>35</v>
      </c>
      <c r="Y117">
        <f t="shared" ref="Y117" ca="1" si="30">(HEX2DEC(LEFT(REPT("0",16-LEN(W117))&amp;W117,10))*16^6+HEX2DEC(RIGHT(W117,6)))/2^(0+MID(X117,FIND(".",X117)+1,2))</f>
        <v>0</v>
      </c>
      <c r="Z117"/>
      <c r="AA117" s="29"/>
      <c r="AB117"/>
    </row>
    <row r="120" spans="18:28" x14ac:dyDescent="0.25">
      <c r="R120" s="2">
        <v>68</v>
      </c>
      <c r="S120" s="2">
        <v>1</v>
      </c>
      <c r="U120" s="2" t="str">
        <f t="shared" ref="U120:U149" ca="1" si="31">MID(INDIRECT(ADDRESS(R120,1)),(S120-1)*19+1,2)</f>
        <v>00</v>
      </c>
      <c r="V120" s="5" t="str">
        <f t="shared" ref="V120:V149" ca="1" si="32">TRIM(MID(INDIRECT(ADDRESS(R120,1)),(S120-1)*19+4,16))</f>
        <v>I_A</v>
      </c>
      <c r="W120" s="27" t="str">
        <f t="shared" ref="W120:W174" ca="1" si="33">TRIM(MID(INDIRECT(ADDRESS(R120+1,1)),(S120-1)*19+1,19))</f>
        <v>B026F5CBA</v>
      </c>
      <c r="X120" s="28" t="s">
        <v>82</v>
      </c>
      <c r="Y120">
        <f t="shared" ref="Y120:Y174" ca="1" si="34">(HEX2DEC(LEFT(REPT("0",16-LEN(W120))&amp;W120,10))*16^6+HEX2DEC(RIGHT(W120,6)))/2^(0+MID(X120,FIND(".",X120)+1,2))</f>
        <v>4.3005905283280299E-2</v>
      </c>
      <c r="Z120"/>
      <c r="AA120" s="99">
        <f ca="1">SQRT(Y120/$Y$87)*Y43</f>
        <v>2.0240404987852365</v>
      </c>
      <c r="AB120"/>
    </row>
    <row r="121" spans="18:28" x14ac:dyDescent="0.25">
      <c r="R121" s="2">
        <v>68</v>
      </c>
      <c r="S121" s="2">
        <v>2</v>
      </c>
      <c r="U121" s="2" t="str">
        <f t="shared" ca="1" si="31"/>
        <v>01</v>
      </c>
      <c r="V121" s="5" t="str">
        <f t="shared" ca="1" si="32"/>
        <v>I_B</v>
      </c>
      <c r="W121" s="27" t="str">
        <f t="shared" ca="1" si="33"/>
        <v>AFC5E0357</v>
      </c>
      <c r="X121" s="28" t="s">
        <v>82</v>
      </c>
      <c r="Y121">
        <f t="shared" ca="1" si="34"/>
        <v>4.2913318457976857E-2</v>
      </c>
      <c r="Z121"/>
      <c r="AA121" s="99">
        <f ca="1">SQRT(Y121/$Y$87)*Y43</f>
        <v>2.0218605603093618</v>
      </c>
      <c r="AB121"/>
    </row>
    <row r="122" spans="18:28" x14ac:dyDescent="0.25">
      <c r="R122" s="2">
        <v>68</v>
      </c>
      <c r="S122" s="2">
        <v>3</v>
      </c>
      <c r="U122" s="2" t="str">
        <f t="shared" ca="1" si="31"/>
        <v>02</v>
      </c>
      <c r="V122" s="5" t="str">
        <f t="shared" ca="1" si="32"/>
        <v>I_C</v>
      </c>
      <c r="W122" s="27" t="str">
        <f t="shared" ca="1" si="33"/>
        <v>0</v>
      </c>
      <c r="X122" s="28" t="s">
        <v>82</v>
      </c>
      <c r="Y122">
        <f t="shared" ca="1" si="34"/>
        <v>0</v>
      </c>
      <c r="Z122"/>
      <c r="AA122" s="99">
        <f ca="1">SQRT(Y122/$Y$87)*Y47</f>
        <v>0</v>
      </c>
      <c r="AB122"/>
    </row>
    <row r="123" spans="18:28" x14ac:dyDescent="0.25">
      <c r="R123" s="2">
        <v>68</v>
      </c>
      <c r="S123" s="2">
        <v>4</v>
      </c>
      <c r="U123" s="2" t="str">
        <f t="shared" ca="1" si="31"/>
        <v>03</v>
      </c>
      <c r="V123" s="5" t="str">
        <f t="shared" ca="1" si="32"/>
        <v>I_Ni</v>
      </c>
      <c r="W123" s="27" t="str">
        <f ca="1">TRIM(MID(INDIRECT(ADDRESS(R123+1,1)),(S123-1)*19+1,19))</f>
        <v>401F84B0B</v>
      </c>
      <c r="X123" s="100" t="s">
        <v>83</v>
      </c>
      <c r="Y123" s="101">
        <f t="shared" ca="1" si="34"/>
        <v>16415.518321037292</v>
      </c>
      <c r="Z123"/>
      <c r="AA123" s="102">
        <f ca="1">SQRT(Y123/$Y$87)</f>
        <v>2.0258034406771364</v>
      </c>
      <c r="AB123"/>
    </row>
    <row r="124" spans="18:28" x14ac:dyDescent="0.25">
      <c r="R124" s="2">
        <f t="shared" ref="R124:R134" si="35">R120+2</f>
        <v>70</v>
      </c>
      <c r="S124" s="2">
        <v>1</v>
      </c>
      <c r="U124" s="2" t="str">
        <f t="shared" ca="1" si="31"/>
        <v>04</v>
      </c>
      <c r="V124" s="5" t="str">
        <f t="shared" ca="1" si="32"/>
        <v>I_Nm</v>
      </c>
      <c r="W124" s="27" t="str">
        <f t="shared" ca="1" si="33"/>
        <v>0</v>
      </c>
      <c r="X124" s="28" t="s">
        <v>82</v>
      </c>
      <c r="Y124">
        <f t="shared" ca="1" si="34"/>
        <v>0</v>
      </c>
      <c r="Z124"/>
      <c r="AA124" s="99">
        <f ca="1">SQRT(Y124/$Y$87)*Y49</f>
        <v>0</v>
      </c>
      <c r="AB124"/>
    </row>
    <row r="125" spans="18:28" x14ac:dyDescent="0.25">
      <c r="R125" s="2">
        <f t="shared" si="35"/>
        <v>70</v>
      </c>
      <c r="S125" s="2">
        <v>2</v>
      </c>
      <c r="U125" s="2" t="str">
        <f t="shared" ca="1" si="31"/>
        <v>05</v>
      </c>
      <c r="V125" s="5" t="str">
        <f t="shared" ca="1" si="32"/>
        <v>I_A_F</v>
      </c>
      <c r="W125" s="27" t="str">
        <f t="shared" ca="1" si="33"/>
        <v>B0183CC32</v>
      </c>
      <c r="X125" s="28" t="s">
        <v>82</v>
      </c>
      <c r="Y125">
        <f t="shared" ca="1" si="34"/>
        <v>4.2991864540454117E-2</v>
      </c>
      <c r="Z125"/>
      <c r="AA125" s="99">
        <f ca="1">SQRT(Y125/$Y$87)*Y43</f>
        <v>2.0237100633264893</v>
      </c>
      <c r="AB125"/>
    </row>
    <row r="126" spans="18:28" x14ac:dyDescent="0.25">
      <c r="R126" s="2">
        <f t="shared" si="35"/>
        <v>70</v>
      </c>
      <c r="S126" s="2">
        <v>3</v>
      </c>
      <c r="U126" s="2" t="str">
        <f t="shared" ca="1" si="31"/>
        <v>06</v>
      </c>
      <c r="V126" s="5" t="str">
        <f t="shared" ca="1" si="32"/>
        <v>I_B_F</v>
      </c>
      <c r="W126" s="27" t="str">
        <f t="shared" ca="1" si="33"/>
        <v>AFBE1B07D</v>
      </c>
      <c r="X126" s="28" t="s">
        <v>82</v>
      </c>
      <c r="Y126">
        <f t="shared" ca="1" si="34"/>
        <v>4.2905908191642084E-2</v>
      </c>
      <c r="Z126"/>
      <c r="AA126" s="99">
        <f ca="1">SQRT(Y126/$Y$87)*Y45</f>
        <v>2.0216859854613536</v>
      </c>
      <c r="AB126"/>
    </row>
    <row r="127" spans="18:28" x14ac:dyDescent="0.25">
      <c r="R127" s="2">
        <f t="shared" si="35"/>
        <v>70</v>
      </c>
      <c r="S127" s="2">
        <v>4</v>
      </c>
      <c r="U127" s="2" t="str">
        <f t="shared" ca="1" si="31"/>
        <v>07</v>
      </c>
      <c r="V127" s="5" t="str">
        <f t="shared" ca="1" si="32"/>
        <v>I_C_F</v>
      </c>
      <c r="W127" s="27" t="str">
        <f t="shared" ca="1" si="33"/>
        <v>0</v>
      </c>
      <c r="X127" s="28" t="s">
        <v>82</v>
      </c>
      <c r="Y127">
        <f t="shared" ca="1" si="34"/>
        <v>0</v>
      </c>
      <c r="Z127"/>
      <c r="AA127" s="99">
        <f ca="1">SQRT(Y127/$Y$87)*Y47</f>
        <v>0</v>
      </c>
      <c r="AB127"/>
    </row>
    <row r="128" spans="18:28" x14ac:dyDescent="0.25">
      <c r="R128" s="2">
        <f t="shared" si="35"/>
        <v>72</v>
      </c>
      <c r="S128" s="2">
        <v>1</v>
      </c>
      <c r="U128" s="2" t="str">
        <f t="shared" ca="1" si="31"/>
        <v>08</v>
      </c>
      <c r="V128" s="5" t="str">
        <f t="shared" ca="1" si="32"/>
        <v>I_Nmi</v>
      </c>
      <c r="W128" s="27" t="str">
        <f t="shared" ca="1" si="33"/>
        <v>401F84B03</v>
      </c>
      <c r="X128" s="100" t="s">
        <v>83</v>
      </c>
      <c r="Y128" s="101">
        <f t="shared" ca="1" si="34"/>
        <v>16415.518313407898</v>
      </c>
      <c r="Z128"/>
      <c r="AA128" s="102">
        <f ca="1">SQRT(Y128/$Y$87)</f>
        <v>2.0258034402063725</v>
      </c>
      <c r="AB128"/>
    </row>
    <row r="129" spans="2:28" x14ac:dyDescent="0.25">
      <c r="B129" s="2"/>
      <c r="E129" s="2"/>
      <c r="R129" s="2">
        <f t="shared" si="35"/>
        <v>72</v>
      </c>
      <c r="S129" s="2">
        <v>2</v>
      </c>
      <c r="U129" s="2" t="str">
        <f t="shared" ca="1" si="31"/>
        <v>09</v>
      </c>
      <c r="V129" s="5" t="str">
        <f t="shared" ca="1" si="32"/>
        <v>RESERVED_A09</v>
      </c>
      <c r="W129" s="27" t="str">
        <f t="shared" ca="1" si="33"/>
        <v>0</v>
      </c>
      <c r="X129" s="28" t="s">
        <v>82</v>
      </c>
      <c r="Y129">
        <f t="shared" ca="1" si="34"/>
        <v>0</v>
      </c>
      <c r="Z129"/>
      <c r="AB129"/>
    </row>
    <row r="130" spans="2:28" x14ac:dyDescent="0.25">
      <c r="B130" s="2"/>
      <c r="E130" s="2"/>
      <c r="R130" s="2">
        <f t="shared" si="35"/>
        <v>72</v>
      </c>
      <c r="S130" s="2">
        <v>3</v>
      </c>
      <c r="U130" s="2" t="str">
        <f t="shared" ca="1" si="31"/>
        <v>10</v>
      </c>
      <c r="V130" s="5" t="str">
        <f t="shared" ca="1" si="32"/>
        <v>RESERVED_A10</v>
      </c>
      <c r="W130" s="27" t="str">
        <f t="shared" ca="1" si="33"/>
        <v>0</v>
      </c>
      <c r="X130" s="28" t="s">
        <v>84</v>
      </c>
      <c r="Y130">
        <f t="shared" ca="1" si="34"/>
        <v>0</v>
      </c>
      <c r="Z130"/>
      <c r="AA130" s="29"/>
      <c r="AB130"/>
    </row>
    <row r="131" spans="2:28" x14ac:dyDescent="0.25">
      <c r="B131" s="2"/>
      <c r="E131" s="2"/>
      <c r="R131" s="2">
        <f t="shared" si="35"/>
        <v>72</v>
      </c>
      <c r="S131" s="2">
        <v>4</v>
      </c>
      <c r="U131" s="2" t="str">
        <f t="shared" ca="1" si="31"/>
        <v>11</v>
      </c>
      <c r="V131" s="5" t="str">
        <f t="shared" ca="1" si="32"/>
        <v>RESERVED_A11</v>
      </c>
      <c r="W131" s="27" t="str">
        <f t="shared" ca="1" si="33"/>
        <v>0</v>
      </c>
      <c r="X131" s="28" t="s">
        <v>84</v>
      </c>
      <c r="Y131">
        <f t="shared" ca="1" si="34"/>
        <v>0</v>
      </c>
      <c r="Z131"/>
      <c r="AA131" s="29"/>
      <c r="AB131"/>
    </row>
    <row r="132" spans="2:28" x14ac:dyDescent="0.25">
      <c r="R132" s="2">
        <f t="shared" si="35"/>
        <v>74</v>
      </c>
      <c r="S132" s="2">
        <v>1</v>
      </c>
      <c r="U132" s="2" t="str">
        <f t="shared" ca="1" si="31"/>
        <v>12</v>
      </c>
      <c r="V132" s="5" t="str">
        <f t="shared" ca="1" si="32"/>
        <v>RESERVED_A12</v>
      </c>
      <c r="W132" s="27" t="str">
        <f t="shared" ca="1" si="33"/>
        <v>0</v>
      </c>
      <c r="X132" s="28" t="s">
        <v>84</v>
      </c>
      <c r="Y132">
        <f t="shared" ca="1" si="34"/>
        <v>0</v>
      </c>
      <c r="Z132"/>
      <c r="AA132" s="29"/>
      <c r="AB132"/>
    </row>
    <row r="133" spans="2:28" x14ac:dyDescent="0.25">
      <c r="R133" s="2">
        <f t="shared" si="35"/>
        <v>74</v>
      </c>
      <c r="S133" s="2">
        <v>2</v>
      </c>
      <c r="U133" s="2" t="str">
        <f t="shared" ca="1" si="31"/>
        <v>13</v>
      </c>
      <c r="V133" s="5" t="str">
        <f t="shared" ca="1" si="32"/>
        <v>RESERVED_A13</v>
      </c>
      <c r="W133" s="27" t="str">
        <f t="shared" ca="1" si="33"/>
        <v>0</v>
      </c>
      <c r="X133" s="28" t="s">
        <v>84</v>
      </c>
      <c r="Y133">
        <f t="shared" ca="1" si="34"/>
        <v>0</v>
      </c>
      <c r="Z133"/>
      <c r="AA133" s="29"/>
      <c r="AB133"/>
    </row>
    <row r="134" spans="2:28" x14ac:dyDescent="0.25">
      <c r="R134" s="2">
        <f t="shared" si="35"/>
        <v>74</v>
      </c>
      <c r="S134" s="2">
        <v>3</v>
      </c>
      <c r="U134" s="2" t="str">
        <f t="shared" ca="1" si="31"/>
        <v>14</v>
      </c>
      <c r="V134" s="5" t="str">
        <f t="shared" ca="1" si="32"/>
        <v>RESERVED_A14</v>
      </c>
      <c r="W134" s="27" t="str">
        <f t="shared" ca="1" si="33"/>
        <v>0</v>
      </c>
      <c r="X134" s="28" t="s">
        <v>84</v>
      </c>
      <c r="Y134">
        <f t="shared" ca="1" si="34"/>
        <v>0</v>
      </c>
      <c r="Z134"/>
      <c r="AA134" s="29"/>
      <c r="AB134"/>
    </row>
    <row r="135" spans="2:28" x14ac:dyDescent="0.25">
      <c r="R135" s="2">
        <f t="shared" ref="R135:R174" si="36">R131+2</f>
        <v>74</v>
      </c>
      <c r="S135" s="2">
        <v>4</v>
      </c>
      <c r="U135" s="2" t="str">
        <f t="shared" ca="1" si="31"/>
        <v>15</v>
      </c>
      <c r="V135" s="5" t="str">
        <f t="shared" ca="1" si="32"/>
        <v>P_A</v>
      </c>
      <c r="W135" s="27" t="str">
        <f t="shared" ca="1" si="33"/>
        <v>D896077273</v>
      </c>
      <c r="X135" s="28" t="s">
        <v>85</v>
      </c>
      <c r="Y135">
        <f t="shared" ca="1" si="34"/>
        <v>0.84603926223917369</v>
      </c>
      <c r="Z135"/>
      <c r="AA135" s="99">
        <f ca="1">Y135/$Y$87*Y43*Y44</f>
        <v>215.55730560256814</v>
      </c>
      <c r="AB135"/>
    </row>
    <row r="136" spans="2:28" x14ac:dyDescent="0.25">
      <c r="F136" s="1"/>
      <c r="R136" s="2">
        <f t="shared" si="36"/>
        <v>76</v>
      </c>
      <c r="S136" s="2">
        <v>1</v>
      </c>
      <c r="U136" s="2" t="str">
        <f t="shared" ca="1" si="31"/>
        <v>16</v>
      </c>
      <c r="V136" s="5" t="str">
        <f t="shared" ca="1" si="32"/>
        <v>P_B</v>
      </c>
      <c r="W136" s="27" t="str">
        <f t="shared" ca="1" si="33"/>
        <v>DA2EDD6D57</v>
      </c>
      <c r="X136" s="28" t="s">
        <v>85</v>
      </c>
      <c r="Y136">
        <f t="shared" ca="1" si="34"/>
        <v>0.85227760238103656</v>
      </c>
      <c r="Z136"/>
      <c r="AA136" s="99">
        <f ca="1">Y136/$Y$87*Y45*Y46</f>
        <v>217.14673513903355</v>
      </c>
      <c r="AB136"/>
    </row>
    <row r="137" spans="2:28" x14ac:dyDescent="0.25">
      <c r="F137" s="1"/>
      <c r="R137" s="2">
        <f t="shared" si="36"/>
        <v>76</v>
      </c>
      <c r="S137" s="2">
        <v>2</v>
      </c>
      <c r="U137" s="2" t="str">
        <f t="shared" ca="1" si="31"/>
        <v>17</v>
      </c>
      <c r="V137" s="5" t="str">
        <f t="shared" ca="1" si="32"/>
        <v>P_C</v>
      </c>
      <c r="W137" s="27" t="str">
        <f t="shared" ca="1" si="33"/>
        <v>0</v>
      </c>
      <c r="X137" s="28" t="s">
        <v>85</v>
      </c>
      <c r="Y137">
        <f t="shared" ca="1" si="34"/>
        <v>0</v>
      </c>
      <c r="Z137"/>
      <c r="AA137" s="99">
        <f ca="1">Y137/$Y$87*Y47*Y48</f>
        <v>0</v>
      </c>
      <c r="AB137"/>
    </row>
    <row r="138" spans="2:28" x14ac:dyDescent="0.25">
      <c r="F138" s="1"/>
      <c r="R138" s="2">
        <f t="shared" si="36"/>
        <v>76</v>
      </c>
      <c r="S138" s="2">
        <v>3</v>
      </c>
      <c r="U138" s="2" t="str">
        <f t="shared" ca="1" si="31"/>
        <v>18</v>
      </c>
      <c r="V138" s="5" t="str">
        <f t="shared" ca="1" si="32"/>
        <v>P_A_F</v>
      </c>
      <c r="W138" s="27" t="str">
        <f t="shared" ca="1" si="33"/>
        <v>D88A51EDEA</v>
      </c>
      <c r="X138" s="28" t="s">
        <v>85</v>
      </c>
      <c r="Y138">
        <f t="shared" ca="1" si="34"/>
        <v>0.84586059626053611</v>
      </c>
      <c r="Z138"/>
      <c r="AA138" s="99">
        <f ca="1">Y138/$Y$87*Y43*Y44</f>
        <v>215.51178436179734</v>
      </c>
      <c r="AB138"/>
    </row>
    <row r="139" spans="2:28" x14ac:dyDescent="0.25">
      <c r="F139" s="1"/>
      <c r="R139" s="2">
        <f t="shared" si="36"/>
        <v>76</v>
      </c>
      <c r="S139" s="2">
        <v>4</v>
      </c>
      <c r="U139" s="2" t="str">
        <f t="shared" ca="1" si="31"/>
        <v>19</v>
      </c>
      <c r="V139" s="5" t="str">
        <f t="shared" ca="1" si="32"/>
        <v>P_B_F</v>
      </c>
      <c r="W139" s="27" t="str">
        <f t="shared" ca="1" si="33"/>
        <v>DA257362B4</v>
      </c>
      <c r="X139" s="28" t="s">
        <v>85</v>
      </c>
      <c r="Y139">
        <f t="shared" ca="1" si="34"/>
        <v>0.85213395271057379</v>
      </c>
      <c r="Z139"/>
      <c r="AA139" s="99">
        <f ca="1">Y139/$Y$87*Y45*Y46</f>
        <v>217.11013549490625</v>
      </c>
      <c r="AB139"/>
    </row>
    <row r="140" spans="2:28" x14ac:dyDescent="0.25">
      <c r="F140" s="1"/>
      <c r="R140" s="2">
        <f t="shared" si="36"/>
        <v>78</v>
      </c>
      <c r="S140" s="2">
        <v>1</v>
      </c>
      <c r="U140" s="2" t="str">
        <f t="shared" ca="1" si="31"/>
        <v>20</v>
      </c>
      <c r="V140" s="5" t="str">
        <f t="shared" ca="1" si="32"/>
        <v>P_C_F</v>
      </c>
      <c r="W140" s="27" t="str">
        <f t="shared" ca="1" si="33"/>
        <v>0</v>
      </c>
      <c r="X140" s="28" t="s">
        <v>85</v>
      </c>
      <c r="Y140">
        <f t="shared" ca="1" si="34"/>
        <v>0</v>
      </c>
      <c r="Z140"/>
      <c r="AA140" s="99">
        <f ca="1">Y140/$Y$87*Y47*Y48</f>
        <v>0</v>
      </c>
      <c r="AB140"/>
    </row>
    <row r="141" spans="2:28" x14ac:dyDescent="0.25">
      <c r="F141" s="1"/>
      <c r="R141" s="2">
        <f t="shared" si="36"/>
        <v>78</v>
      </c>
      <c r="S141" s="2">
        <v>2</v>
      </c>
      <c r="U141" s="2" t="str">
        <f t="shared" ca="1" si="31"/>
        <v>21</v>
      </c>
      <c r="V141" s="5" t="str">
        <f t="shared" ca="1" si="32"/>
        <v>P_N</v>
      </c>
      <c r="W141" s="27" t="str">
        <f t="shared" ca="1" si="33"/>
        <v>0</v>
      </c>
      <c r="X141" s="28" t="s">
        <v>84</v>
      </c>
      <c r="Y141">
        <f t="shared" ca="1" si="34"/>
        <v>0</v>
      </c>
      <c r="Z141"/>
      <c r="AA141" s="99">
        <f ca="1">Y141/$Y$87*Y44*Y47</f>
        <v>0</v>
      </c>
      <c r="AB141"/>
    </row>
    <row r="142" spans="2:28" x14ac:dyDescent="0.25">
      <c r="F142" s="1"/>
      <c r="R142" s="2">
        <f t="shared" si="36"/>
        <v>78</v>
      </c>
      <c r="S142" s="2">
        <v>3</v>
      </c>
      <c r="U142" s="2" t="str">
        <f t="shared" ca="1" si="31"/>
        <v>22</v>
      </c>
      <c r="V142" s="5" t="str">
        <f t="shared" ca="1" si="32"/>
        <v>P_N_F</v>
      </c>
      <c r="W142" s="27" t="str">
        <f t="shared" ca="1" si="33"/>
        <v>0</v>
      </c>
      <c r="X142" s="28" t="s">
        <v>84</v>
      </c>
      <c r="Y142">
        <f t="shared" ca="1" si="34"/>
        <v>0</v>
      </c>
      <c r="Z142"/>
      <c r="AA142" s="99">
        <f ca="1">Y142/$Y$87*Y44*Y47</f>
        <v>0</v>
      </c>
      <c r="AB142"/>
    </row>
    <row r="143" spans="2:28" x14ac:dyDescent="0.25">
      <c r="F143" s="1"/>
      <c r="R143" s="2">
        <f t="shared" si="36"/>
        <v>78</v>
      </c>
      <c r="S143" s="2">
        <v>4</v>
      </c>
      <c r="U143" s="2" t="str">
        <f t="shared" ca="1" si="31"/>
        <v>23</v>
      </c>
      <c r="V143" s="5" t="str">
        <f t="shared" ca="1" si="32"/>
        <v>RESERVED_A23</v>
      </c>
      <c r="W143" s="27" t="str">
        <f t="shared" ca="1" si="33"/>
        <v>0</v>
      </c>
      <c r="X143" s="28" t="s">
        <v>84</v>
      </c>
      <c r="Y143">
        <f t="shared" ca="1" si="34"/>
        <v>0</v>
      </c>
      <c r="Z143"/>
      <c r="AA143" s="29"/>
      <c r="AB143"/>
    </row>
    <row r="144" spans="2:28" x14ac:dyDescent="0.25">
      <c r="F144" s="1"/>
      <c r="R144" s="2">
        <f t="shared" si="36"/>
        <v>80</v>
      </c>
      <c r="S144" s="2">
        <v>1</v>
      </c>
      <c r="U144" s="2" t="str">
        <f t="shared" ca="1" si="31"/>
        <v>24</v>
      </c>
      <c r="V144" s="5" t="str">
        <f t="shared" ca="1" si="32"/>
        <v>Q_A</v>
      </c>
      <c r="W144" s="27" t="str">
        <f t="shared" ca="1" si="33"/>
        <v>176A4F997BA</v>
      </c>
      <c r="X144" s="28" t="s">
        <v>85</v>
      </c>
      <c r="Y144">
        <f t="shared" ca="1" si="34"/>
        <v>1.4634548182893923</v>
      </c>
      <c r="Z144"/>
      <c r="AA144" s="29">
        <f ca="1">Y144/$Y$87*Y43*Y44</f>
        <v>372.86493852146771</v>
      </c>
      <c r="AB144"/>
    </row>
    <row r="145" spans="5:28" x14ac:dyDescent="0.25">
      <c r="F145" s="1"/>
      <c r="R145" s="2">
        <f t="shared" si="36"/>
        <v>80</v>
      </c>
      <c r="S145" s="2">
        <v>2</v>
      </c>
      <c r="U145" s="2" t="str">
        <f t="shared" ca="1" si="31"/>
        <v>25</v>
      </c>
      <c r="V145" s="5" t="str">
        <f t="shared" ca="1" si="32"/>
        <v>Q_B</v>
      </c>
      <c r="W145" s="27" t="str">
        <f t="shared" ca="1" si="33"/>
        <v>175460426E4</v>
      </c>
      <c r="X145" s="28" t="s">
        <v>85</v>
      </c>
      <c r="Y145">
        <f t="shared" ca="1" si="34"/>
        <v>1.4580996127078834</v>
      </c>
      <c r="Z145"/>
      <c r="AA145" s="29">
        <f ca="1">Y145/$Y$87*Y45*Y46</f>
        <v>371.50051758071521</v>
      </c>
      <c r="AB145"/>
    </row>
    <row r="146" spans="5:28" x14ac:dyDescent="0.25">
      <c r="F146" s="1"/>
      <c r="R146" s="2">
        <f t="shared" si="36"/>
        <v>80</v>
      </c>
      <c r="S146" s="2">
        <v>3</v>
      </c>
      <c r="U146" s="2" t="str">
        <f t="shared" ca="1" si="31"/>
        <v>26</v>
      </c>
      <c r="V146" s="5" t="str">
        <f t="shared" ca="1" si="32"/>
        <v>Q_C</v>
      </c>
      <c r="W146" s="27" t="str">
        <f t="shared" ca="1" si="33"/>
        <v>0</v>
      </c>
      <c r="X146" s="28" t="s">
        <v>85</v>
      </c>
      <c r="Y146">
        <f t="shared" ca="1" si="34"/>
        <v>0</v>
      </c>
      <c r="Z146"/>
      <c r="AA146" s="29">
        <f ca="1">Y146/$Y$87*Y47*Y48</f>
        <v>0</v>
      </c>
      <c r="AB146"/>
    </row>
    <row r="147" spans="5:28" x14ac:dyDescent="0.25">
      <c r="F147" s="1"/>
      <c r="R147" s="2">
        <f t="shared" si="36"/>
        <v>80</v>
      </c>
      <c r="S147" s="2">
        <v>4</v>
      </c>
      <c r="U147" s="2" t="str">
        <f t="shared" ca="1" si="31"/>
        <v>27</v>
      </c>
      <c r="V147" s="5" t="str">
        <f t="shared" ca="1" si="32"/>
        <v>Q_A_F</v>
      </c>
      <c r="W147" s="27" t="str">
        <f t="shared" ca="1" si="33"/>
        <v>1769EF7FFC4</v>
      </c>
      <c r="X147" s="28" t="s">
        <v>85</v>
      </c>
      <c r="Y147">
        <f t="shared" ca="1" si="34"/>
        <v>1.4633631705692096</v>
      </c>
      <c r="Z147"/>
      <c r="AA147" s="29">
        <f ca="1">Y147/$Y$87*Y43*Y44</f>
        <v>372.84158814458937</v>
      </c>
      <c r="AB147"/>
    </row>
    <row r="148" spans="5:28" x14ac:dyDescent="0.25">
      <c r="F148" s="1"/>
      <c r="R148" s="2">
        <f t="shared" si="36"/>
        <v>82</v>
      </c>
      <c r="S148" s="2">
        <v>1</v>
      </c>
      <c r="U148" s="2" t="str">
        <f t="shared" ca="1" si="31"/>
        <v>28</v>
      </c>
      <c r="V148" s="5" t="str">
        <f t="shared" ca="1" si="32"/>
        <v>Q_B_F</v>
      </c>
      <c r="W148" s="27" t="str">
        <f t="shared" ca="1" si="33"/>
        <v>1755117F8CA</v>
      </c>
      <c r="X148" s="28" t="s">
        <v>85</v>
      </c>
      <c r="Y148">
        <f t="shared" ca="1" si="34"/>
        <v>1.4582686407466099</v>
      </c>
      <c r="Z148"/>
      <c r="AA148" s="29">
        <f ca="1">Y148/$Y$87*Y45*Y46</f>
        <v>371.54358322816847</v>
      </c>
      <c r="AB148"/>
    </row>
    <row r="149" spans="5:28" x14ac:dyDescent="0.25">
      <c r="F149" s="1"/>
      <c r="R149" s="2">
        <f t="shared" si="36"/>
        <v>82</v>
      </c>
      <c r="S149" s="2">
        <v>2</v>
      </c>
      <c r="U149" s="2" t="str">
        <f t="shared" ca="1" si="31"/>
        <v>29</v>
      </c>
      <c r="V149" s="5" t="str">
        <f t="shared" ca="1" si="32"/>
        <v>Q_C_F</v>
      </c>
      <c r="W149" s="27" t="str">
        <f t="shared" ca="1" si="33"/>
        <v>0</v>
      </c>
      <c r="X149" s="28" t="s">
        <v>85</v>
      </c>
      <c r="Y149">
        <f t="shared" ca="1" si="34"/>
        <v>0</v>
      </c>
      <c r="Z149"/>
      <c r="AA149" s="29">
        <f ca="1">Y149/$Y$87*Y47*Y48</f>
        <v>0</v>
      </c>
      <c r="AB149"/>
    </row>
    <row r="150" spans="5:28" x14ac:dyDescent="0.25">
      <c r="F150" s="1"/>
      <c r="R150" s="2">
        <f t="shared" si="36"/>
        <v>82</v>
      </c>
      <c r="S150" s="2">
        <v>3</v>
      </c>
      <c r="U150" s="2" t="str">
        <f t="shared" ref="U150:U174" ca="1" si="37">MID(INDIRECT(ADDRESS(R150,1)),(S150-1)*19+1,2)</f>
        <v>30</v>
      </c>
      <c r="V150" s="5" t="str">
        <f t="shared" ref="V150:V174" ca="1" si="38">TRIM(MID(INDIRECT(ADDRESS(R150,1)),(S150-1)*19+4,16))</f>
        <v>Q_N</v>
      </c>
      <c r="W150" s="27" t="str">
        <f t="shared" ca="1" si="33"/>
        <v>0</v>
      </c>
      <c r="X150" s="28" t="s">
        <v>84</v>
      </c>
      <c r="Y150">
        <f t="shared" ca="1" si="34"/>
        <v>0</v>
      </c>
      <c r="Z150"/>
      <c r="AA150" s="29">
        <f ca="1">Y150/$Y$87*Y44*Y47</f>
        <v>0</v>
      </c>
      <c r="AB150"/>
    </row>
    <row r="151" spans="5:28" x14ac:dyDescent="0.25">
      <c r="F151" s="103"/>
      <c r="R151" s="2">
        <f t="shared" si="36"/>
        <v>82</v>
      </c>
      <c r="S151" s="2">
        <v>4</v>
      </c>
      <c r="U151" s="2" t="str">
        <f t="shared" ca="1" si="37"/>
        <v>31</v>
      </c>
      <c r="V151" s="5" t="str">
        <f t="shared" ca="1" si="38"/>
        <v>Q_N_F</v>
      </c>
      <c r="W151" s="27" t="str">
        <f t="shared" ca="1" si="33"/>
        <v>0</v>
      </c>
      <c r="X151" s="28" t="s">
        <v>84</v>
      </c>
      <c r="Y151">
        <f t="shared" ca="1" si="34"/>
        <v>0</v>
      </c>
      <c r="Z151"/>
      <c r="AA151" s="29">
        <f ca="1">Y151/$Y$87*Y44*Y47</f>
        <v>0</v>
      </c>
      <c r="AB151"/>
    </row>
    <row r="152" spans="5:28" x14ac:dyDescent="0.25">
      <c r="R152" s="2">
        <f t="shared" si="36"/>
        <v>84</v>
      </c>
      <c r="S152" s="2">
        <v>1</v>
      </c>
      <c r="U152" s="2" t="str">
        <f t="shared" ca="1" si="37"/>
        <v>32</v>
      </c>
      <c r="V152" s="5" t="str">
        <f t="shared" ca="1" si="38"/>
        <v>RESERVED_A32</v>
      </c>
      <c r="W152" s="27" t="str">
        <f t="shared" ca="1" si="33"/>
        <v>0</v>
      </c>
      <c r="X152" s="28" t="s">
        <v>84</v>
      </c>
      <c r="Y152">
        <f t="shared" ca="1" si="34"/>
        <v>0</v>
      </c>
      <c r="Z152"/>
      <c r="AA152" s="29"/>
      <c r="AB152"/>
    </row>
    <row r="153" spans="5:28" x14ac:dyDescent="0.25">
      <c r="R153" s="2">
        <f t="shared" si="36"/>
        <v>84</v>
      </c>
      <c r="S153" s="2">
        <v>2</v>
      </c>
      <c r="U153" s="2" t="str">
        <f t="shared" ca="1" si="37"/>
        <v>33</v>
      </c>
      <c r="V153" s="5" t="str">
        <f t="shared" ca="1" si="38"/>
        <v>V_A</v>
      </c>
      <c r="W153" s="27" t="str">
        <f t="shared" ca="1" si="33"/>
        <v>4275A678D1CF</v>
      </c>
      <c r="X153" s="28" t="s">
        <v>82</v>
      </c>
      <c r="Y153">
        <f t="shared" ca="1" si="34"/>
        <v>66.459571410391618</v>
      </c>
      <c r="Z153"/>
      <c r="AA153" s="99">
        <f ca="1">SQRT(Y153/$Y$87)*Y44</f>
        <v>212.81186891831064</v>
      </c>
      <c r="AB153"/>
    </row>
    <row r="154" spans="5:28" x14ac:dyDescent="0.25">
      <c r="R154" s="2">
        <f t="shared" si="36"/>
        <v>84</v>
      </c>
      <c r="S154" s="2">
        <v>3</v>
      </c>
      <c r="U154" s="2" t="str">
        <f t="shared" ca="1" si="37"/>
        <v>34</v>
      </c>
      <c r="V154" s="5" t="str">
        <f t="shared" ca="1" si="38"/>
        <v>V_B</v>
      </c>
      <c r="W154" s="27" t="str">
        <f t="shared" ca="1" si="33"/>
        <v>427C334E36F2</v>
      </c>
      <c r="X154" s="28" t="s">
        <v>82</v>
      </c>
      <c r="Y154">
        <f t="shared" ca="1" si="34"/>
        <v>66.485157860197432</v>
      </c>
      <c r="Z154"/>
      <c r="AA154" s="99">
        <f ca="1">SQRT(Y154/$Y$87)*Y46</f>
        <v>212.85283048416576</v>
      </c>
      <c r="AB154"/>
    </row>
    <row r="155" spans="5:28" x14ac:dyDescent="0.25">
      <c r="E155" s="105"/>
      <c r="F155" s="1"/>
      <c r="R155" s="2">
        <f t="shared" si="36"/>
        <v>84</v>
      </c>
      <c r="S155" s="2">
        <v>4</v>
      </c>
      <c r="U155" s="2" t="str">
        <f t="shared" ca="1" si="37"/>
        <v>35</v>
      </c>
      <c r="V155" s="5" t="str">
        <f t="shared" ca="1" si="38"/>
        <v>V_C</v>
      </c>
      <c r="W155" s="27" t="str">
        <f t="shared" ca="1" si="33"/>
        <v>0</v>
      </c>
      <c r="X155" s="28" t="s">
        <v>82</v>
      </c>
      <c r="Y155">
        <f ca="1">(HEX2DEC(LEFT(REPT("0",16-LEN(W155))&amp;W155,10))*16^6+HEX2DEC(RIGHT(W155,6)))/2^(0+MID(X155,FIND(".",X155)+1,2))</f>
        <v>0</v>
      </c>
      <c r="Z155"/>
      <c r="AA155" s="99">
        <f ca="1">SQRT(Y155/$Y$87)*Y48</f>
        <v>0</v>
      </c>
      <c r="AB155"/>
    </row>
    <row r="156" spans="5:28" x14ac:dyDescent="0.25">
      <c r="E156" s="105"/>
      <c r="F156" s="1"/>
      <c r="R156" s="2">
        <f t="shared" si="36"/>
        <v>86</v>
      </c>
      <c r="S156" s="2">
        <v>1</v>
      </c>
      <c r="U156" s="2" t="str">
        <f t="shared" ca="1" si="37"/>
        <v>36</v>
      </c>
      <c r="V156" s="5" t="str">
        <f t="shared" ca="1" si="38"/>
        <v>RESERVED_A36</v>
      </c>
      <c r="W156" s="27" t="str">
        <f t="shared" ca="1" si="33"/>
        <v>0</v>
      </c>
      <c r="X156" s="28" t="s">
        <v>84</v>
      </c>
      <c r="Y156">
        <f t="shared" ca="1" si="34"/>
        <v>0</v>
      </c>
      <c r="Z156"/>
      <c r="AA156" s="29"/>
      <c r="AB156"/>
    </row>
    <row r="157" spans="5:28" x14ac:dyDescent="0.25">
      <c r="E157" s="105"/>
      <c r="F157" s="1"/>
      <c r="R157" s="2">
        <f t="shared" si="36"/>
        <v>86</v>
      </c>
      <c r="S157" s="2">
        <v>2</v>
      </c>
      <c r="U157" s="2" t="str">
        <f t="shared" ca="1" si="37"/>
        <v>37</v>
      </c>
      <c r="V157" s="5" t="str">
        <f t="shared" ca="1" si="38"/>
        <v>V_A_F</v>
      </c>
      <c r="W157" s="27" t="str">
        <f t="shared" ca="1" si="33"/>
        <v>427502F8C4BF</v>
      </c>
      <c r="X157" s="28" t="s">
        <v>82</v>
      </c>
      <c r="Y157">
        <f t="shared" ca="1" si="34"/>
        <v>66.457076595338549</v>
      </c>
      <c r="Z157"/>
      <c r="AA157" s="99">
        <f ca="1">SQRT(Y157/$Y$87)*Y44</f>
        <v>212.80787452573881</v>
      </c>
      <c r="AB157"/>
    </row>
    <row r="158" spans="5:28" x14ac:dyDescent="0.25">
      <c r="E158" s="105"/>
      <c r="F158" s="1"/>
      <c r="R158" s="2">
        <f t="shared" si="36"/>
        <v>86</v>
      </c>
      <c r="S158" s="2">
        <v>3</v>
      </c>
      <c r="U158" s="2" t="str">
        <f t="shared" ca="1" si="37"/>
        <v>38</v>
      </c>
      <c r="V158" s="5" t="str">
        <f t="shared" ca="1" si="38"/>
        <v>V_B_F</v>
      </c>
      <c r="W158" s="27" t="str">
        <f t="shared" ca="1" si="33"/>
        <v>427B7FCD6F6A</v>
      </c>
      <c r="X158" s="28" t="s">
        <v>82</v>
      </c>
      <c r="Y158">
        <f t="shared" ca="1" si="34"/>
        <v>66.482418861103724</v>
      </c>
      <c r="Z158"/>
      <c r="AA158" s="99">
        <f ca="1">SQRT(Y158/$Y$87)*Y46</f>
        <v>212.84844597389909</v>
      </c>
      <c r="AB158"/>
    </row>
    <row r="159" spans="5:28" x14ac:dyDescent="0.25">
      <c r="E159" s="105"/>
      <c r="F159" s="1"/>
      <c r="R159" s="2">
        <f t="shared" si="36"/>
        <v>86</v>
      </c>
      <c r="S159" s="2">
        <v>4</v>
      </c>
      <c r="U159" s="2" t="str">
        <f t="shared" ca="1" si="37"/>
        <v>39</v>
      </c>
      <c r="V159" s="5" t="str">
        <f t="shared" ca="1" si="38"/>
        <v>V_C_F</v>
      </c>
      <c r="W159" s="27" t="str">
        <f t="shared" ca="1" si="33"/>
        <v>0</v>
      </c>
      <c r="X159" s="28" t="s">
        <v>82</v>
      </c>
      <c r="Y159">
        <f ca="1">(HEX2DEC(LEFT(REPT("0",16-LEN(W159))&amp;W159,10))*16^6+HEX2DEC(RIGHT(W159,6)))/2^(0+MID(X159,FIND(".",X159)+1,2))</f>
        <v>0</v>
      </c>
      <c r="Z159"/>
      <c r="AA159" s="99">
        <f ca="1">SQRT(Y159/$Y$87)*Y48</f>
        <v>0</v>
      </c>
      <c r="AB159"/>
    </row>
    <row r="160" spans="5:28" x14ac:dyDescent="0.25">
      <c r="E160" s="105"/>
      <c r="F160" s="1"/>
      <c r="R160" s="2">
        <f t="shared" si="36"/>
        <v>88</v>
      </c>
      <c r="S160" s="2">
        <v>1</v>
      </c>
      <c r="U160" s="2" t="str">
        <f t="shared" ca="1" si="37"/>
        <v>40</v>
      </c>
      <c r="V160" s="5" t="str">
        <f t="shared" ca="1" si="38"/>
        <v>RESERVED_A40</v>
      </c>
      <c r="W160" s="27" t="str">
        <f t="shared" ca="1" si="33"/>
        <v>0</v>
      </c>
      <c r="X160" s="28" t="s">
        <v>84</v>
      </c>
      <c r="Y160">
        <f t="shared" ca="1" si="34"/>
        <v>0</v>
      </c>
      <c r="Z160"/>
      <c r="AA160" s="29"/>
      <c r="AB160"/>
    </row>
    <row r="161" spans="6:28" x14ac:dyDescent="0.25">
      <c r="F161" s="1"/>
      <c r="R161" s="2">
        <f t="shared" si="36"/>
        <v>88</v>
      </c>
      <c r="S161" s="2">
        <v>2</v>
      </c>
      <c r="U161" s="2" t="str">
        <f t="shared" ca="1" si="37"/>
        <v>41</v>
      </c>
      <c r="V161" s="5" t="str">
        <f t="shared" ca="1" si="38"/>
        <v>V_AB</v>
      </c>
      <c r="W161" s="27" t="str">
        <f t="shared" ca="1" si="33"/>
        <v>C7CA5A0254E2</v>
      </c>
      <c r="X161" s="28" t="s">
        <v>82</v>
      </c>
      <c r="Y161">
        <f t="shared" ca="1" si="34"/>
        <v>199.79043592998823</v>
      </c>
      <c r="Z161"/>
      <c r="AA161" s="99">
        <f ca="1">SQRT(Y161/$Y$87)*Y44</f>
        <v>368.98135794657628</v>
      </c>
      <c r="AB161" s="104">
        <f ca="1">ACOS((Y161-Y153-Y154)/(-2*SQRT(Y153*Y154)))*180/PI()</f>
        <v>120.18596750624167</v>
      </c>
    </row>
    <row r="162" spans="6:28" x14ac:dyDescent="0.25">
      <c r="F162" s="1"/>
      <c r="R162" s="2">
        <f t="shared" si="36"/>
        <v>88</v>
      </c>
      <c r="S162" s="2">
        <v>3</v>
      </c>
      <c r="U162" s="2" t="str">
        <f t="shared" ca="1" si="37"/>
        <v>42</v>
      </c>
      <c r="V162" s="5" t="str">
        <f t="shared" ca="1" si="38"/>
        <v>V_BC</v>
      </c>
      <c r="W162" s="27" t="str">
        <f t="shared" ca="1" si="33"/>
        <v>427C334E36F2</v>
      </c>
      <c r="X162" s="28" t="s">
        <v>82</v>
      </c>
      <c r="Y162">
        <f t="shared" ca="1" si="34"/>
        <v>66.485157860197432</v>
      </c>
      <c r="Z162"/>
      <c r="AA162" s="99">
        <f ca="1">SQRT(Y162/$Y$87)*Y46</f>
        <v>212.85283048416576</v>
      </c>
      <c r="AB162" s="106"/>
    </row>
    <row r="163" spans="6:28" x14ac:dyDescent="0.25">
      <c r="F163" s="1"/>
      <c r="R163" s="2">
        <f t="shared" si="36"/>
        <v>88</v>
      </c>
      <c r="S163" s="2">
        <v>4</v>
      </c>
      <c r="U163" s="2" t="str">
        <f t="shared" ca="1" si="37"/>
        <v>43</v>
      </c>
      <c r="V163" s="5" t="str">
        <f t="shared" ca="1" si="38"/>
        <v>V_CA</v>
      </c>
      <c r="W163" s="27" t="str">
        <f t="shared" ca="1" si="33"/>
        <v>4275A678D1CF</v>
      </c>
      <c r="X163" s="28" t="s">
        <v>82</v>
      </c>
      <c r="Y163">
        <f t="shared" ca="1" si="34"/>
        <v>66.459571410391618</v>
      </c>
      <c r="Z163"/>
      <c r="AA163" s="99">
        <f ca="1">SQRT(Y163/$Y$87)*Y48</f>
        <v>212.81186891831064</v>
      </c>
      <c r="AB163" s="107" t="e">
        <f ca="1">ACOS((Y163-Y155-Y153)/(-2*SQRT(Y155*Y153)))*180/PI()</f>
        <v>#DIV/0!</v>
      </c>
    </row>
    <row r="164" spans="6:28" x14ac:dyDescent="0.25">
      <c r="F164" s="1"/>
      <c r="R164" s="2">
        <f t="shared" si="36"/>
        <v>90</v>
      </c>
      <c r="S164" s="2">
        <v>1</v>
      </c>
      <c r="U164" s="2" t="str">
        <f t="shared" ca="1" si="37"/>
        <v>44</v>
      </c>
      <c r="V164" s="5" t="str">
        <f t="shared" ca="1" si="38"/>
        <v>V_AB_F</v>
      </c>
      <c r="W164" s="27" t="str">
        <f t="shared" ca="1" si="33"/>
        <v>C7C8687AEF8C</v>
      </c>
      <c r="X164" s="28" t="s">
        <v>82</v>
      </c>
      <c r="Y164">
        <f t="shared" ca="1" si="34"/>
        <v>199.78284424160302</v>
      </c>
      <c r="Z164"/>
      <c r="AA164" s="99">
        <f ca="1">SQRT(Y164/$Y$87)*Y44</f>
        <v>368.97434755569583</v>
      </c>
      <c r="AB164" s="104">
        <f ca="1">ACOS((Y164-Y157-Y158)/(-2*SQRT(Y157*Y158)))*180/PI()</f>
        <v>120.18610397759956</v>
      </c>
    </row>
    <row r="165" spans="6:28" x14ac:dyDescent="0.25">
      <c r="F165" s="1"/>
      <c r="R165" s="2">
        <f t="shared" si="36"/>
        <v>90</v>
      </c>
      <c r="S165" s="2">
        <v>2</v>
      </c>
      <c r="U165" s="2" t="str">
        <f t="shared" ca="1" si="37"/>
        <v>45</v>
      </c>
      <c r="V165" s="5" t="str">
        <f t="shared" ca="1" si="38"/>
        <v>V_BC_F</v>
      </c>
      <c r="W165" s="27" t="str">
        <f t="shared" ca="1" si="33"/>
        <v>427B7FCD6F6A</v>
      </c>
      <c r="X165" s="28" t="s">
        <v>82</v>
      </c>
      <c r="Y165">
        <f t="shared" ca="1" si="34"/>
        <v>66.482418861103724</v>
      </c>
      <c r="Z165"/>
      <c r="AA165" s="99">
        <f ca="1">SQRT(Y165/$Y$87)*Y46</f>
        <v>212.84844597389909</v>
      </c>
      <c r="AB165" s="106"/>
    </row>
    <row r="166" spans="6:28" x14ac:dyDescent="0.25">
      <c r="F166" s="1"/>
      <c r="R166" s="2">
        <f t="shared" si="36"/>
        <v>90</v>
      </c>
      <c r="S166" s="2">
        <v>3</v>
      </c>
      <c r="U166" s="2" t="str">
        <f t="shared" ca="1" si="37"/>
        <v>46</v>
      </c>
      <c r="V166" s="5" t="str">
        <f t="shared" ca="1" si="38"/>
        <v>V_CA_F</v>
      </c>
      <c r="W166" s="27" t="str">
        <f t="shared" ca="1" si="33"/>
        <v>427502F8C4BF</v>
      </c>
      <c r="X166" s="28" t="s">
        <v>82</v>
      </c>
      <c r="Y166">
        <f t="shared" ca="1" si="34"/>
        <v>66.457076595338549</v>
      </c>
      <c r="Z166"/>
      <c r="AA166" s="99">
        <f ca="1">SQRT(Y166/$Y$87)*Y48</f>
        <v>212.80787452573881</v>
      </c>
      <c r="AB166" s="107" t="e">
        <f ca="1">ACOS((Y166-Y159-Y157)/(-2*SQRT(Y159*Y157)))*180/PI()</f>
        <v>#DIV/0!</v>
      </c>
    </row>
    <row r="167" spans="6:28" x14ac:dyDescent="0.25">
      <c r="F167" s="1"/>
      <c r="R167" s="2">
        <f t="shared" si="36"/>
        <v>90</v>
      </c>
      <c r="S167" s="2">
        <v>4</v>
      </c>
      <c r="U167" s="2" t="str">
        <f t="shared" ca="1" si="37"/>
        <v>47</v>
      </c>
      <c r="V167" s="5" t="str">
        <f t="shared" ca="1" si="38"/>
        <v>RESERVED_A47</v>
      </c>
      <c r="W167" s="27" t="str">
        <f t="shared" ca="1" si="33"/>
        <v>0</v>
      </c>
      <c r="X167" s="28" t="s">
        <v>84</v>
      </c>
      <c r="Y167">
        <f t="shared" ca="1" si="34"/>
        <v>0</v>
      </c>
      <c r="Z167"/>
      <c r="AA167" s="29"/>
      <c r="AB167"/>
    </row>
    <row r="168" spans="6:28" x14ac:dyDescent="0.25">
      <c r="F168" s="1"/>
      <c r="R168" s="2">
        <f t="shared" si="36"/>
        <v>92</v>
      </c>
      <c r="S168" s="2">
        <v>1</v>
      </c>
      <c r="U168" s="2" t="str">
        <f t="shared" ca="1" si="37"/>
        <v>48</v>
      </c>
      <c r="V168" s="5" t="str">
        <f t="shared" ca="1" si="38"/>
        <v>RESERVED_A48</v>
      </c>
      <c r="W168" s="27" t="str">
        <f t="shared" ca="1" si="33"/>
        <v>0</v>
      </c>
      <c r="X168" s="28" t="s">
        <v>84</v>
      </c>
      <c r="Y168">
        <f t="shared" ca="1" si="34"/>
        <v>0</v>
      </c>
      <c r="Z168"/>
      <c r="AA168" s="29"/>
      <c r="AB168"/>
    </row>
    <row r="169" spans="6:28" x14ac:dyDescent="0.25">
      <c r="F169" s="1"/>
      <c r="R169" s="2">
        <f t="shared" si="36"/>
        <v>92</v>
      </c>
      <c r="S169" s="2">
        <v>2</v>
      </c>
      <c r="U169" s="2" t="str">
        <f t="shared" ca="1" si="37"/>
        <v>49</v>
      </c>
      <c r="V169" s="5" t="str">
        <f t="shared" ca="1" si="38"/>
        <v>RESERVED_A49</v>
      </c>
      <c r="W169" s="27" t="str">
        <f t="shared" ca="1" si="33"/>
        <v>0</v>
      </c>
      <c r="X169" s="28" t="s">
        <v>84</v>
      </c>
      <c r="Y169">
        <f t="shared" ca="1" si="34"/>
        <v>0</v>
      </c>
      <c r="Z169"/>
      <c r="AA169" s="29"/>
      <c r="AB169"/>
    </row>
    <row r="170" spans="6:28" x14ac:dyDescent="0.25">
      <c r="F170" s="1"/>
      <c r="R170" s="2">
        <f t="shared" si="36"/>
        <v>92</v>
      </c>
      <c r="S170" s="2">
        <v>3</v>
      </c>
      <c r="U170" s="2" t="str">
        <f t="shared" ca="1" si="37"/>
        <v>50</v>
      </c>
      <c r="V170" s="5" t="str">
        <f t="shared" ca="1" si="38"/>
        <v>ACC_T0</v>
      </c>
      <c r="W170" s="27" t="str">
        <f t="shared" ca="1" si="33"/>
        <v>D71E8610B</v>
      </c>
      <c r="X170" s="28" t="s">
        <v>86</v>
      </c>
      <c r="Y170">
        <f t="shared" ca="1" si="34"/>
        <v>53.779808293096721</v>
      </c>
      <c r="Z170"/>
      <c r="AA170" s="29"/>
      <c r="AB170"/>
    </row>
    <row r="171" spans="6:28" x14ac:dyDescent="0.25">
      <c r="F171" s="1"/>
      <c r="R171" s="2">
        <f t="shared" si="36"/>
        <v>92</v>
      </c>
      <c r="S171" s="2">
        <v>4</v>
      </c>
      <c r="U171" s="2" t="str">
        <f t="shared" ca="1" si="37"/>
        <v>51</v>
      </c>
      <c r="V171" s="5" t="str">
        <f t="shared" ca="1" si="38"/>
        <v>ACC_T1</v>
      </c>
      <c r="W171" s="27" t="str">
        <f t="shared" ca="1" si="33"/>
        <v>1725DBC879</v>
      </c>
      <c r="X171" s="28" t="s">
        <v>86</v>
      </c>
      <c r="Y171">
        <f t="shared" ca="1" si="34"/>
        <v>92.591539495624602</v>
      </c>
      <c r="Z171"/>
      <c r="AA171" s="29"/>
      <c r="AB171"/>
    </row>
    <row r="172" spans="6:28" x14ac:dyDescent="0.25">
      <c r="F172" s="1"/>
      <c r="R172" s="2">
        <f t="shared" si="36"/>
        <v>94</v>
      </c>
      <c r="S172" s="2">
        <v>1</v>
      </c>
      <c r="U172" s="2" t="str">
        <f t="shared" ca="1" si="37"/>
        <v>52</v>
      </c>
      <c r="V172" s="5" t="str">
        <f t="shared" ca="1" si="38"/>
        <v>ACC_T2</v>
      </c>
      <c r="W172" s="27" t="str">
        <f t="shared" ca="1" si="33"/>
        <v>0</v>
      </c>
      <c r="X172" s="28" t="s">
        <v>86</v>
      </c>
      <c r="Y172">
        <f t="shared" ca="1" si="34"/>
        <v>0</v>
      </c>
      <c r="Z172"/>
      <c r="AA172" s="29"/>
      <c r="AB172"/>
    </row>
    <row r="173" spans="6:28" x14ac:dyDescent="0.25">
      <c r="F173" s="1"/>
      <c r="R173" s="2">
        <f t="shared" si="36"/>
        <v>94</v>
      </c>
      <c r="S173" s="2">
        <v>2</v>
      </c>
      <c r="U173" s="2" t="str">
        <f t="shared" ca="1" si="37"/>
        <v>53</v>
      </c>
      <c r="V173" s="5" t="str">
        <f t="shared" ca="1" si="38"/>
        <v>RESERVED_A53</v>
      </c>
      <c r="W173" s="27" t="str">
        <f t="shared" ca="1" si="33"/>
        <v>0</v>
      </c>
      <c r="X173" s="28" t="s">
        <v>84</v>
      </c>
      <c r="Y173">
        <f t="shared" ca="1" si="34"/>
        <v>0</v>
      </c>
      <c r="Z173"/>
      <c r="AA173" s="29"/>
      <c r="AB173"/>
    </row>
    <row r="174" spans="6:28" x14ac:dyDescent="0.25">
      <c r="F174" s="1"/>
      <c r="R174" s="2">
        <f t="shared" si="36"/>
        <v>94</v>
      </c>
      <c r="S174" s="2">
        <v>3</v>
      </c>
      <c r="U174" s="2" t="str">
        <f t="shared" ca="1" si="37"/>
        <v>54</v>
      </c>
      <c r="V174" s="5" t="str">
        <f t="shared" ca="1" si="38"/>
        <v>RESERVED_A54</v>
      </c>
      <c r="W174" s="27" t="str">
        <f t="shared" ca="1" si="33"/>
        <v>0</v>
      </c>
      <c r="X174" s="28" t="s">
        <v>84</v>
      </c>
      <c r="Y174">
        <f t="shared" ca="1" si="34"/>
        <v>0</v>
      </c>
      <c r="Z174"/>
      <c r="AA174" s="29"/>
      <c r="AB174"/>
    </row>
    <row r="175" spans="6:28" x14ac:dyDescent="0.25">
      <c r="F175" s="1"/>
      <c r="U175" s="2"/>
      <c r="V175" s="5"/>
      <c r="W175" s="27"/>
      <c r="X175" s="28"/>
      <c r="Y175"/>
      <c r="Z175"/>
      <c r="AA175" s="29"/>
      <c r="AB175"/>
    </row>
    <row r="176" spans="6:28" x14ac:dyDescent="0.25">
      <c r="F176" s="1"/>
      <c r="U176" s="2"/>
      <c r="V176" s="5"/>
      <c r="W176" s="27"/>
      <c r="X176" s="28"/>
      <c r="Y176"/>
      <c r="Z176"/>
      <c r="AA176" s="29"/>
      <c r="AB176"/>
    </row>
    <row r="177" spans="1:6" x14ac:dyDescent="0.25">
      <c r="F177" s="1"/>
    </row>
    <row r="178" spans="1:6" x14ac:dyDescent="0.25">
      <c r="F178" s="1"/>
    </row>
    <row r="179" spans="1:6" x14ac:dyDescent="0.25">
      <c r="F179" s="1"/>
    </row>
    <row r="180" spans="1:6" x14ac:dyDescent="0.25">
      <c r="F180" s="1"/>
    </row>
    <row r="181" spans="1:6" x14ac:dyDescent="0.25">
      <c r="F181" s="1"/>
    </row>
    <row r="182" spans="1:6" x14ac:dyDescent="0.25">
      <c r="F182" s="1"/>
    </row>
    <row r="183" spans="1:6" x14ac:dyDescent="0.25">
      <c r="F183" s="1"/>
    </row>
    <row r="184" spans="1:6" x14ac:dyDescent="0.25">
      <c r="F184" s="1"/>
    </row>
    <row r="185" spans="1:6" x14ac:dyDescent="0.25">
      <c r="F185" s="1"/>
    </row>
    <row r="186" spans="1:6" x14ac:dyDescent="0.25">
      <c r="F186" s="1"/>
    </row>
    <row r="187" spans="1:6" x14ac:dyDescent="0.25">
      <c r="F187" s="1"/>
    </row>
    <row r="188" spans="1:6" x14ac:dyDescent="0.25">
      <c r="F188" s="1"/>
    </row>
    <row r="189" spans="1:6" x14ac:dyDescent="0.25">
      <c r="F189" s="1"/>
    </row>
    <row r="190" spans="1:6" x14ac:dyDescent="0.25">
      <c r="F190" s="1"/>
    </row>
    <row r="191" spans="1:6" x14ac:dyDescent="0.25">
      <c r="A191" s="1" t="s">
        <v>57</v>
      </c>
      <c r="F191" s="1"/>
    </row>
    <row r="220" spans="1:1" x14ac:dyDescent="0.25">
      <c r="A220" s="1" t="s">
        <v>87</v>
      </c>
    </row>
    <row r="221" spans="1:1" x14ac:dyDescent="0.25">
      <c r="A221" s="1" t="s">
        <v>59</v>
      </c>
    </row>
    <row r="222" spans="1:1" x14ac:dyDescent="0.25">
      <c r="A222" s="1" t="s">
        <v>88</v>
      </c>
    </row>
    <row r="223" spans="1:1" x14ac:dyDescent="0.25">
      <c r="A223" s="1" t="s">
        <v>60</v>
      </c>
    </row>
    <row r="224" spans="1:1" x14ac:dyDescent="0.25">
      <c r="A224" s="1" t="s">
        <v>89</v>
      </c>
    </row>
    <row r="225" spans="1:1" x14ac:dyDescent="0.25">
      <c r="A225" s="1" t="s">
        <v>90</v>
      </c>
    </row>
    <row r="226" spans="1:1" x14ac:dyDescent="0.25">
      <c r="A226" s="1" t="s">
        <v>91</v>
      </c>
    </row>
    <row r="227" spans="1:1" x14ac:dyDescent="0.25">
      <c r="A227" s="1" t="s">
        <v>63</v>
      </c>
    </row>
    <row r="228" spans="1:1" x14ac:dyDescent="0.25">
      <c r="A228" s="1" t="s">
        <v>92</v>
      </c>
    </row>
    <row r="229" spans="1:1" x14ac:dyDescent="0.25">
      <c r="A229" s="1" t="s">
        <v>64</v>
      </c>
    </row>
    <row r="230" spans="1:1" x14ac:dyDescent="0.25">
      <c r="A230" s="1" t="s">
        <v>93</v>
      </c>
    </row>
    <row r="231" spans="1:1" x14ac:dyDescent="0.25">
      <c r="A231" s="1" t="s">
        <v>94</v>
      </c>
    </row>
    <row r="232" spans="1:1" x14ac:dyDescent="0.25">
      <c r="A232" s="1" t="s">
        <v>95</v>
      </c>
    </row>
    <row r="233" spans="1:1" x14ac:dyDescent="0.25">
      <c r="A233" s="1" t="s">
        <v>96</v>
      </c>
    </row>
    <row r="234" spans="1:1" x14ac:dyDescent="0.25">
      <c r="A234" s="1" t="s">
        <v>97</v>
      </c>
    </row>
    <row r="235" spans="1:1" x14ac:dyDescent="0.25">
      <c r="A235" s="1" t="s">
        <v>98</v>
      </c>
    </row>
    <row r="236" spans="1:1" x14ac:dyDescent="0.25">
      <c r="A236" s="1" t="s">
        <v>99</v>
      </c>
    </row>
    <row r="237" spans="1:1" x14ac:dyDescent="0.25">
      <c r="A237" s="1" t="s">
        <v>67</v>
      </c>
    </row>
    <row r="238" spans="1:1" x14ac:dyDescent="0.25">
      <c r="A238" s="1" t="s">
        <v>100</v>
      </c>
    </row>
  </sheetData>
  <mergeCells count="4">
    <mergeCell ref="A2:A4"/>
    <mergeCell ref="I3:K4"/>
    <mergeCell ref="H17:J17"/>
    <mergeCell ref="H18:K18"/>
  </mergeCells>
  <pageMargins left="0.7" right="0.7" top="0.75" bottom="0.75" header="0.3" footer="0.3"/>
  <pageSetup scale="7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43618-4CC5-4C12-AF96-D5274BEC8A62}">
  <sheetPr>
    <pageSetUpPr fitToPage="1"/>
  </sheetPr>
  <dimension ref="B1:V47"/>
  <sheetViews>
    <sheetView topLeftCell="A10" zoomScaleNormal="100" workbookViewId="0">
      <selection activeCell="E33" sqref="E33"/>
    </sheetView>
  </sheetViews>
  <sheetFormatPr defaultRowHeight="15" x14ac:dyDescent="0.25"/>
  <cols>
    <col min="2" max="2" width="22.7109375" style="5" customWidth="1"/>
    <col min="3" max="3" width="24.42578125" customWidth="1"/>
    <col min="4" max="4" width="22.28515625" customWidth="1"/>
    <col min="5" max="5" width="23.7109375" customWidth="1"/>
    <col min="6" max="6" width="45.5703125" customWidth="1"/>
    <col min="7" max="7" width="31.42578125" customWidth="1"/>
    <col min="8" max="8" width="18.7109375" customWidth="1"/>
    <col min="9" max="9" width="17.85546875" customWidth="1"/>
    <col min="10" max="10" width="9" customWidth="1"/>
    <col min="11" max="11" width="14.140625" customWidth="1"/>
    <col min="12" max="12" width="11.28515625" bestFit="1" customWidth="1"/>
    <col min="14" max="14" width="14.85546875" customWidth="1"/>
    <col min="16" max="16" width="19.85546875" customWidth="1"/>
    <col min="17" max="17" width="13.85546875" customWidth="1"/>
    <col min="18" max="18" width="15.7109375" customWidth="1"/>
  </cols>
  <sheetData>
    <row r="1" spans="2:22" ht="23.25" x14ac:dyDescent="0.35">
      <c r="B1" s="131" t="s">
        <v>216</v>
      </c>
      <c r="H1" s="154"/>
      <c r="I1" s="154"/>
      <c r="J1" s="154"/>
      <c r="K1" s="154"/>
      <c r="L1" s="154"/>
      <c r="M1" s="154"/>
      <c r="N1" s="154"/>
      <c r="O1" s="154"/>
      <c r="P1" s="128"/>
      <c r="Q1" s="128"/>
      <c r="R1" s="128"/>
      <c r="S1" s="128"/>
      <c r="T1" s="128"/>
    </row>
    <row r="2" spans="2:22" ht="18.75" x14ac:dyDescent="0.3">
      <c r="B2" s="6" t="s">
        <v>162</v>
      </c>
      <c r="D2" s="6"/>
      <c r="H2" s="127"/>
      <c r="I2" s="127"/>
      <c r="J2" s="127"/>
      <c r="K2" s="127"/>
      <c r="L2" s="127"/>
      <c r="M2" s="127"/>
      <c r="N2" s="127"/>
      <c r="P2" s="128"/>
      <c r="Q2" s="154"/>
      <c r="R2" s="154"/>
      <c r="S2" s="154"/>
      <c r="T2" s="154"/>
    </row>
    <row r="3" spans="2:22" ht="18.75" x14ac:dyDescent="0.3">
      <c r="B3" s="6" t="s">
        <v>184</v>
      </c>
      <c r="D3" s="6"/>
      <c r="H3" s="127"/>
      <c r="I3" s="127"/>
      <c r="J3" s="127"/>
      <c r="K3" s="127"/>
      <c r="L3" s="127"/>
      <c r="M3" s="127"/>
      <c r="N3" s="127"/>
      <c r="P3" s="128"/>
      <c r="Q3" s="154"/>
      <c r="R3" s="154"/>
      <c r="S3" s="154"/>
      <c r="T3" s="154"/>
    </row>
    <row r="4" spans="2:22" ht="18.75" x14ac:dyDescent="0.3">
      <c r="B4" s="134" t="s">
        <v>163</v>
      </c>
      <c r="D4" s="6"/>
      <c r="H4" s="127"/>
      <c r="I4" s="127"/>
      <c r="J4" s="127"/>
      <c r="K4" s="127"/>
      <c r="L4" s="127"/>
      <c r="M4" s="127"/>
      <c r="N4" s="127"/>
      <c r="P4" s="129"/>
      <c r="Q4" s="129"/>
      <c r="R4" s="129"/>
      <c r="S4" s="129"/>
      <c r="T4" s="129"/>
    </row>
    <row r="5" spans="2:22" ht="18.75" x14ac:dyDescent="0.3">
      <c r="B5" s="134" t="s">
        <v>183</v>
      </c>
      <c r="D5" s="6"/>
      <c r="H5" s="127"/>
      <c r="I5" s="127"/>
      <c r="J5" s="127"/>
      <c r="K5" s="127"/>
      <c r="L5" s="127"/>
      <c r="M5" s="127"/>
      <c r="N5" s="127"/>
      <c r="P5" s="129"/>
      <c r="Q5" s="129"/>
      <c r="R5" s="129"/>
      <c r="S5" s="129"/>
      <c r="T5" s="129"/>
    </row>
    <row r="6" spans="2:22" ht="18.75" x14ac:dyDescent="0.3">
      <c r="B6" s="134"/>
      <c r="D6" s="6"/>
      <c r="H6" s="127"/>
      <c r="I6" s="127"/>
      <c r="J6" s="127"/>
      <c r="K6" s="127"/>
      <c r="L6" s="127"/>
      <c r="M6" s="127"/>
      <c r="N6" s="127"/>
      <c r="P6" s="129"/>
      <c r="Q6" s="129"/>
      <c r="R6" s="129"/>
      <c r="S6" s="129"/>
      <c r="T6" s="129"/>
    </row>
    <row r="7" spans="2:22" ht="18.75" x14ac:dyDescent="0.3">
      <c r="B7" s="6" t="s">
        <v>165</v>
      </c>
      <c r="D7" s="6"/>
      <c r="H7" s="127"/>
      <c r="I7" s="127"/>
      <c r="J7" s="127"/>
      <c r="K7" s="127"/>
      <c r="L7" s="127"/>
      <c r="M7" s="127"/>
      <c r="N7" s="127"/>
      <c r="P7" s="129"/>
      <c r="Q7" s="129"/>
      <c r="R7" s="129"/>
      <c r="S7" s="129"/>
      <c r="T7" s="129"/>
    </row>
    <row r="8" spans="2:22" ht="19.5" thickBot="1" x14ac:dyDescent="0.35">
      <c r="B8" s="134" t="s">
        <v>164</v>
      </c>
      <c r="D8" s="6"/>
      <c r="P8" s="129"/>
      <c r="Q8" s="129"/>
      <c r="R8" s="129"/>
      <c r="S8" s="129"/>
      <c r="T8" s="129"/>
    </row>
    <row r="9" spans="2:22" ht="15.75" customHeight="1" thickBot="1" x14ac:dyDescent="0.3">
      <c r="B9" s="132" t="s">
        <v>113</v>
      </c>
      <c r="C9" s="139" t="s">
        <v>172</v>
      </c>
      <c r="D9" s="139" t="s">
        <v>173</v>
      </c>
      <c r="E9" s="139" t="s">
        <v>174</v>
      </c>
      <c r="F9" s="132" t="s">
        <v>178</v>
      </c>
      <c r="G9" s="132" t="s">
        <v>188</v>
      </c>
      <c r="H9" s="132" t="s">
        <v>112</v>
      </c>
      <c r="I9" s="132" t="s">
        <v>193</v>
      </c>
      <c r="J9" s="132" t="s">
        <v>112</v>
      </c>
      <c r="K9" s="132" t="s">
        <v>195</v>
      </c>
      <c r="L9" s="132" t="s">
        <v>112</v>
      </c>
    </row>
    <row r="10" spans="2:22" ht="15.75" customHeight="1" thickBot="1" x14ac:dyDescent="0.3">
      <c r="B10" s="133" t="s">
        <v>175</v>
      </c>
      <c r="C10" s="155">
        <v>3200</v>
      </c>
      <c r="D10" s="156">
        <v>3200</v>
      </c>
      <c r="E10" s="137" t="str">
        <f>"DCW[9]("&amp; DEC2HEX(ROUND(1000*2^24/C10,0)) &amp;")"</f>
        <v>DCW[9](500000)</v>
      </c>
      <c r="F10" s="210" t="s">
        <v>207</v>
      </c>
      <c r="G10" s="163"/>
      <c r="H10" s="163"/>
      <c r="I10" s="163"/>
      <c r="J10" s="163"/>
      <c r="K10" s="163"/>
      <c r="L10" s="163"/>
    </row>
    <row r="11" spans="2:22" ht="15.75" customHeight="1" thickBot="1" x14ac:dyDescent="0.3">
      <c r="B11" s="133" t="s">
        <v>176</v>
      </c>
      <c r="C11" s="159">
        <v>3200</v>
      </c>
      <c r="D11" s="160">
        <v>3200</v>
      </c>
      <c r="E11" s="137" t="str">
        <f>"DCW[10]("&amp; DEC2HEX(ROUND(1000*2^24/C11,0)) &amp;")"</f>
        <v>DCW[10](500000)</v>
      </c>
      <c r="F11" s="211"/>
      <c r="G11" s="163"/>
      <c r="H11" s="163"/>
      <c r="I11" s="163"/>
      <c r="J11" s="163"/>
      <c r="K11" s="163"/>
      <c r="L11" s="163"/>
      <c r="R11" s="129"/>
      <c r="S11" s="129"/>
      <c r="T11" s="129"/>
      <c r="U11" s="129"/>
      <c r="V11" s="129"/>
    </row>
    <row r="12" spans="2:22" ht="15.75" customHeight="1" thickBot="1" x14ac:dyDescent="0.3">
      <c r="B12" s="133" t="s">
        <v>177</v>
      </c>
      <c r="C12" s="161">
        <v>3200</v>
      </c>
      <c r="D12" s="162">
        <v>3200</v>
      </c>
      <c r="E12" s="137" t="str">
        <f>"DCW[11]("&amp; DEC2HEX(ROUND(1000*2^24/C12,0)) &amp;")"</f>
        <v>DCW[11](500000)</v>
      </c>
      <c r="F12" s="212"/>
      <c r="G12" s="163"/>
      <c r="H12" s="163"/>
      <c r="I12" s="163"/>
      <c r="J12" s="163"/>
      <c r="K12" s="163"/>
      <c r="L12" s="163"/>
      <c r="R12" s="129"/>
      <c r="S12" s="129"/>
      <c r="T12" s="129"/>
      <c r="U12" s="129"/>
      <c r="V12" s="129"/>
    </row>
    <row r="13" spans="2:22" ht="15.75" customHeight="1" thickBot="1" x14ac:dyDescent="0.3">
      <c r="B13" s="133" t="s">
        <v>182</v>
      </c>
      <c r="C13" s="166">
        <v>11</v>
      </c>
      <c r="D13" s="167">
        <v>0</v>
      </c>
      <c r="E13" s="137" t="str">
        <f>"DCW[13]("&amp;MID(DEC2HEX(ROUND(TOOLS!C13/'STEP BY STEP GUIDE'!C8/3600*2^30,0),10),3,8) &amp;")"</f>
        <v>DCW[13](00010052)</v>
      </c>
      <c r="F13" s="213" t="s">
        <v>217</v>
      </c>
      <c r="G13" s="163"/>
      <c r="H13" s="163"/>
      <c r="I13" s="163"/>
      <c r="J13" s="163"/>
      <c r="K13" s="163"/>
      <c r="L13" s="163"/>
      <c r="R13" s="129"/>
      <c r="S13" s="129"/>
      <c r="T13" s="129"/>
      <c r="U13" s="129"/>
      <c r="V13" s="129"/>
    </row>
    <row r="14" spans="2:22" ht="15.75" customHeight="1" thickBot="1" x14ac:dyDescent="0.3">
      <c r="B14" s="133" t="s">
        <v>185</v>
      </c>
      <c r="C14" s="169">
        <v>11</v>
      </c>
      <c r="D14" s="168">
        <v>0</v>
      </c>
      <c r="E14" s="137" t="str">
        <f>"DCW[14]("&amp;MID(DEC2HEX(ROUND(TOOLS!C14/'STEP BY STEP GUIDE'!C8/3600*2^30,0),10),3,8) &amp;")"</f>
        <v>DCW[14](00010052)</v>
      </c>
      <c r="F14" s="214"/>
      <c r="G14" s="163"/>
      <c r="H14" s="163"/>
      <c r="I14" s="163"/>
      <c r="J14" s="163"/>
      <c r="K14" s="163"/>
      <c r="L14" s="163"/>
      <c r="R14" s="129"/>
      <c r="S14" s="129"/>
      <c r="T14" s="129"/>
      <c r="U14" s="129"/>
      <c r="V14" s="129"/>
    </row>
    <row r="15" spans="2:22" ht="15.75" customHeight="1" thickBot="1" x14ac:dyDescent="0.3">
      <c r="B15" s="133" t="s">
        <v>186</v>
      </c>
      <c r="C15" s="170">
        <v>10</v>
      </c>
      <c r="D15" s="171">
        <v>0</v>
      </c>
      <c r="E15" s="137" t="str">
        <f ca="1">"DCW[15]("&amp;MID(DEC2HEX(ROUND(TOOLS!C15/CALCULATIONS!Y43*2^20,0),10),3,8) &amp;")"</f>
        <v>DCW[15](0000425B)</v>
      </c>
      <c r="F15" s="214"/>
      <c r="G15" s="163"/>
      <c r="H15" s="163"/>
      <c r="I15" s="163"/>
      <c r="J15" s="163"/>
      <c r="K15" s="163"/>
      <c r="L15" s="163"/>
      <c r="R15" s="129"/>
      <c r="S15" s="129"/>
      <c r="T15" s="129"/>
      <c r="U15" s="129"/>
      <c r="V15" s="129"/>
    </row>
    <row r="16" spans="2:22" ht="15.75" customHeight="1" thickBot="1" x14ac:dyDescent="0.3">
      <c r="B16" s="133" t="s">
        <v>218</v>
      </c>
      <c r="C16" s="178">
        <v>11</v>
      </c>
      <c r="D16" s="179">
        <v>0</v>
      </c>
      <c r="E16" s="137" t="str">
        <f>"DCW[16]("&amp;MID(DEC2HEX(ROUND(TOOLS!C16/'STEP BY STEP GUIDE'!C8/3600*2^30,0),10),3,8) &amp;")"</f>
        <v>DCW[16](00010052)</v>
      </c>
      <c r="F16" s="215"/>
      <c r="G16" s="163"/>
      <c r="H16" s="163"/>
      <c r="I16" s="163"/>
      <c r="J16" s="163"/>
      <c r="K16" s="163"/>
      <c r="L16" s="163"/>
      <c r="R16" s="129"/>
      <c r="S16" s="129"/>
      <c r="T16" s="129"/>
      <c r="U16" s="129"/>
      <c r="V16" s="129"/>
    </row>
    <row r="17" spans="2:12" ht="15.75" customHeight="1" thickBot="1" x14ac:dyDescent="0.3">
      <c r="B17" s="133" t="s">
        <v>166</v>
      </c>
      <c r="C17" s="157">
        <v>-5</v>
      </c>
      <c r="D17" s="158">
        <v>0</v>
      </c>
      <c r="E17" s="137" t="str">
        <f ca="1">"DCW[58](" &amp; MID(DEC2HEX(-ROUND(C17*2^40/(CALCULATIONS!Y43*CALCULATIONS!Y44),0),10),3,8) &amp;")"</f>
        <v>DCW[58](00524F9B)</v>
      </c>
      <c r="F17" s="213" t="s">
        <v>179</v>
      </c>
      <c r="G17" s="163"/>
      <c r="H17" s="163"/>
      <c r="I17" s="163"/>
      <c r="J17" s="163"/>
      <c r="K17" s="163"/>
      <c r="L17" s="163"/>
    </row>
    <row r="18" spans="2:12" ht="15.75" thickBot="1" x14ac:dyDescent="0.3">
      <c r="B18" s="133" t="s">
        <v>167</v>
      </c>
      <c r="C18" s="157">
        <v>5</v>
      </c>
      <c r="D18" s="158">
        <v>0</v>
      </c>
      <c r="E18" s="137" t="str">
        <f ca="1">"DCW[59](" &amp; MID(DEC2HEX(-ROUND(C18*2^40/(CALCULATIONS!Y45*CALCULATIONS!Y46),0),10),3,8) &amp;")"</f>
        <v>DCW[59](FFADB065)</v>
      </c>
      <c r="F18" s="214"/>
      <c r="G18" s="163"/>
      <c r="H18" s="163"/>
      <c r="I18" s="163"/>
      <c r="J18" s="163"/>
      <c r="K18" s="163"/>
      <c r="L18" s="163"/>
    </row>
    <row r="19" spans="2:12" ht="15.75" thickBot="1" x14ac:dyDescent="0.3">
      <c r="B19" s="133" t="s">
        <v>168</v>
      </c>
      <c r="C19" s="157">
        <v>1</v>
      </c>
      <c r="D19" s="158">
        <v>0</v>
      </c>
      <c r="E19" s="137" t="str">
        <f ca="1">"DCW[60](" &amp; MID(DEC2HEX(-ROUND(C19*2^40/(CALCULATIONS!Y47*CALCULATIONS!Y48),0),10),3,8) &amp;")"</f>
        <v>DCW[60](FFEF89AE)</v>
      </c>
      <c r="F19" s="214"/>
      <c r="G19" s="163"/>
      <c r="H19" s="163"/>
      <c r="I19" s="163"/>
      <c r="J19" s="163"/>
      <c r="K19" s="163"/>
      <c r="L19" s="163"/>
    </row>
    <row r="20" spans="2:12" ht="15.75" customHeight="1" thickBot="1" x14ac:dyDescent="0.3">
      <c r="B20" s="133" t="s">
        <v>169</v>
      </c>
      <c r="C20" s="164">
        <v>-5</v>
      </c>
      <c r="D20" s="165">
        <v>0</v>
      </c>
      <c r="E20" s="137" t="str">
        <f ca="1">"DCW[61](" &amp; MID(DEC2HEX(-ROUND(C20*2^40/(CALCULATIONS!Y43*CALCULATIONS!Y44),0),10),3,8) &amp;")"</f>
        <v>DCW[61](00524F9B)</v>
      </c>
      <c r="F20" s="214"/>
      <c r="G20" s="163"/>
      <c r="H20" s="163"/>
      <c r="I20" s="163"/>
      <c r="J20" s="163"/>
      <c r="K20" s="163"/>
      <c r="L20" s="163"/>
    </row>
    <row r="21" spans="2:12" ht="15.75" thickBot="1" x14ac:dyDescent="0.3">
      <c r="B21" s="133" t="s">
        <v>170</v>
      </c>
      <c r="C21" s="164">
        <v>5</v>
      </c>
      <c r="D21" s="165">
        <v>0</v>
      </c>
      <c r="E21" s="137" t="str">
        <f ca="1">"DCW[62](" &amp; MID(DEC2HEX(-ROUND(C21*2^40/(CALCULATIONS!Y45*CALCULATIONS!Y46),0),10),3,8) &amp;")"</f>
        <v>DCW[62](FFADB065)</v>
      </c>
      <c r="F21" s="214"/>
      <c r="G21" s="163"/>
      <c r="H21" s="163"/>
      <c r="I21" s="163"/>
      <c r="J21" s="163"/>
      <c r="K21" s="163"/>
      <c r="L21" s="163"/>
    </row>
    <row r="22" spans="2:12" ht="15.75" thickBot="1" x14ac:dyDescent="0.3">
      <c r="B22" s="133" t="s">
        <v>171</v>
      </c>
      <c r="C22" s="164">
        <v>1</v>
      </c>
      <c r="D22" s="165">
        <v>0</v>
      </c>
      <c r="E22" s="137" t="str">
        <f ca="1">"DCW[63](" &amp; MID(DEC2HEX(-ROUND(C22*2^40/(CALCULATIONS!Y44*CALCULATIONS!Y45),0),10),3,8) &amp;")"</f>
        <v>DCW[63](FFEF89AE)</v>
      </c>
      <c r="F22" s="214"/>
      <c r="G22" s="163"/>
      <c r="H22" s="163"/>
      <c r="I22" s="163"/>
      <c r="J22" s="163"/>
      <c r="K22" s="163"/>
      <c r="L22" s="163"/>
    </row>
    <row r="23" spans="2:12" ht="15.75" thickBot="1" x14ac:dyDescent="0.3">
      <c r="B23" s="133" t="s">
        <v>180</v>
      </c>
      <c r="C23" s="157">
        <v>0.05</v>
      </c>
      <c r="D23" s="158">
        <v>0</v>
      </c>
      <c r="E23" s="137" t="str">
        <f>"DCW[18](" &amp; MID(DEC2HEX(-ROUND(C23*2^30/180000,0),10),3,8) &amp;")"</f>
        <v>DCW[18](FFFFFED6)</v>
      </c>
      <c r="F23" s="214"/>
      <c r="G23" s="163"/>
      <c r="H23" s="163"/>
      <c r="I23" s="163"/>
      <c r="J23" s="163"/>
      <c r="K23" s="163"/>
      <c r="L23" s="163"/>
    </row>
    <row r="24" spans="2:12" ht="15.75" thickBot="1" x14ac:dyDescent="0.3">
      <c r="B24" s="133" t="s">
        <v>181</v>
      </c>
      <c r="C24" s="164">
        <v>-0.05</v>
      </c>
      <c r="D24" s="165">
        <v>0</v>
      </c>
      <c r="E24" s="137" t="str">
        <f>"DCW[19](" &amp; MID(DEC2HEX(-ROUND(C24*2^30/180000,0),10),3,8) &amp;")"</f>
        <v>DCW[19](0000012A)</v>
      </c>
      <c r="F24" s="214"/>
      <c r="G24" s="163"/>
      <c r="H24" s="163"/>
      <c r="I24" s="163"/>
      <c r="J24" s="163"/>
      <c r="K24" s="163"/>
      <c r="L24" s="163"/>
    </row>
    <row r="25" spans="2:12" ht="15.75" thickBot="1" x14ac:dyDescent="0.3">
      <c r="B25" s="133" t="s">
        <v>219</v>
      </c>
      <c r="C25" s="180">
        <v>-0.05</v>
      </c>
      <c r="D25" s="181">
        <v>0</v>
      </c>
      <c r="E25" s="137" t="str">
        <f>"DCW[20](" &amp; MID(DEC2HEX(-ROUND(C25*2^30/180000,0),10),3,8) &amp;")"</f>
        <v>DCW[20](0000012A)</v>
      </c>
      <c r="F25" s="215"/>
      <c r="G25" s="163"/>
      <c r="H25" s="163"/>
      <c r="I25" s="163"/>
      <c r="J25" s="163"/>
      <c r="K25" s="163"/>
      <c r="L25" s="163"/>
    </row>
    <row r="26" spans="2:12" ht="15.75" thickBot="1" x14ac:dyDescent="0.3">
      <c r="B26" s="133" t="s">
        <v>199</v>
      </c>
      <c r="C26" s="175" t="s">
        <v>190</v>
      </c>
      <c r="D26" s="153" t="s">
        <v>191</v>
      </c>
      <c r="E26" s="137" t="str">
        <f>"DCW[28](" &amp; MID(DEC2HEX(ROUND(H26*2^10,0),10),3,8) &amp;")"</f>
        <v>DCW[28](0019CC00)</v>
      </c>
      <c r="F26" s="163"/>
      <c r="G26" s="163" t="s">
        <v>189</v>
      </c>
      <c r="H26" s="174">
        <v>1651</v>
      </c>
      <c r="I26" s="163"/>
      <c r="J26" s="163"/>
      <c r="K26" s="163"/>
      <c r="L26" s="163"/>
    </row>
    <row r="27" spans="2:12" ht="15.75" thickBot="1" x14ac:dyDescent="0.3">
      <c r="B27" s="133" t="s">
        <v>201</v>
      </c>
      <c r="C27" s="175" t="s">
        <v>190</v>
      </c>
      <c r="D27" s="153" t="s">
        <v>191</v>
      </c>
      <c r="E27" s="137" t="str">
        <f>"DCW[30](" &amp; MID(DEC2HEX(ROUND(H27*2^10,0),10),3,8) &amp;")"</f>
        <v>DCW[30](0019CC00)</v>
      </c>
      <c r="F27" s="163"/>
      <c r="G27" s="163" t="s">
        <v>189</v>
      </c>
      <c r="H27" s="174">
        <v>1651</v>
      </c>
      <c r="I27" s="163"/>
      <c r="J27" s="163"/>
      <c r="K27" s="163"/>
      <c r="L27" s="163"/>
    </row>
    <row r="28" spans="2:12" ht="15.75" thickBot="1" x14ac:dyDescent="0.3">
      <c r="B28" s="133" t="s">
        <v>200</v>
      </c>
      <c r="C28" s="175" t="s">
        <v>190</v>
      </c>
      <c r="D28" s="153" t="s">
        <v>191</v>
      </c>
      <c r="E28" s="137" t="str">
        <f>"DCW[32](" &amp; MID(DEC2HEX(ROUND(H28*2^10,0),10),3,8) &amp;")"</f>
        <v>DCW[32](0019CC00)</v>
      </c>
      <c r="F28" s="163"/>
      <c r="G28" s="163" t="s">
        <v>189</v>
      </c>
      <c r="H28" s="174">
        <v>1651</v>
      </c>
      <c r="I28" s="163"/>
      <c r="J28" s="163"/>
      <c r="K28" s="163"/>
      <c r="L28" s="163"/>
    </row>
    <row r="29" spans="2:12" ht="15.75" thickBot="1" x14ac:dyDescent="0.3">
      <c r="B29" s="200" t="s">
        <v>198</v>
      </c>
      <c r="C29" s="203" t="s">
        <v>190</v>
      </c>
      <c r="D29" s="206" t="s">
        <v>197</v>
      </c>
      <c r="E29" s="137" t="str">
        <f>"DCW[27](" &amp; MID(DEC2HEX(ROUND(H29*2^10/2/J29/L29,0),10),3,8) &amp;")"</f>
        <v>DCW[27](0004D291)</v>
      </c>
      <c r="F29" s="207"/>
      <c r="G29" s="163" t="s">
        <v>192</v>
      </c>
      <c r="H29" s="174">
        <v>1000</v>
      </c>
      <c r="I29" s="163" t="s">
        <v>194</v>
      </c>
      <c r="J29" s="174">
        <v>1.62</v>
      </c>
      <c r="K29" s="163" t="s">
        <v>196</v>
      </c>
      <c r="L29" s="174">
        <v>1</v>
      </c>
    </row>
    <row r="30" spans="2:12" ht="15.75" thickBot="1" x14ac:dyDescent="0.3">
      <c r="B30" s="201"/>
      <c r="C30" s="204"/>
      <c r="D30" s="201"/>
      <c r="E30" s="137" t="str">
        <f>"DCW[27](" &amp; MID(DEC2HEX(ROUND(2^10*1000000/H30/J30,0),10),3,8) &amp;")"</f>
        <v>DCW[27](00138800)</v>
      </c>
      <c r="F30" s="208"/>
      <c r="G30" s="163" t="s">
        <v>205</v>
      </c>
      <c r="H30" s="176">
        <v>100</v>
      </c>
      <c r="I30" s="163" t="s">
        <v>196</v>
      </c>
      <c r="J30" s="174">
        <v>8</v>
      </c>
      <c r="K30" s="163"/>
      <c r="L30" s="163"/>
    </row>
    <row r="31" spans="2:12" ht="15.75" thickBot="1" x14ac:dyDescent="0.3">
      <c r="B31" s="202"/>
      <c r="C31" s="205"/>
      <c r="D31" s="202"/>
      <c r="E31" s="137" t="str">
        <f>"DCW[27](" &amp; MID(DEC2HEX(ROUND(2^10*1000000/H31/J31,0),10),3,8) &amp;")"</f>
        <v>DCW[27](0007D000)</v>
      </c>
      <c r="F31" s="209"/>
      <c r="G31" s="163" t="s">
        <v>206</v>
      </c>
      <c r="H31" s="177">
        <v>500</v>
      </c>
      <c r="I31" s="163" t="s">
        <v>196</v>
      </c>
      <c r="J31" s="174">
        <v>4</v>
      </c>
      <c r="K31" s="163"/>
      <c r="L31" s="163"/>
    </row>
    <row r="32" spans="2:12" ht="15.75" thickBot="1" x14ac:dyDescent="0.3">
      <c r="B32" s="200" t="s">
        <v>202</v>
      </c>
      <c r="C32" s="203" t="s">
        <v>190</v>
      </c>
      <c r="D32" s="206" t="s">
        <v>197</v>
      </c>
      <c r="E32" s="137" t="str">
        <f>"DCW[29](" &amp; MID(DEC2HEX(ROUND(H32*2^10/2/J32/L32,0),10),3,8) &amp;")"</f>
        <v>DCW[29](0009A523)</v>
      </c>
      <c r="F32" s="207"/>
      <c r="G32" s="163" t="s">
        <v>192</v>
      </c>
      <c r="H32" s="174">
        <v>2000</v>
      </c>
      <c r="I32" s="163" t="s">
        <v>194</v>
      </c>
      <c r="J32" s="174">
        <v>1.62</v>
      </c>
      <c r="K32" s="163" t="s">
        <v>196</v>
      </c>
      <c r="L32" s="174">
        <v>1</v>
      </c>
    </row>
    <row r="33" spans="2:12" ht="15.75" thickBot="1" x14ac:dyDescent="0.3">
      <c r="B33" s="201"/>
      <c r="C33" s="204"/>
      <c r="D33" s="201"/>
      <c r="E33" s="137" t="str">
        <f>"DCW[29](" &amp; MID(DEC2HEX(ROUND(2^10*1000000/H33/J33,0),10),3,8) &amp;")"</f>
        <v>DCW[29](00138800)</v>
      </c>
      <c r="F33" s="208"/>
      <c r="G33" s="163" t="s">
        <v>205</v>
      </c>
      <c r="H33" s="176">
        <v>100</v>
      </c>
      <c r="I33" s="163" t="s">
        <v>196</v>
      </c>
      <c r="J33" s="174">
        <v>8</v>
      </c>
      <c r="K33" s="163"/>
      <c r="L33" s="163"/>
    </row>
    <row r="34" spans="2:12" ht="15.75" thickBot="1" x14ac:dyDescent="0.3">
      <c r="B34" s="202"/>
      <c r="C34" s="205"/>
      <c r="D34" s="202"/>
      <c r="E34" s="137" t="str">
        <f>"DCW[29](" &amp; MID(DEC2HEX(ROUND(2^10*1000000/H34/J34,0),10),3,8) &amp;")"</f>
        <v>DCW[29](0007D000)</v>
      </c>
      <c r="F34" s="209"/>
      <c r="G34" s="163" t="s">
        <v>206</v>
      </c>
      <c r="H34" s="177">
        <v>500</v>
      </c>
      <c r="I34" s="163" t="s">
        <v>196</v>
      </c>
      <c r="J34" s="174">
        <v>4</v>
      </c>
      <c r="K34" s="163"/>
      <c r="L34" s="163"/>
    </row>
    <row r="35" spans="2:12" ht="15.75" thickBot="1" x14ac:dyDescent="0.3">
      <c r="B35" s="200" t="s">
        <v>203</v>
      </c>
      <c r="C35" s="203" t="s">
        <v>190</v>
      </c>
      <c r="D35" s="206" t="s">
        <v>197</v>
      </c>
      <c r="E35" s="137" t="str">
        <f>"DCW[31](" &amp; MID(DEC2HEX(ROUND(H35*2^10/2/J35/L35,0),10),3,8) &amp;")"</f>
        <v>DCW[31](0009A523)</v>
      </c>
      <c r="F35" s="207"/>
      <c r="G35" s="163" t="s">
        <v>192</v>
      </c>
      <c r="H35" s="174">
        <v>2000</v>
      </c>
      <c r="I35" s="163" t="s">
        <v>194</v>
      </c>
      <c r="J35" s="174">
        <v>1.62</v>
      </c>
      <c r="K35" s="163" t="s">
        <v>196</v>
      </c>
      <c r="L35" s="174">
        <v>1</v>
      </c>
    </row>
    <row r="36" spans="2:12" ht="15.75" thickBot="1" x14ac:dyDescent="0.3">
      <c r="B36" s="201"/>
      <c r="C36" s="204"/>
      <c r="D36" s="201"/>
      <c r="E36" s="137" t="str">
        <f>"DCW[31](" &amp; MID(DEC2HEX(ROUND(2^10*1000000/H36/J36,0),10),3,8) &amp;")"</f>
        <v>DCW[31](00138800)</v>
      </c>
      <c r="F36" s="208"/>
      <c r="G36" s="163" t="s">
        <v>205</v>
      </c>
      <c r="H36" s="176">
        <v>100</v>
      </c>
      <c r="I36" s="163" t="s">
        <v>196</v>
      </c>
      <c r="J36" s="174">
        <v>8</v>
      </c>
      <c r="K36" s="163"/>
      <c r="L36" s="163"/>
    </row>
    <row r="37" spans="2:12" ht="15.75" thickBot="1" x14ac:dyDescent="0.3">
      <c r="B37" s="202"/>
      <c r="C37" s="205"/>
      <c r="D37" s="202"/>
      <c r="E37" s="137" t="str">
        <f>"DCW[31](" &amp; MID(DEC2HEX(ROUND(2^10*1000000/H37/J37,0),10),3,8) &amp;")"</f>
        <v>DCW[31](0007D000)</v>
      </c>
      <c r="F37" s="209"/>
      <c r="G37" s="163" t="s">
        <v>206</v>
      </c>
      <c r="H37" s="177">
        <v>500</v>
      </c>
      <c r="I37" s="163" t="s">
        <v>196</v>
      </c>
      <c r="J37" s="174">
        <v>4</v>
      </c>
      <c r="K37" s="163"/>
      <c r="L37" s="163"/>
    </row>
    <row r="38" spans="2:12" ht="15.75" thickBot="1" x14ac:dyDescent="0.3">
      <c r="B38" s="200" t="s">
        <v>204</v>
      </c>
      <c r="C38" s="203" t="s">
        <v>190</v>
      </c>
      <c r="D38" s="206" t="s">
        <v>197</v>
      </c>
      <c r="E38" s="137" t="str">
        <f>"DCW[33](" &amp; MID(DEC2HEX(ROUND(H38*2^10/2/J38/L38,0),10),3,8) &amp;")"</f>
        <v>DCW[33](0009A523)</v>
      </c>
      <c r="F38" s="207"/>
      <c r="G38" s="163" t="s">
        <v>192</v>
      </c>
      <c r="H38" s="174">
        <v>2000</v>
      </c>
      <c r="I38" s="163" t="s">
        <v>194</v>
      </c>
      <c r="J38" s="174">
        <v>1.62</v>
      </c>
      <c r="K38" s="163" t="s">
        <v>196</v>
      </c>
      <c r="L38" s="174">
        <v>1</v>
      </c>
    </row>
    <row r="39" spans="2:12" ht="15.75" thickBot="1" x14ac:dyDescent="0.3">
      <c r="B39" s="201"/>
      <c r="C39" s="204"/>
      <c r="D39" s="201"/>
      <c r="E39" s="137" t="str">
        <f>"DCW[33](" &amp; MID(DEC2HEX(ROUND(2^10*1000000/H39/J39,0),10),3,8) &amp;")"</f>
        <v>DCW[33](00138800)</v>
      </c>
      <c r="F39" s="208"/>
      <c r="G39" s="163" t="s">
        <v>205</v>
      </c>
      <c r="H39" s="176">
        <v>100</v>
      </c>
      <c r="I39" s="163" t="s">
        <v>196</v>
      </c>
      <c r="J39" s="174">
        <v>8</v>
      </c>
      <c r="K39" s="163"/>
      <c r="L39" s="163"/>
    </row>
    <row r="40" spans="2:12" ht="15.75" thickBot="1" x14ac:dyDescent="0.3">
      <c r="B40" s="202"/>
      <c r="C40" s="205"/>
      <c r="D40" s="202"/>
      <c r="E40" s="137" t="str">
        <f>"DCW[33](" &amp; MID(DEC2HEX(ROUND(2^10*1000000/H40/J40,0),10),3,8) &amp;")"</f>
        <v>DCW[33](0007D000)</v>
      </c>
      <c r="F40" s="209"/>
      <c r="G40" s="163" t="s">
        <v>206</v>
      </c>
      <c r="H40" s="177">
        <v>500</v>
      </c>
      <c r="I40" s="163" t="s">
        <v>196</v>
      </c>
      <c r="J40" s="174">
        <v>4</v>
      </c>
      <c r="K40" s="163"/>
      <c r="L40" s="163"/>
    </row>
    <row r="44" spans="2:12" ht="18.75" x14ac:dyDescent="0.3">
      <c r="B44" s="6" t="s">
        <v>212</v>
      </c>
    </row>
    <row r="45" spans="2:12" ht="16.5" thickBot="1" x14ac:dyDescent="0.3">
      <c r="B45" s="134" t="s">
        <v>211</v>
      </c>
    </row>
    <row r="46" spans="2:12" ht="15.75" thickBot="1" x14ac:dyDescent="0.3">
      <c r="B46" s="132" t="s">
        <v>208</v>
      </c>
      <c r="C46" s="139" t="s">
        <v>209</v>
      </c>
      <c r="D46" s="139" t="s">
        <v>210</v>
      </c>
    </row>
    <row r="47" spans="2:12" ht="15.75" thickBot="1" x14ac:dyDescent="0.3">
      <c r="B47" s="155">
        <v>3200</v>
      </c>
      <c r="C47" s="173">
        <v>100</v>
      </c>
      <c r="D47" s="172">
        <f>B47*C47/3600</f>
        <v>88.888888888888886</v>
      </c>
    </row>
  </sheetData>
  <mergeCells count="19">
    <mergeCell ref="F29:F31"/>
    <mergeCell ref="F32:F34"/>
    <mergeCell ref="F35:F37"/>
    <mergeCell ref="F38:F40"/>
    <mergeCell ref="F10:F12"/>
    <mergeCell ref="F13:F16"/>
    <mergeCell ref="F17:F25"/>
    <mergeCell ref="B35:B37"/>
    <mergeCell ref="C35:C37"/>
    <mergeCell ref="D35:D37"/>
    <mergeCell ref="B38:B40"/>
    <mergeCell ref="C38:C40"/>
    <mergeCell ref="D38:D40"/>
    <mergeCell ref="B29:B31"/>
    <mergeCell ref="C29:C31"/>
    <mergeCell ref="D29:D31"/>
    <mergeCell ref="B32:B34"/>
    <mergeCell ref="C32:C34"/>
    <mergeCell ref="D32:D34"/>
  </mergeCells>
  <pageMargins left="0.7" right="0.7" top="0.75" bottom="0.75" header="0.3" footer="0.3"/>
  <pageSetup scale="75" orientation="landscape" r:id="rId1"/>
  <ignoredErrors>
    <ignoredError sqref="E11"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77358-97CE-48EA-BD2D-F0889C7A47B3}">
  <dimension ref="B2:D7"/>
  <sheetViews>
    <sheetView workbookViewId="0">
      <selection activeCell="D4" sqref="D4"/>
    </sheetView>
  </sheetViews>
  <sheetFormatPr defaultRowHeight="15" x14ac:dyDescent="0.25"/>
  <cols>
    <col min="3" max="3" width="11.5703125" customWidth="1"/>
    <col min="4" max="4" width="167.5703125" customWidth="1"/>
  </cols>
  <sheetData>
    <row r="2" spans="2:4" x14ac:dyDescent="0.25">
      <c r="B2" s="128" t="s">
        <v>101</v>
      </c>
      <c r="C2" s="128" t="s">
        <v>102</v>
      </c>
      <c r="D2" s="128" t="s">
        <v>103</v>
      </c>
    </row>
    <row r="3" spans="2:4" ht="45" x14ac:dyDescent="0.25">
      <c r="B3" s="129">
        <v>5.0999999999999996</v>
      </c>
      <c r="C3" s="130">
        <v>45609</v>
      </c>
      <c r="D3" s="21" t="s">
        <v>215</v>
      </c>
    </row>
    <row r="4" spans="2:4" x14ac:dyDescent="0.25">
      <c r="B4" s="129">
        <v>5</v>
      </c>
      <c r="C4" s="130">
        <v>45176</v>
      </c>
      <c r="D4" s="21" t="s">
        <v>213</v>
      </c>
    </row>
    <row r="5" spans="2:4" ht="45" x14ac:dyDescent="0.25">
      <c r="B5" s="129">
        <v>4</v>
      </c>
      <c r="C5" s="130">
        <v>44853</v>
      </c>
      <c r="D5" s="21" t="s">
        <v>214</v>
      </c>
    </row>
    <row r="6" spans="2:4" ht="30" x14ac:dyDescent="0.25">
      <c r="B6" s="129">
        <v>3.1</v>
      </c>
      <c r="C6" s="130">
        <v>44771</v>
      </c>
      <c r="D6" s="21" t="s">
        <v>104</v>
      </c>
    </row>
    <row r="7" spans="2:4" x14ac:dyDescent="0.25">
      <c r="B7" s="127">
        <v>3</v>
      </c>
      <c r="C7" s="130">
        <v>44614</v>
      </c>
      <c r="D7" t="s">
        <v>105</v>
      </c>
    </row>
  </sheetData>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STEP BY STEP GUIDE</vt:lpstr>
      <vt:lpstr>CALCULATIONS</vt:lpstr>
      <vt:lpstr>TOOLS</vt:lpstr>
      <vt:lpstr>Version control</vt:lpstr>
      <vt:lpstr>CALCULATIONS!Print_Area</vt:lpstr>
      <vt:lpstr>'STEP BY STEP GUIDE'!Print_Area</vt:lpstr>
      <vt:lpstr>TOOLS!Print_Area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2025-04-14T12:25:38Z</dcterms:created>
  <dcterms:modified xsi:type="dcterms:W3CDTF">2025-04-14T12:26:00Z</dcterms:modified>
  <cp:category/>
  <cp:contentStatus/>
</cp:coreProperties>
</file>