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75" windowWidth="21840" windowHeight="13695" activeTab="1"/>
  </bookViews>
  <sheets>
    <sheet name="項目" sheetId="1" r:id="rId1"/>
    <sheet name="重大項目" sheetId="16" r:id="rId2"/>
    <sheet name="電費" sheetId="2" r:id="rId3"/>
    <sheet name="化糞池" sheetId="3" r:id="rId4"/>
    <sheet name="製程" sheetId="5" r:id="rId5"/>
    <sheet name="冷媒" sheetId="4" r:id="rId6"/>
    <sheet name="上游運輸" sheetId="6" r:id="rId7"/>
    <sheet name="水" sheetId="7" r:id="rId8"/>
    <sheet name="下游運輸" sheetId="8" r:id="rId9"/>
    <sheet name="汽油" sheetId="13" r:id="rId10"/>
    <sheet name="柴油" sheetId="9" r:id="rId11"/>
    <sheet name="滅火器" sheetId="10" r:id="rId12"/>
    <sheet name="飛機、高鐵、海運" sheetId="12" r:id="rId13"/>
    <sheet name="廢棄物" sheetId="11" r:id="rId14"/>
    <sheet name="上游原料" sheetId="14" r:id="rId15"/>
    <sheet name="產品衍生排放" sheetId="15" r:id="rId1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6" l="1"/>
  <c r="D18" i="16"/>
  <c r="E18" i="16"/>
  <c r="F18" i="16"/>
  <c r="G18" i="16"/>
  <c r="B18" i="16"/>
  <c r="C17" i="16"/>
  <c r="D17" i="16"/>
  <c r="E17" i="16"/>
  <c r="F17" i="16"/>
  <c r="G17" i="16"/>
  <c r="B17" i="16"/>
  <c r="D22" i="16"/>
  <c r="D23" i="16"/>
  <c r="D24" i="16"/>
  <c r="D21" i="16"/>
  <c r="C24" i="16"/>
  <c r="C23" i="16"/>
  <c r="C22" i="16"/>
  <c r="C21" i="16"/>
  <c r="I17" i="16"/>
  <c r="I11" i="16"/>
  <c r="I12" i="16"/>
  <c r="I13" i="16"/>
  <c r="I14" i="16"/>
  <c r="I15" i="16"/>
  <c r="I16" i="16"/>
  <c r="I10" i="16"/>
  <c r="H17" i="16"/>
  <c r="H11" i="16"/>
  <c r="H12" i="16"/>
  <c r="H13" i="16"/>
  <c r="H14" i="16"/>
  <c r="H15" i="16"/>
  <c r="H16" i="16"/>
  <c r="H10" i="16"/>
  <c r="C48" i="1"/>
  <c r="C47" i="1"/>
  <c r="C46" i="1"/>
  <c r="L34" i="1"/>
  <c r="L32" i="1"/>
  <c r="L33" i="1"/>
  <c r="L35" i="1"/>
  <c r="L36" i="1"/>
  <c r="L37" i="1"/>
  <c r="L31" i="1"/>
  <c r="K15" i="4"/>
  <c r="K16" i="4"/>
  <c r="K14" i="4"/>
  <c r="D48" i="1" l="1"/>
  <c r="L38" i="1"/>
  <c r="C44" i="1"/>
  <c r="G2" i="15"/>
  <c r="I8" i="3"/>
  <c r="M8" i="3" s="1"/>
  <c r="E3" i="3"/>
  <c r="E4" i="3"/>
  <c r="E5" i="3"/>
  <c r="E6" i="3"/>
  <c r="E7" i="3"/>
  <c r="E8" i="3"/>
  <c r="E9" i="3"/>
  <c r="E10" i="3"/>
  <c r="E11" i="3"/>
  <c r="E12" i="3"/>
  <c r="E13" i="3"/>
  <c r="E2" i="3"/>
  <c r="N31" i="1" l="1"/>
  <c r="D46" i="1"/>
  <c r="D47" i="1"/>
  <c r="N33" i="1"/>
  <c r="N35" i="1"/>
  <c r="N34" i="1"/>
  <c r="N38" i="1"/>
  <c r="M33" i="1"/>
  <c r="M37" i="1"/>
  <c r="M34" i="1"/>
  <c r="M35" i="1"/>
  <c r="N32" i="1"/>
  <c r="N36" i="1"/>
  <c r="M31" i="1"/>
  <c r="N37" i="1"/>
  <c r="M32" i="1"/>
  <c r="M36" i="1"/>
  <c r="E14" i="3"/>
  <c r="G6" i="14"/>
  <c r="G5" i="14"/>
  <c r="D5" i="14"/>
  <c r="G4" i="14"/>
  <c r="F10" i="14"/>
  <c r="D4" i="14"/>
  <c r="D3" i="14"/>
  <c r="G3" i="14" s="1"/>
  <c r="D2" i="14"/>
  <c r="G2" i="14" s="1"/>
  <c r="G4" i="11"/>
  <c r="G3" i="11"/>
  <c r="G2" i="11"/>
  <c r="C2" i="11"/>
  <c r="C3" i="11"/>
  <c r="J4" i="12"/>
  <c r="J3" i="12"/>
  <c r="J2" i="12"/>
  <c r="N26" i="13"/>
  <c r="H25" i="13"/>
  <c r="H26" i="13"/>
  <c r="I25" i="13"/>
  <c r="J25" i="13"/>
  <c r="K25" i="13"/>
  <c r="C25" i="13"/>
  <c r="D25" i="13"/>
  <c r="E25" i="13"/>
  <c r="N25" i="13" s="1"/>
  <c r="N27" i="13" s="1"/>
  <c r="B25" i="13"/>
  <c r="G2" i="10"/>
  <c r="C17" i="10"/>
  <c r="C16" i="10"/>
  <c r="C14" i="10"/>
  <c r="C13" i="10"/>
  <c r="C12" i="10"/>
  <c r="F8" i="9"/>
  <c r="F7" i="9"/>
  <c r="F10" i="9" s="1"/>
  <c r="F9" i="9"/>
  <c r="E2" i="9"/>
  <c r="H2" i="8"/>
  <c r="C2" i="8"/>
  <c r="F2" i="7"/>
  <c r="I6" i="6"/>
  <c r="I5" i="6"/>
  <c r="D5" i="6"/>
  <c r="G21" i="6"/>
  <c r="I2" i="6"/>
  <c r="D4" i="6"/>
  <c r="I4" i="6" s="1"/>
  <c r="D3" i="6"/>
  <c r="I3" i="6" s="1"/>
  <c r="D2" i="6"/>
  <c r="K3" i="4"/>
  <c r="K4" i="4"/>
  <c r="K5" i="4"/>
  <c r="K6" i="4"/>
  <c r="K7" i="4"/>
  <c r="K8" i="4"/>
  <c r="K9" i="4"/>
  <c r="K10" i="4"/>
  <c r="K11" i="4"/>
  <c r="K12" i="4"/>
  <c r="K13" i="4"/>
  <c r="K2" i="4"/>
  <c r="H11" i="2"/>
  <c r="C14" i="2"/>
  <c r="M38" i="1" l="1"/>
  <c r="B31" i="13"/>
  <c r="F31" i="13" s="1"/>
  <c r="B32" i="13"/>
  <c r="F32" i="13" s="1"/>
  <c r="B30" i="13"/>
  <c r="F30" i="13" s="1"/>
  <c r="F33" i="13" l="1"/>
</calcChain>
</file>

<file path=xl/sharedStrings.xml><?xml version="1.0" encoding="utf-8"?>
<sst xmlns="http://schemas.openxmlformats.org/spreadsheetml/2006/main" count="500" uniqueCount="291">
  <si>
    <t>活動數據</t>
  </si>
  <si>
    <t>生命週期階段</t>
  </si>
  <si>
    <t>群組</t>
  </si>
  <si>
    <t>名稱</t>
  </si>
  <si>
    <t>總活動量</t>
  </si>
  <si>
    <t>單位</t>
  </si>
  <si>
    <t>每單位數量</t>
  </si>
  <si>
    <t>原料取得階段</t>
  </si>
  <si>
    <t>原物料</t>
  </si>
  <si>
    <t>輔助項</t>
  </si>
  <si>
    <t>製造生產階段</t>
  </si>
  <si>
    <t>能源</t>
  </si>
  <si>
    <t>電力</t>
  </si>
  <si>
    <t>資源</t>
  </si>
  <si>
    <t>水</t>
  </si>
  <si>
    <t>排放</t>
  </si>
  <si>
    <t>化糞池逸散</t>
  </si>
  <si>
    <t>冷媒</t>
  </si>
  <si>
    <t>殘留物</t>
  </si>
  <si>
    <t>配銷階段</t>
  </si>
  <si>
    <t>使用階段</t>
  </si>
  <si>
    <t>廢棄處理階段</t>
  </si>
  <si>
    <t>若有使用再生能源(如: 太陽能)請註明，並與一般電力拆開填寫</t>
  </si>
  <si>
    <t>貨物運輸配銷-陸運(TKM)</t>
  </si>
  <si>
    <t>kg</t>
    <phoneticPr fontId="5" type="noConversion"/>
  </si>
  <si>
    <t>OPP膠帶</t>
    <phoneticPr fontId="5" type="noConversion"/>
  </si>
  <si>
    <t>捲</t>
    <phoneticPr fontId="5" type="noConversion"/>
  </si>
  <si>
    <t>備註</t>
    <phoneticPr fontId="5" type="noConversion"/>
  </si>
  <si>
    <t>料號ABC-1-01</t>
    <phoneticPr fontId="5" type="noConversion"/>
  </si>
  <si>
    <t>料號ABC-1-02</t>
  </si>
  <si>
    <t>料號ABC-1-03</t>
  </si>
  <si>
    <t>PET膜</t>
    <phoneticPr fontId="5" type="noConversion"/>
  </si>
  <si>
    <t>盤查期間用水量為79432度</t>
    <phoneticPr fontId="5" type="noConversion"/>
  </si>
  <si>
    <t>度</t>
    <phoneticPr fontId="5" type="noConversion"/>
  </si>
  <si>
    <t>廢溶劑</t>
    <phoneticPr fontId="5" type="noConversion"/>
  </si>
  <si>
    <t>一般事業廢棄物</t>
    <phoneticPr fontId="5" type="noConversion"/>
  </si>
  <si>
    <t>一般事業廢棄物，掩埋處裡</t>
    <phoneticPr fontId="5" type="noConversion"/>
  </si>
  <si>
    <t>廢溶劑，焚化處裡</t>
    <phoneticPr fontId="5" type="noConversion"/>
  </si>
  <si>
    <t>PET膜原物料運送至工廠之運輸-陸運(TKM)</t>
    <phoneticPr fontId="5" type="noConversion"/>
  </si>
  <si>
    <t>離型膜</t>
    <phoneticPr fontId="5" type="noConversion"/>
  </si>
  <si>
    <t>離型膜原物料運送至工廠之運輸-海運(TKM)</t>
    <phoneticPr fontId="5" type="noConversion"/>
  </si>
  <si>
    <t>OPP膠帶原物料運送至工廠之運輸-空運(TKM)</t>
    <phoneticPr fontId="5" type="noConversion"/>
  </si>
  <si>
    <t>延頓公里</t>
    <phoneticPr fontId="5" type="noConversion"/>
  </si>
  <si>
    <t>貨車，運輸距離300km
(嘉德塑膠深圳龍崗區茶山路100號)</t>
    <phoneticPr fontId="5" type="noConversion"/>
  </si>
  <si>
    <t>貨車，運輸距離45km
(冠德塑膠深圳西麗區沙河西路10號)</t>
    <phoneticPr fontId="5" type="noConversion"/>
  </si>
  <si>
    <t>貨車，運輸距離57km
(湧德塑膠深圳南山區翻身路79號)</t>
    <phoneticPr fontId="5" type="noConversion"/>
  </si>
  <si>
    <t>貨車運輸至經銷商福詠工業區68Km，盤查間總生產量180000Kg(含包材)</t>
    <phoneticPr fontId="5" type="noConversion"/>
  </si>
  <si>
    <t>延頓公里TKM</t>
    <phoneticPr fontId="5" type="noConversion"/>
  </si>
  <si>
    <t>如案例所示</t>
    <phoneticPr fontId="5" type="noConversion"/>
  </si>
  <si>
    <t>自來水</t>
    <phoneticPr fontId="5" type="noConversion"/>
  </si>
  <si>
    <t>無使用階段</t>
    <phoneticPr fontId="5" type="noConversion"/>
  </si>
  <si>
    <t>員工差旅</t>
    <phoneticPr fontId="5" type="noConversion"/>
  </si>
  <si>
    <t>因疫情影響盤查年度有兩人次出差香港</t>
    <phoneticPr fontId="5" type="noConversion"/>
  </si>
  <si>
    <t>能源</t>
    <phoneticPr fontId="5" type="noConversion"/>
  </si>
  <si>
    <t>外購能源上游生產(移動汽油/升)</t>
  </si>
  <si>
    <t>請依據案例計算</t>
    <phoneticPr fontId="5" type="noConversion"/>
  </si>
  <si>
    <t>外購能源上游生產(電力)</t>
    <phoneticPr fontId="5" type="noConversion"/>
  </si>
  <si>
    <t>月份</t>
  </si>
  <si>
    <t>月份</t>
    <phoneticPr fontId="5" type="noConversion"/>
  </si>
  <si>
    <t>度數</t>
    <phoneticPr fontId="5" type="noConversion"/>
  </si>
  <si>
    <t>總計</t>
    <phoneticPr fontId="5" type="noConversion"/>
  </si>
  <si>
    <t>係數</t>
    <phoneticPr fontId="5" type="noConversion"/>
  </si>
  <si>
    <t>換算</t>
    <phoneticPr fontId="5" type="noConversion"/>
  </si>
  <si>
    <t>總共</t>
    <phoneticPr fontId="5" type="noConversion"/>
  </si>
  <si>
    <t>http://www.sz.gov.cn/hdjlpt/detail?pid=2573340</t>
  </si>
  <si>
    <t>度數 kwh</t>
    <phoneticPr fontId="5" type="noConversion"/>
  </si>
  <si>
    <t>ton CO2e</t>
  </si>
  <si>
    <t>ton CO2e</t>
    <phoneticPr fontId="5" type="noConversion"/>
  </si>
  <si>
    <r>
      <t>ton CO</t>
    </r>
    <r>
      <rPr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e</t>
    </r>
    <phoneticPr fontId="5" type="noConversion"/>
  </si>
  <si>
    <t>項目</t>
    <phoneticPr fontId="5" type="noConversion"/>
  </si>
  <si>
    <t>品項</t>
    <phoneticPr fontId="5" type="noConversion"/>
  </si>
  <si>
    <t>廠牌</t>
    <phoneticPr fontId="5" type="noConversion"/>
  </si>
  <si>
    <t>型號</t>
    <phoneticPr fontId="5" type="noConversion"/>
  </si>
  <si>
    <t>冷媒</t>
    <phoneticPr fontId="5" type="noConversion"/>
  </si>
  <si>
    <t>填充量(kg)</t>
    <phoneticPr fontId="5" type="noConversion"/>
  </si>
  <si>
    <t>設備數量</t>
    <phoneticPr fontId="5" type="noConversion"/>
  </si>
  <si>
    <t>冰水主機</t>
    <phoneticPr fontId="5" type="noConversion"/>
  </si>
  <si>
    <t>YORK</t>
    <phoneticPr fontId="5" type="noConversion"/>
  </si>
  <si>
    <t>R-134A</t>
    <phoneticPr fontId="5" type="noConversion"/>
  </si>
  <si>
    <t>冰水主機</t>
    <phoneticPr fontId="5" type="noConversion"/>
  </si>
  <si>
    <t>30KWS-200D</t>
    <phoneticPr fontId="5" type="noConversion"/>
  </si>
  <si>
    <t>YK DD DD H4</t>
    <phoneticPr fontId="5" type="noConversion"/>
  </si>
  <si>
    <t>飲水機</t>
    <phoneticPr fontId="5" type="noConversion"/>
  </si>
  <si>
    <t>賀眾</t>
    <phoneticPr fontId="5" type="noConversion"/>
  </si>
  <si>
    <t>R-134A</t>
    <phoneticPr fontId="5" type="noConversion"/>
  </si>
  <si>
    <t>冷氣</t>
    <phoneticPr fontId="5" type="noConversion"/>
  </si>
  <si>
    <t>東元</t>
    <phoneticPr fontId="5" type="noConversion"/>
  </si>
  <si>
    <t>LT63F1</t>
    <phoneticPr fontId="5" type="noConversion"/>
  </si>
  <si>
    <t>R-410A</t>
    <phoneticPr fontId="5" type="noConversion"/>
  </si>
  <si>
    <t>冰箱</t>
    <phoneticPr fontId="5" type="noConversion"/>
  </si>
  <si>
    <t>國際</t>
    <phoneticPr fontId="5" type="noConversion"/>
  </si>
  <si>
    <t>分離式冷氣機</t>
    <phoneticPr fontId="5" type="noConversion"/>
  </si>
  <si>
    <t>聲寶</t>
    <phoneticPr fontId="5" type="noConversion"/>
  </si>
  <si>
    <t>AU-PC50</t>
    <phoneticPr fontId="5" type="noConversion"/>
  </si>
  <si>
    <t>R-410A</t>
    <phoneticPr fontId="5" type="noConversion"/>
  </si>
  <si>
    <t>UR-11000A</t>
    <phoneticPr fontId="5" type="noConversion"/>
  </si>
  <si>
    <t>NR-480MC</t>
    <phoneticPr fontId="5" type="noConversion"/>
  </si>
  <si>
    <t>逸散率</t>
    <phoneticPr fontId="5" type="noConversion"/>
  </si>
  <si>
    <t>GWP</t>
    <phoneticPr fontId="5" type="noConversion"/>
  </si>
  <si>
    <t>ton CO2e</t>
    <phoneticPr fontId="5" type="noConversion"/>
  </si>
  <si>
    <t>名稱</t>
    <phoneticPr fontId="5" type="noConversion"/>
  </si>
  <si>
    <t>距離 km</t>
    <phoneticPr fontId="5" type="noConversion"/>
  </si>
  <si>
    <t>PET膜</t>
  </si>
  <si>
    <t>離型膜</t>
  </si>
  <si>
    <t>交通工具</t>
    <phoneticPr fontId="5" type="noConversion"/>
  </si>
  <si>
    <t>貨車</t>
    <phoneticPr fontId="5" type="noConversion"/>
  </si>
  <si>
    <t>OPP膠帶</t>
    <phoneticPr fontId="5" type="noConversion"/>
  </si>
  <si>
    <t>總重量 ton</t>
    <phoneticPr fontId="5" type="noConversion"/>
  </si>
  <si>
    <t>係數 ton km CO2e</t>
    <phoneticPr fontId="5" type="noConversion"/>
  </si>
  <si>
    <t>柴油</t>
    <phoneticPr fontId="5" type="noConversion"/>
  </si>
  <si>
    <t>2000 L</t>
    <phoneticPr fontId="5" type="noConversion"/>
  </si>
  <si>
    <t>數量</t>
    <phoneticPr fontId="5" type="noConversion"/>
  </si>
  <si>
    <t>600 捲</t>
    <phoneticPr fontId="5" type="noConversion"/>
  </si>
  <si>
    <t>密度 g/ml</t>
    <phoneticPr fontId="5" type="noConversion"/>
  </si>
  <si>
    <t>柴油</t>
    <phoneticPr fontId="5" type="noConversion"/>
  </si>
  <si>
    <t>kg/g</t>
    <phoneticPr fontId="5" type="noConversion"/>
  </si>
  <si>
    <t>ton/kg</t>
    <phoneticPr fontId="5" type="noConversion"/>
  </si>
  <si>
    <t>密度 ton/L</t>
    <phoneticPr fontId="5" type="noConversion"/>
  </si>
  <si>
    <t>l/ml</t>
    <phoneticPr fontId="5" type="noConversion"/>
  </si>
  <si>
    <t>備註</t>
    <phoneticPr fontId="5" type="noConversion"/>
  </si>
  <si>
    <t>沒有距離資料</t>
    <phoneticPr fontId="5" type="noConversion"/>
  </si>
  <si>
    <t>水</t>
    <phoneticPr fontId="5" type="noConversion"/>
  </si>
  <si>
    <t>度</t>
    <phoneticPr fontId="5" type="noConversion"/>
  </si>
  <si>
    <t>係數 kg/度</t>
    <phoneticPr fontId="5" type="noConversion"/>
  </si>
  <si>
    <t>產品</t>
    <phoneticPr fontId="5" type="noConversion"/>
  </si>
  <si>
    <t>換算</t>
    <phoneticPr fontId="5" type="noConversion"/>
  </si>
  <si>
    <t>總公秉</t>
    <phoneticPr fontId="5" type="noConversion"/>
  </si>
  <si>
    <t>排放係數</t>
    <phoneticPr fontId="5" type="noConversion"/>
  </si>
  <si>
    <t>GWP</t>
    <phoneticPr fontId="5" type="noConversion"/>
  </si>
  <si>
    <t>換算</t>
    <phoneticPr fontId="5" type="noConversion"/>
  </si>
  <si>
    <t>CO2排放當量(ton)</t>
    <phoneticPr fontId="5" type="noConversion"/>
  </si>
  <si>
    <t>CO2</t>
    <phoneticPr fontId="5" type="noConversion"/>
  </si>
  <si>
    <t>CH4</t>
    <phoneticPr fontId="5" type="noConversion"/>
  </si>
  <si>
    <t>N2O</t>
    <phoneticPr fontId="5" type="noConversion"/>
  </si>
  <si>
    <t>柴油量 公秉</t>
    <phoneticPr fontId="5" type="noConversion"/>
  </si>
  <si>
    <t>泡沫滅火器</t>
    <phoneticPr fontId="5" type="noConversion"/>
  </si>
  <si>
    <t>數量</t>
    <phoneticPr fontId="5" type="noConversion"/>
  </si>
  <si>
    <t>重量 kg</t>
    <phoneticPr fontId="5" type="noConversion"/>
  </si>
  <si>
    <t>mol</t>
    <phoneticPr fontId="5" type="noConversion"/>
  </si>
  <si>
    <r>
      <t>Al</t>
    </r>
    <r>
      <rPr>
        <vertAlign val="sub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(SO</t>
    </r>
    <r>
      <rPr>
        <vertAlign val="sub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)</t>
    </r>
    <r>
      <rPr>
        <vertAlign val="subscript"/>
        <sz val="12"/>
        <color theme="1"/>
        <rFont val="Calibri"/>
        <family val="2"/>
      </rPr>
      <t>3</t>
    </r>
  </si>
  <si>
    <r>
      <t>H</t>
    </r>
    <r>
      <rPr>
        <vertAlign val="sub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O</t>
    </r>
  </si>
  <si>
    <t>克 換算</t>
    <phoneticPr fontId="5" type="noConversion"/>
  </si>
  <si>
    <t>Na</t>
  </si>
  <si>
    <t>C</t>
    <phoneticPr fontId="5" type="noConversion"/>
  </si>
  <si>
    <r>
      <t>Na</t>
    </r>
    <r>
      <rPr>
        <vertAlign val="sub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CO</t>
    </r>
    <r>
      <rPr>
        <vertAlign val="subscript"/>
        <sz val="12"/>
        <color theme="1"/>
        <rFont val="Calibri"/>
        <family val="2"/>
      </rPr>
      <t>3</t>
    </r>
    <phoneticPr fontId="5" type="noConversion"/>
  </si>
  <si>
    <t>O</t>
  </si>
  <si>
    <t>Al</t>
    <phoneticPr fontId="5" type="noConversion"/>
  </si>
  <si>
    <t>S</t>
    <phoneticPr fontId="5" type="noConversion"/>
  </si>
  <si>
    <t>H</t>
    <phoneticPr fontId="5" type="noConversion"/>
  </si>
  <si>
    <t>克/每莫爾</t>
    <phoneticPr fontId="5" type="noConversion"/>
  </si>
  <si>
    <r>
      <t>CO</t>
    </r>
    <r>
      <rPr>
        <vertAlign val="subscript"/>
        <sz val="12"/>
        <color theme="1"/>
        <rFont val="Calibri"/>
        <family val="2"/>
      </rPr>
      <t>2</t>
    </r>
  </si>
  <si>
    <t>換算係數</t>
    <phoneticPr fontId="5" type="noConversion"/>
  </si>
  <si>
    <t>換算係數</t>
    <phoneticPr fontId="5" type="noConversion"/>
  </si>
  <si>
    <t>換算</t>
    <phoneticPr fontId="5" type="noConversion"/>
  </si>
  <si>
    <t>設備名稱</t>
    <phoneticPr fontId="5" type="noConversion"/>
  </si>
  <si>
    <t>柴油數量</t>
    <phoneticPr fontId="5" type="noConversion"/>
  </si>
  <si>
    <t>發電機</t>
  </si>
  <si>
    <t>数量(升)</t>
  </si>
  <si>
    <t>95汽油</t>
  </si>
  <si>
    <t>1-3月</t>
    <phoneticPr fontId="5" type="noConversion"/>
  </si>
  <si>
    <t>95汽油</t>
    <phoneticPr fontId="5" type="noConversion"/>
  </si>
  <si>
    <t>4-6月</t>
    <phoneticPr fontId="5" type="noConversion"/>
  </si>
  <si>
    <t>7-9月</t>
    <phoneticPr fontId="5" type="noConversion"/>
  </si>
  <si>
    <t>10-12月</t>
    <phoneticPr fontId="5" type="noConversion"/>
  </si>
  <si>
    <t>92汽油</t>
    <phoneticPr fontId="5" type="noConversion"/>
  </si>
  <si>
    <t>95 總共</t>
    <phoneticPr fontId="5" type="noConversion"/>
  </si>
  <si>
    <t>92 總共</t>
    <phoneticPr fontId="5" type="noConversion"/>
  </si>
  <si>
    <t>兩台車</t>
    <phoneticPr fontId="5" type="noConversion"/>
  </si>
  <si>
    <t>1-12月 公升</t>
    <phoneticPr fontId="5" type="noConversion"/>
  </si>
  <si>
    <t>公秉</t>
    <phoneticPr fontId="5" type="noConversion"/>
  </si>
  <si>
    <t>(ton/ton)</t>
    <phoneticPr fontId="5" type="noConversion"/>
  </si>
  <si>
    <t>汽油量</t>
    <phoneticPr fontId="5" type="noConversion"/>
  </si>
  <si>
    <t>CH4</t>
    <phoneticPr fontId="5" type="noConversion"/>
  </si>
  <si>
    <t>N2O</t>
    <phoneticPr fontId="5" type="noConversion"/>
  </si>
  <si>
    <t>出發地</t>
    <phoneticPr fontId="5" type="noConversion"/>
  </si>
  <si>
    <t>抵達地</t>
    <phoneticPr fontId="5" type="noConversion"/>
  </si>
  <si>
    <t>交通工具</t>
    <phoneticPr fontId="5" type="noConversion"/>
  </si>
  <si>
    <t>深圳</t>
    <phoneticPr fontId="5" type="noConversion"/>
  </si>
  <si>
    <t>香港</t>
    <phoneticPr fontId="5" type="noConversion"/>
  </si>
  <si>
    <t>日期</t>
    <phoneticPr fontId="5" type="noConversion"/>
  </si>
  <si>
    <t>高鐵</t>
    <phoneticPr fontId="5" type="noConversion"/>
  </si>
  <si>
    <t>距離</t>
    <phoneticPr fontId="5" type="noConversion"/>
  </si>
  <si>
    <t>趟數-換算</t>
    <phoneticPr fontId="5" type="noConversion"/>
  </si>
  <si>
    <t>係數 kg CO2e</t>
    <phoneticPr fontId="5" type="noConversion"/>
  </si>
  <si>
    <t>一般事業廢棄物</t>
  </si>
  <si>
    <t>廢溶劑</t>
  </si>
  <si>
    <t>處理方式</t>
    <phoneticPr fontId="5" type="noConversion"/>
  </si>
  <si>
    <t>廢溶劑，焚化處理</t>
    <phoneticPr fontId="5" type="noConversion"/>
  </si>
  <si>
    <t>一般事業廢棄物，掩埋處理</t>
    <phoneticPr fontId="5" type="noConversion"/>
  </si>
  <si>
    <t>係數 ton CO2e</t>
    <phoneticPr fontId="5" type="noConversion"/>
  </si>
  <si>
    <t>因無相關資料，故參考PET的數據換算</t>
    <phoneticPr fontId="5" type="noConversion"/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</si>
  <si>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</si>
  <si>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</si>
  <si>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</si>
  <si>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</si>
  <si>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</si>
  <si>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</si>
  <si>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</si>
  <si>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</si>
  <si>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</si>
  <si>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</si>
  <si>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</si>
  <si>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</si>
  <si>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員工數</t>
  </si>
  <si>
    <t>每月上班天数</t>
  </si>
  <si>
    <t>係數</t>
    <phoneticPr fontId="5" type="noConversion"/>
  </si>
  <si>
    <t>GWP</t>
    <phoneticPr fontId="5" type="noConversion"/>
  </si>
  <si>
    <t>換算</t>
    <phoneticPr fontId="5" type="noConversion"/>
  </si>
  <si>
    <t>時數/天</t>
    <phoneticPr fontId="5" type="noConversion"/>
  </si>
  <si>
    <t>年-換算</t>
    <phoneticPr fontId="5" type="noConversion"/>
  </si>
  <si>
    <t>CH4 人時</t>
    <phoneticPr fontId="5" type="noConversion"/>
  </si>
  <si>
    <t>化糞池</t>
    <phoneticPr fontId="5" type="noConversion"/>
  </si>
  <si>
    <t>ton CO2e</t>
    <phoneticPr fontId="5" type="noConversion"/>
  </si>
  <si>
    <t>製程</t>
    <phoneticPr fontId="5" type="noConversion"/>
  </si>
  <si>
    <t>固定</t>
    <phoneticPr fontId="5" type="noConversion"/>
  </si>
  <si>
    <t>移動</t>
    <phoneticPr fontId="5" type="noConversion"/>
  </si>
  <si>
    <t>逸散</t>
    <phoneticPr fontId="5" type="noConversion"/>
  </si>
  <si>
    <t>能源</t>
    <phoneticPr fontId="5" type="noConversion"/>
  </si>
  <si>
    <t>電力</t>
    <phoneticPr fontId="5" type="noConversion"/>
  </si>
  <si>
    <t>冷媒</t>
    <phoneticPr fontId="5" type="noConversion"/>
  </si>
  <si>
    <t>上游</t>
    <phoneticPr fontId="5" type="noConversion"/>
  </si>
  <si>
    <t>原料</t>
    <phoneticPr fontId="5" type="noConversion"/>
  </si>
  <si>
    <t>水</t>
    <phoneticPr fontId="5" type="noConversion"/>
  </si>
  <si>
    <t>下游</t>
    <phoneticPr fontId="5" type="noConversion"/>
  </si>
  <si>
    <t>柴油-發電機</t>
    <phoneticPr fontId="5" type="noConversion"/>
  </si>
  <si>
    <t>滅火器</t>
    <phoneticPr fontId="5" type="noConversion"/>
  </si>
  <si>
    <t>高鐵</t>
    <phoneticPr fontId="5" type="noConversion"/>
  </si>
  <si>
    <t>廢棄物</t>
    <phoneticPr fontId="5" type="noConversion"/>
  </si>
  <si>
    <t>原料運輸</t>
    <phoneticPr fontId="5" type="noConversion"/>
  </si>
  <si>
    <t>產品運輸</t>
    <phoneticPr fontId="5" type="noConversion"/>
  </si>
  <si>
    <t>產品名稱</t>
    <phoneticPr fontId="5" type="noConversion"/>
  </si>
  <si>
    <t>總重 ton</t>
    <phoneticPr fontId="5" type="noConversion"/>
  </si>
  <si>
    <t>處理方式</t>
    <phoneticPr fontId="5" type="noConversion"/>
  </si>
  <si>
    <t>廢棄物焚化處理</t>
    <phoneticPr fontId="5" type="noConversion"/>
  </si>
  <si>
    <t>產品衍伸排放</t>
    <phoneticPr fontId="5" type="noConversion"/>
  </si>
  <si>
    <t>廢棄物焚化處理</t>
    <phoneticPr fontId="5" type="noConversion"/>
  </si>
  <si>
    <t>2020年總排放量</t>
    <phoneticPr fontId="5" type="noConversion"/>
  </si>
  <si>
    <t>類別1-直接</t>
    <phoneticPr fontId="5" type="noConversion"/>
  </si>
  <si>
    <t>類別2</t>
    <phoneticPr fontId="5" type="noConversion"/>
  </si>
  <si>
    <t>類別3-運輸</t>
    <phoneticPr fontId="5" type="noConversion"/>
  </si>
  <si>
    <t>類別4-上游</t>
    <phoneticPr fontId="5" type="noConversion"/>
  </si>
  <si>
    <t>類別5-下游</t>
    <phoneticPr fontId="5" type="noConversion"/>
  </si>
  <si>
    <t>類別1溫室氣體排放量</t>
    <phoneticPr fontId="5" type="noConversion"/>
  </si>
  <si>
    <t>種類</t>
    <phoneticPr fontId="5" type="noConversion"/>
  </si>
  <si>
    <t>占比(%)</t>
    <phoneticPr fontId="5" type="noConversion"/>
  </si>
  <si>
    <t>排放當量(ton CO2e/年)</t>
    <phoneticPr fontId="5" type="noConversion"/>
  </si>
  <si>
    <t>CO2</t>
    <phoneticPr fontId="5" type="noConversion"/>
  </si>
  <si>
    <t>CH4</t>
    <phoneticPr fontId="5" type="noConversion"/>
  </si>
  <si>
    <t>N2O</t>
    <phoneticPr fontId="5" type="noConversion"/>
  </si>
  <si>
    <t>PFCs</t>
    <phoneticPr fontId="5" type="noConversion"/>
  </si>
  <si>
    <t>SF6</t>
    <phoneticPr fontId="5" type="noConversion"/>
  </si>
  <si>
    <t>NF3</t>
    <phoneticPr fontId="5" type="noConversion"/>
  </si>
  <si>
    <t>合計</t>
    <phoneticPr fontId="5" type="noConversion"/>
  </si>
  <si>
    <t>HFCs</t>
    <phoneticPr fontId="5" type="noConversion"/>
  </si>
  <si>
    <t>汽油-公司車</t>
  </si>
  <si>
    <t>汽油-公司車</t>
    <phoneticPr fontId="5" type="noConversion"/>
  </si>
  <si>
    <t>冷媒</t>
    <phoneticPr fontId="5" type="noConversion"/>
  </si>
  <si>
    <t>化糞池</t>
    <phoneticPr fontId="5" type="noConversion"/>
  </si>
  <si>
    <t>滅火器</t>
    <phoneticPr fontId="5" type="noConversion"/>
  </si>
  <si>
    <t>土地利用</t>
    <phoneticPr fontId="5" type="noConversion"/>
  </si>
  <si>
    <t>總計</t>
    <phoneticPr fontId="5" type="noConversion"/>
  </si>
  <si>
    <t>全部總計</t>
    <phoneticPr fontId="5" type="noConversion"/>
  </si>
  <si>
    <t>公司車</t>
    <phoneticPr fontId="5" type="noConversion"/>
  </si>
  <si>
    <t>Benz</t>
    <phoneticPr fontId="5" type="noConversion"/>
  </si>
  <si>
    <t>別克</t>
    <phoneticPr fontId="5" type="noConversion"/>
  </si>
  <si>
    <t>奧B-147WD</t>
    <phoneticPr fontId="5" type="noConversion"/>
  </si>
  <si>
    <t>奧B-1752M</t>
    <phoneticPr fontId="5" type="noConversion"/>
  </si>
  <si>
    <t>R-134A</t>
    <phoneticPr fontId="5" type="noConversion"/>
  </si>
  <si>
    <t>占比</t>
    <phoneticPr fontId="5" type="noConversion"/>
  </si>
  <si>
    <t>占總排放比</t>
    <phoneticPr fontId="5" type="noConversion"/>
  </si>
  <si>
    <t>商務</t>
    <phoneticPr fontId="5" type="noConversion"/>
  </si>
  <si>
    <t>類別2</t>
    <phoneticPr fontId="5" type="noConversion"/>
  </si>
  <si>
    <t>類別1</t>
    <phoneticPr fontId="5" type="noConversion"/>
  </si>
  <si>
    <t>類別3~6</t>
    <phoneticPr fontId="5" type="noConversion"/>
  </si>
  <si>
    <t>類別6-其他</t>
    <phoneticPr fontId="5" type="noConversion"/>
  </si>
  <si>
    <t>占比%</t>
    <phoneticPr fontId="5" type="noConversion"/>
  </si>
  <si>
    <t>單位</t>
    <phoneticPr fontId="5" type="noConversion"/>
  </si>
  <si>
    <t>電力</t>
    <phoneticPr fontId="5" type="noConversion"/>
  </si>
  <si>
    <t>第一類</t>
    <phoneticPr fontId="5" type="noConversion"/>
  </si>
  <si>
    <t>第二類</t>
    <phoneticPr fontId="5" type="noConversion"/>
  </si>
  <si>
    <t>第三類</t>
    <phoneticPr fontId="5" type="noConversion"/>
  </si>
  <si>
    <t>商務</t>
    <phoneticPr fontId="5" type="noConversion"/>
  </si>
  <si>
    <t>第四類</t>
    <phoneticPr fontId="5" type="noConversion"/>
  </si>
  <si>
    <t>原料、水</t>
    <phoneticPr fontId="5" type="noConversion"/>
  </si>
  <si>
    <t>總計</t>
    <phoneticPr fontId="5" type="noConversion"/>
  </si>
  <si>
    <t>佔比%</t>
    <phoneticPr fontId="5" type="noConversion"/>
  </si>
  <si>
    <t>第一類</t>
    <phoneticPr fontId="5" type="noConversion"/>
  </si>
  <si>
    <t>種類</t>
    <phoneticPr fontId="5" type="noConversion"/>
  </si>
  <si>
    <t>總佔比%</t>
    <phoneticPr fontId="5" type="noConversion"/>
  </si>
  <si>
    <t>紅色底:重大項目</t>
    <phoneticPr fontId="5" type="noConversion"/>
  </si>
  <si>
    <t>佔比%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</si>
</sst>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00000_);[Red]\(0.0000000000\)"/>
    <numFmt numFmtId="178" formatCode="0.0000000000_ "/>
    <numFmt numFmtId="179" formatCode="0.0000_ "/>
    <numFmt numFmtId="191" formatCode="0.0"/>
    <numFmt numFmtId="192" formatCode="0.000000000000_ "/>
  </numFmts>
  <fonts count="14">
    <font>
      <sz val="12"/>
      <color theme="1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616161"/>
      <name val="Microsoft YaHei"/>
      <family val="2"/>
      <charset val="134"/>
    </font>
    <font>
      <sz val="11"/>
      <color rgb="FF4D5156"/>
      <name val="Arial"/>
      <family val="2"/>
    </font>
    <font>
      <sz val="11"/>
      <color rgb="FF555555"/>
      <name val="微軟正黑體"/>
      <family val="2"/>
      <charset val="136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10"/>
      <color theme="1"/>
      <name val="新細明體"/>
      <family val="2"/>
      <scheme val="minor"/>
    </font>
    <font>
      <sz val="10"/>
      <color theme="1"/>
      <name val="Microsoft JhengHei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1E8D7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7" xfId="0" applyFont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14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12" fillId="0" borderId="0" xfId="0" applyFont="1" applyAlignment="1"/>
    <xf numFmtId="0" fontId="0" fillId="0" borderId="0" xfId="0" applyAlignment="1"/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left" vertical="center" indent="1"/>
    </xf>
    <xf numFmtId="0" fontId="13" fillId="6" borderId="1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8" borderId="0" xfId="0" applyFont="1" applyFill="1" applyBorder="1">
      <alignment vertical="center"/>
    </xf>
    <xf numFmtId="176" fontId="2" fillId="0" borderId="0" xfId="0" applyNumberFormat="1" applyFont="1" applyBorder="1">
      <alignment vertical="center"/>
    </xf>
    <xf numFmtId="0" fontId="2" fillId="9" borderId="0" xfId="0" applyFont="1" applyFill="1" applyBorder="1">
      <alignment vertical="center"/>
    </xf>
    <xf numFmtId="176" fontId="2" fillId="9" borderId="0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2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91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192" fontId="2" fillId="0" borderId="0" xfId="0" applyNumberFormat="1" applyFont="1" applyBorder="1">
      <alignment vertical="center"/>
    </xf>
    <xf numFmtId="2" fontId="2" fillId="0" borderId="0" xfId="0" applyNumberFormat="1" applyFont="1" applyBorder="1">
      <alignment vertical="center"/>
    </xf>
    <xf numFmtId="0" fontId="2" fillId="1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2" fontId="0" fillId="0" borderId="0" xfId="0" applyNumberFormat="1">
      <alignment vertical="center"/>
    </xf>
    <xf numFmtId="0" fontId="0" fillId="0" borderId="13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3" xfId="0" applyFill="1" applyBorder="1">
      <alignment vertical="center"/>
    </xf>
    <xf numFmtId="0" fontId="0" fillId="0" borderId="21" xfId="0" applyFill="1" applyBorder="1">
      <alignment vertical="center"/>
    </xf>
    <xf numFmtId="0" fontId="2" fillId="0" borderId="14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2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0" borderId="18" xfId="0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Fill="1" applyBorder="1">
      <alignment vertical="center"/>
    </xf>
    <xf numFmtId="2" fontId="0" fillId="0" borderId="14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176" fontId="0" fillId="0" borderId="23" xfId="0" applyNumberFormat="1" applyBorder="1">
      <alignment vertical="center"/>
    </xf>
    <xf numFmtId="176" fontId="0" fillId="0" borderId="25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19050</xdr:rowOff>
    </xdr:from>
    <xdr:to>
      <xdr:col>11</xdr:col>
      <xdr:colOff>581807</xdr:colOff>
      <xdr:row>6</xdr:row>
      <xdr:rowOff>28723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228600"/>
          <a:ext cx="5601482" cy="10574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123825</xdr:rowOff>
    </xdr:from>
    <xdr:to>
      <xdr:col>9</xdr:col>
      <xdr:colOff>667903</xdr:colOff>
      <xdr:row>6</xdr:row>
      <xdr:rowOff>19123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42975"/>
          <a:ext cx="8259328" cy="523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38100</xdr:rowOff>
    </xdr:from>
    <xdr:to>
      <xdr:col>9</xdr:col>
      <xdr:colOff>466725</xdr:colOff>
      <xdr:row>22</xdr:row>
      <xdr:rowOff>96159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04243018-0DE3-40C4-9072-AF8AA6D44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04800" y="3390900"/>
          <a:ext cx="6686550" cy="1315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16</xdr:row>
      <xdr:rowOff>95250</xdr:rowOff>
    </xdr:from>
    <xdr:to>
      <xdr:col>5</xdr:col>
      <xdr:colOff>876941</xdr:colOff>
      <xdr:row>19</xdr:row>
      <xdr:rowOff>9601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3028950"/>
          <a:ext cx="4591691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19</xdr:row>
      <xdr:rowOff>85725</xdr:rowOff>
    </xdr:from>
    <xdr:to>
      <xdr:col>6</xdr:col>
      <xdr:colOff>95923</xdr:colOff>
      <xdr:row>29</xdr:row>
      <xdr:rowOff>162228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3648075"/>
          <a:ext cx="4820323" cy="217200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18</xdr:row>
      <xdr:rowOff>9525</xdr:rowOff>
    </xdr:from>
    <xdr:to>
      <xdr:col>8</xdr:col>
      <xdr:colOff>266977</xdr:colOff>
      <xdr:row>27</xdr:row>
      <xdr:rowOff>124104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3362325"/>
          <a:ext cx="1981477" cy="200052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17</xdr:row>
      <xdr:rowOff>104775</xdr:rowOff>
    </xdr:from>
    <xdr:to>
      <xdr:col>13</xdr:col>
      <xdr:colOff>210009</xdr:colOff>
      <xdr:row>33</xdr:row>
      <xdr:rowOff>143349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5" y="3248025"/>
          <a:ext cx="3286584" cy="3391374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30</xdr:row>
      <xdr:rowOff>57150</xdr:rowOff>
    </xdr:from>
    <xdr:to>
      <xdr:col>6</xdr:col>
      <xdr:colOff>619859</xdr:colOff>
      <xdr:row>41</xdr:row>
      <xdr:rowOff>105104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5924550"/>
          <a:ext cx="5258534" cy="2353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152400</xdr:rowOff>
    </xdr:from>
    <xdr:to>
      <xdr:col>6</xdr:col>
      <xdr:colOff>314934</xdr:colOff>
      <xdr:row>13</xdr:row>
      <xdr:rowOff>190622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038350"/>
          <a:ext cx="4363059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14</xdr:row>
      <xdr:rowOff>180975</xdr:rowOff>
    </xdr:from>
    <xdr:to>
      <xdr:col>11</xdr:col>
      <xdr:colOff>325130</xdr:colOff>
      <xdr:row>18</xdr:row>
      <xdr:rowOff>190618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14675"/>
          <a:ext cx="9164330" cy="847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</xdr:row>
      <xdr:rowOff>66675</xdr:rowOff>
    </xdr:from>
    <xdr:to>
      <xdr:col>9</xdr:col>
      <xdr:colOff>210532</xdr:colOff>
      <xdr:row>12</xdr:row>
      <xdr:rowOff>200278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04875"/>
          <a:ext cx="7030432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18</xdr:row>
      <xdr:rowOff>76200</xdr:rowOff>
    </xdr:from>
    <xdr:to>
      <xdr:col>10</xdr:col>
      <xdr:colOff>582148</xdr:colOff>
      <xdr:row>30</xdr:row>
      <xdr:rowOff>28920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238625"/>
          <a:ext cx="8040223" cy="246732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</xdr:row>
      <xdr:rowOff>0</xdr:rowOff>
    </xdr:from>
    <xdr:to>
      <xdr:col>6</xdr:col>
      <xdr:colOff>457783</xdr:colOff>
      <xdr:row>8</xdr:row>
      <xdr:rowOff>28638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47825"/>
          <a:ext cx="4172533" cy="4477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4</xdr:row>
      <xdr:rowOff>114300</xdr:rowOff>
    </xdr:from>
    <xdr:to>
      <xdr:col>5</xdr:col>
      <xdr:colOff>286238</xdr:colOff>
      <xdr:row>20</xdr:row>
      <xdr:rowOff>452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952500"/>
          <a:ext cx="3496163" cy="3238952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4</xdr:row>
      <xdr:rowOff>200025</xdr:rowOff>
    </xdr:from>
    <xdr:to>
      <xdr:col>10</xdr:col>
      <xdr:colOff>600624</xdr:colOff>
      <xdr:row>26</xdr:row>
      <xdr:rowOff>86353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1038225"/>
          <a:ext cx="3934374" cy="449642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4</xdr:row>
      <xdr:rowOff>161925</xdr:rowOff>
    </xdr:from>
    <xdr:to>
      <xdr:col>15</xdr:col>
      <xdr:colOff>400484</xdr:colOff>
      <xdr:row>17</xdr:row>
      <xdr:rowOff>162305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000125"/>
          <a:ext cx="3105584" cy="27245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9</xdr:row>
      <xdr:rowOff>114300</xdr:rowOff>
    </xdr:from>
    <xdr:to>
      <xdr:col>7</xdr:col>
      <xdr:colOff>420256</xdr:colOff>
      <xdr:row>13</xdr:row>
      <xdr:rowOff>152522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190750"/>
          <a:ext cx="827838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7</xdr:row>
      <xdr:rowOff>28575</xdr:rowOff>
    </xdr:from>
    <xdr:to>
      <xdr:col>7</xdr:col>
      <xdr:colOff>410728</xdr:colOff>
      <xdr:row>9</xdr:row>
      <xdr:rowOff>133423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685925"/>
          <a:ext cx="8259328" cy="5239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47625</xdr:rowOff>
    </xdr:from>
    <xdr:to>
      <xdr:col>9</xdr:col>
      <xdr:colOff>286804</xdr:colOff>
      <xdr:row>13</xdr:row>
      <xdr:rowOff>95315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3175"/>
          <a:ext cx="7544854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10</xdr:col>
      <xdr:colOff>239268</xdr:colOff>
      <xdr:row>16</xdr:row>
      <xdr:rowOff>53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1800"/>
          <a:ext cx="8183118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</xdr:row>
      <xdr:rowOff>161925</xdr:rowOff>
    </xdr:from>
    <xdr:to>
      <xdr:col>10</xdr:col>
      <xdr:colOff>163053</xdr:colOff>
      <xdr:row>20</xdr:row>
      <xdr:rowOff>28673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514725"/>
          <a:ext cx="8078328" cy="70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workbookViewId="0">
      <selection activeCell="E42" sqref="E42"/>
    </sheetView>
  </sheetViews>
  <sheetFormatPr defaultColWidth="8.875" defaultRowHeight="15.75"/>
  <cols>
    <col min="1" max="1" width="17.5" style="7" customWidth="1"/>
    <col min="2" max="2" width="15.125" style="7" customWidth="1"/>
    <col min="3" max="3" width="18.875" style="7" customWidth="1"/>
    <col min="4" max="4" width="15.5" style="7" customWidth="1"/>
    <col min="5" max="5" width="11" style="7" customWidth="1"/>
    <col min="6" max="6" width="16" style="7" customWidth="1"/>
    <col min="7" max="7" width="14.125" style="7" customWidth="1"/>
    <col min="8" max="8" width="28.125" style="7" customWidth="1"/>
    <col min="9" max="10" width="10.125" style="1" bestFit="1" customWidth="1"/>
    <col min="11" max="11" width="8.875" style="1"/>
    <col min="12" max="12" width="10.25" style="1" customWidth="1"/>
    <col min="13" max="13" width="10" style="1" customWidth="1"/>
    <col min="14" max="14" width="19.375" style="1" bestFit="1" customWidth="1"/>
    <col min="15" max="15" width="8.875" style="1"/>
    <col min="16" max="16" width="11.625" style="1" customWidth="1"/>
    <col min="17" max="16384" width="8.875" style="1"/>
  </cols>
  <sheetData>
    <row r="1" spans="1:8" ht="16.5">
      <c r="A1" s="40" t="s">
        <v>0</v>
      </c>
      <c r="B1" s="41"/>
      <c r="C1" s="41"/>
      <c r="D1" s="41"/>
      <c r="E1" s="41"/>
      <c r="F1" s="41"/>
      <c r="G1" s="41"/>
      <c r="H1" s="35" t="s">
        <v>27</v>
      </c>
    </row>
    <row r="2" spans="1:8" ht="16.5">
      <c r="A2" s="8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5</v>
      </c>
      <c r="H2" s="36"/>
    </row>
    <row r="3" spans="1:8">
      <c r="A3" s="9" t="s">
        <v>7</v>
      </c>
      <c r="B3" s="4" t="s">
        <v>8</v>
      </c>
      <c r="C3" s="5" t="s">
        <v>31</v>
      </c>
      <c r="D3" s="6">
        <v>150000</v>
      </c>
      <c r="E3" s="4" t="s">
        <v>24</v>
      </c>
      <c r="F3" s="4">
        <v>150</v>
      </c>
      <c r="G3" s="4" t="s">
        <v>24</v>
      </c>
      <c r="H3" s="10" t="s">
        <v>28</v>
      </c>
    </row>
    <row r="4" spans="1:8">
      <c r="A4" s="9" t="s">
        <v>7</v>
      </c>
      <c r="B4" s="4" t="s">
        <v>8</v>
      </c>
      <c r="C4" s="5" t="s">
        <v>39</v>
      </c>
      <c r="D4" s="6">
        <v>150000</v>
      </c>
      <c r="E4" s="4" t="s">
        <v>24</v>
      </c>
      <c r="F4" s="4">
        <v>1000</v>
      </c>
      <c r="G4" s="4" t="s">
        <v>24</v>
      </c>
      <c r="H4" s="10" t="s">
        <v>29</v>
      </c>
    </row>
    <row r="5" spans="1:8">
      <c r="A5" s="9" t="s">
        <v>7</v>
      </c>
      <c r="B5" s="4" t="s">
        <v>9</v>
      </c>
      <c r="C5" s="5" t="s">
        <v>25</v>
      </c>
      <c r="D5" s="6">
        <v>600</v>
      </c>
      <c r="E5" s="4" t="s">
        <v>26</v>
      </c>
      <c r="F5" s="4">
        <v>0.5</v>
      </c>
      <c r="G5" s="4" t="s">
        <v>24</v>
      </c>
      <c r="H5" s="10" t="s">
        <v>30</v>
      </c>
    </row>
    <row r="6" spans="1:8" ht="31.5">
      <c r="A6" s="6" t="s">
        <v>7</v>
      </c>
      <c r="B6" s="6" t="s">
        <v>53</v>
      </c>
      <c r="C6" s="12" t="s">
        <v>54</v>
      </c>
      <c r="D6" s="6"/>
      <c r="E6" s="6"/>
      <c r="F6" s="6"/>
      <c r="G6" s="6"/>
      <c r="H6" s="13" t="s">
        <v>55</v>
      </c>
    </row>
    <row r="7" spans="1:8" ht="31.5">
      <c r="A7" s="6" t="s">
        <v>7</v>
      </c>
      <c r="B7" s="6" t="s">
        <v>53</v>
      </c>
      <c r="C7" s="12" t="s">
        <v>56</v>
      </c>
      <c r="D7" s="6"/>
      <c r="E7" s="6"/>
      <c r="F7" s="6"/>
      <c r="G7" s="6"/>
      <c r="H7" s="13" t="s">
        <v>55</v>
      </c>
    </row>
    <row r="8" spans="1:8" ht="47.25">
      <c r="A8" s="9" t="s">
        <v>7</v>
      </c>
      <c r="B8" s="4" t="s">
        <v>9</v>
      </c>
      <c r="C8" s="5" t="s">
        <v>38</v>
      </c>
      <c r="D8" s="6"/>
      <c r="E8" s="4" t="s">
        <v>42</v>
      </c>
      <c r="F8" s="4"/>
      <c r="G8" s="4"/>
      <c r="H8" s="10" t="s">
        <v>43</v>
      </c>
    </row>
    <row r="9" spans="1:8" ht="47.25">
      <c r="A9" s="9" t="s">
        <v>7</v>
      </c>
      <c r="B9" s="4" t="s">
        <v>9</v>
      </c>
      <c r="C9" s="5" t="s">
        <v>40</v>
      </c>
      <c r="D9" s="6"/>
      <c r="E9" s="4" t="s">
        <v>42</v>
      </c>
      <c r="F9" s="4"/>
      <c r="G9" s="4"/>
      <c r="H9" s="10" t="s">
        <v>44</v>
      </c>
    </row>
    <row r="10" spans="1:8" ht="47.25">
      <c r="A10" s="9" t="s">
        <v>7</v>
      </c>
      <c r="B10" s="4" t="s">
        <v>9</v>
      </c>
      <c r="C10" s="5" t="s">
        <v>41</v>
      </c>
      <c r="D10" s="6"/>
      <c r="E10" s="4" t="s">
        <v>42</v>
      </c>
      <c r="F10" s="4"/>
      <c r="G10" s="4"/>
      <c r="H10" s="10" t="s">
        <v>45</v>
      </c>
    </row>
    <row r="11" spans="1:8" ht="47.25">
      <c r="A11" s="9" t="s">
        <v>10</v>
      </c>
      <c r="B11" s="4" t="s">
        <v>11</v>
      </c>
      <c r="C11" s="5" t="s">
        <v>12</v>
      </c>
      <c r="D11" s="39" t="s">
        <v>48</v>
      </c>
      <c r="E11" s="39"/>
      <c r="F11" s="39"/>
      <c r="G11" s="39"/>
      <c r="H11" s="10" t="s">
        <v>22</v>
      </c>
    </row>
    <row r="12" spans="1:8">
      <c r="A12" s="9" t="s">
        <v>10</v>
      </c>
      <c r="B12" s="4" t="s">
        <v>13</v>
      </c>
      <c r="C12" s="5" t="s">
        <v>14</v>
      </c>
      <c r="D12" s="6">
        <v>79432</v>
      </c>
      <c r="E12" s="4" t="s">
        <v>33</v>
      </c>
      <c r="F12" s="4"/>
      <c r="G12" s="4"/>
      <c r="H12" s="10" t="s">
        <v>32</v>
      </c>
    </row>
    <row r="13" spans="1:8">
      <c r="A13" s="9" t="s">
        <v>10</v>
      </c>
      <c r="B13" s="4" t="s">
        <v>15</v>
      </c>
      <c r="C13" s="5" t="s">
        <v>16</v>
      </c>
      <c r="D13" s="39" t="s">
        <v>48</v>
      </c>
      <c r="E13" s="39"/>
      <c r="F13" s="39"/>
      <c r="G13" s="39"/>
      <c r="H13" s="10"/>
    </row>
    <row r="14" spans="1:8">
      <c r="A14" s="9" t="s">
        <v>10</v>
      </c>
      <c r="B14" s="4" t="s">
        <v>15</v>
      </c>
      <c r="C14" s="5" t="s">
        <v>17</v>
      </c>
      <c r="D14" s="39" t="s">
        <v>48</v>
      </c>
      <c r="E14" s="39"/>
      <c r="F14" s="39"/>
      <c r="G14" s="39"/>
      <c r="H14" s="10"/>
    </row>
    <row r="15" spans="1:8" ht="47.25">
      <c r="A15" s="9" t="s">
        <v>19</v>
      </c>
      <c r="B15" s="4" t="s">
        <v>9</v>
      </c>
      <c r="C15" s="5" t="s">
        <v>23</v>
      </c>
      <c r="D15" s="6"/>
      <c r="E15" s="4" t="s">
        <v>47</v>
      </c>
      <c r="F15" s="4">
        <v>50</v>
      </c>
      <c r="G15" s="4" t="s">
        <v>24</v>
      </c>
      <c r="H15" s="10" t="s">
        <v>46</v>
      </c>
    </row>
    <row r="16" spans="1:8">
      <c r="A16" s="9" t="s">
        <v>20</v>
      </c>
      <c r="B16" s="4" t="s">
        <v>13</v>
      </c>
      <c r="C16" s="5" t="s">
        <v>14</v>
      </c>
      <c r="D16" s="39" t="s">
        <v>50</v>
      </c>
      <c r="E16" s="39"/>
      <c r="F16" s="39"/>
      <c r="G16" s="39"/>
      <c r="H16" s="10" t="s">
        <v>49</v>
      </c>
    </row>
    <row r="17" spans="1:14">
      <c r="A17" s="9" t="s">
        <v>21</v>
      </c>
      <c r="B17" s="4" t="s">
        <v>18</v>
      </c>
      <c r="C17" s="5" t="s">
        <v>34</v>
      </c>
      <c r="D17" s="6">
        <v>5600</v>
      </c>
      <c r="E17" s="4" t="s">
        <v>24</v>
      </c>
      <c r="F17" s="4"/>
      <c r="G17" s="4"/>
      <c r="H17" s="10" t="s">
        <v>37</v>
      </c>
    </row>
    <row r="18" spans="1:14">
      <c r="A18" s="9" t="s">
        <v>21</v>
      </c>
      <c r="B18" s="4" t="s">
        <v>18</v>
      </c>
      <c r="C18" s="5" t="s">
        <v>35</v>
      </c>
      <c r="D18" s="6">
        <v>7900</v>
      </c>
      <c r="E18" s="4" t="s">
        <v>24</v>
      </c>
      <c r="F18" s="4"/>
      <c r="G18" s="4"/>
      <c r="H18" s="10" t="s">
        <v>36</v>
      </c>
    </row>
    <row r="19" spans="1:14" ht="16.5" thickBot="1">
      <c r="A19" s="11" t="s">
        <v>51</v>
      </c>
      <c r="B19" s="37" t="s">
        <v>52</v>
      </c>
      <c r="C19" s="37"/>
      <c r="D19" s="37"/>
      <c r="E19" s="37"/>
      <c r="F19" s="37"/>
      <c r="G19" s="37"/>
      <c r="H19" s="38"/>
    </row>
    <row r="21" spans="1:14">
      <c r="B21" s="58" t="s">
        <v>289</v>
      </c>
    </row>
    <row r="22" spans="1:14">
      <c r="B22" s="59"/>
      <c r="C22" s="7" t="s">
        <v>212</v>
      </c>
    </row>
    <row r="23" spans="1:14" ht="16.5" thickBot="1">
      <c r="A23" s="31" t="s">
        <v>237</v>
      </c>
      <c r="E23" s="31" t="s">
        <v>242</v>
      </c>
      <c r="F23" s="31"/>
    </row>
    <row r="24" spans="1:14" ht="16.5" thickBot="1">
      <c r="A24" s="7" t="s">
        <v>214</v>
      </c>
      <c r="B24" s="58" t="s">
        <v>224</v>
      </c>
      <c r="C24" s="32">
        <v>5.2294723159199998</v>
      </c>
      <c r="E24" s="47" t="s">
        <v>243</v>
      </c>
      <c r="F24" s="48"/>
      <c r="G24" s="7" t="s">
        <v>246</v>
      </c>
      <c r="H24" s="7" t="s">
        <v>247</v>
      </c>
      <c r="I24" s="1" t="s">
        <v>248</v>
      </c>
      <c r="J24" s="1" t="s">
        <v>253</v>
      </c>
      <c r="K24" s="1" t="s">
        <v>249</v>
      </c>
      <c r="L24" s="1" t="s">
        <v>250</v>
      </c>
      <c r="M24" s="1" t="s">
        <v>251</v>
      </c>
      <c r="N24" s="1" t="s">
        <v>252</v>
      </c>
    </row>
    <row r="25" spans="1:14" ht="16.5" thickBot="1">
      <c r="A25" s="7" t="s">
        <v>213</v>
      </c>
      <c r="C25" s="7">
        <v>0</v>
      </c>
      <c r="E25" s="47" t="s">
        <v>245</v>
      </c>
      <c r="F25" s="48"/>
      <c r="J25" s="49"/>
      <c r="K25" s="1">
        <v>0</v>
      </c>
      <c r="L25" s="1">
        <v>0</v>
      </c>
      <c r="M25" s="1">
        <v>0</v>
      </c>
    </row>
    <row r="26" spans="1:14" ht="16.5" thickBot="1">
      <c r="A26" s="7" t="s">
        <v>215</v>
      </c>
      <c r="B26" s="58" t="s">
        <v>255</v>
      </c>
      <c r="C26" s="32">
        <v>16.165958789705943</v>
      </c>
      <c r="E26" s="45" t="s">
        <v>244</v>
      </c>
      <c r="F26" s="46"/>
      <c r="N26" s="1">
        <v>100</v>
      </c>
    </row>
    <row r="27" spans="1:14">
      <c r="A27" s="7" t="s">
        <v>216</v>
      </c>
      <c r="B27" s="58" t="s">
        <v>211</v>
      </c>
      <c r="C27" s="32">
        <v>23.285695195071863</v>
      </c>
    </row>
    <row r="28" spans="1:14">
      <c r="B28" s="58" t="s">
        <v>219</v>
      </c>
      <c r="C28" s="32">
        <v>376.29779175000004</v>
      </c>
      <c r="D28" s="56"/>
    </row>
    <row r="29" spans="1:14" ht="16.5">
      <c r="B29" s="58" t="s">
        <v>225</v>
      </c>
      <c r="C29" s="32">
        <v>1.0999999999999999E-2</v>
      </c>
      <c r="F29" s="50" t="s">
        <v>67</v>
      </c>
    </row>
    <row r="30" spans="1:14">
      <c r="A30" s="31" t="s">
        <v>238</v>
      </c>
      <c r="E30" s="7" t="s">
        <v>243</v>
      </c>
      <c r="F30" s="51" t="s">
        <v>224</v>
      </c>
      <c r="G30" s="7" t="s">
        <v>254</v>
      </c>
      <c r="H30" s="1" t="s">
        <v>256</v>
      </c>
      <c r="I30" s="1" t="s">
        <v>257</v>
      </c>
      <c r="J30" s="1" t="s">
        <v>258</v>
      </c>
      <c r="K30" s="1" t="s">
        <v>259</v>
      </c>
      <c r="L30" s="1" t="s">
        <v>260</v>
      </c>
      <c r="M30" s="1" t="s">
        <v>268</v>
      </c>
      <c r="N30" s="1" t="s">
        <v>269</v>
      </c>
    </row>
    <row r="31" spans="1:14" ht="16.5">
      <c r="A31" s="7" t="s">
        <v>217</v>
      </c>
      <c r="B31" s="58" t="s">
        <v>218</v>
      </c>
      <c r="C31" s="14">
        <v>7406.1265439999997</v>
      </c>
      <c r="E31" t="s">
        <v>131</v>
      </c>
      <c r="F31" s="21">
        <v>5.212063584</v>
      </c>
      <c r="G31" s="7">
        <v>15.520610498833438</v>
      </c>
      <c r="H31" s="1">
        <v>0</v>
      </c>
      <c r="I31" s="1">
        <v>0</v>
      </c>
      <c r="J31" s="49">
        <v>1.0999999999999999E-2</v>
      </c>
      <c r="K31" s="1">
        <v>0</v>
      </c>
      <c r="L31" s="53">
        <f>SUM(F31:K31)</f>
        <v>20.743674082833437</v>
      </c>
      <c r="M31" s="54">
        <f>L31/$L$38*100</f>
        <v>4.9273564979614006</v>
      </c>
      <c r="N31" s="52">
        <f>L31/$C$44*100</f>
        <v>0.26216800751949831</v>
      </c>
    </row>
    <row r="32" spans="1:14" ht="16.5">
      <c r="A32" s="31" t="s">
        <v>239</v>
      </c>
      <c r="E32" t="s">
        <v>132</v>
      </c>
      <c r="F32" s="21">
        <v>5.8873129200000002E-3</v>
      </c>
      <c r="G32" s="7">
        <v>0.15621393683890797</v>
      </c>
      <c r="H32" s="1">
        <v>0</v>
      </c>
      <c r="I32" s="1">
        <v>23.285695195071863</v>
      </c>
      <c r="J32" s="1">
        <v>0</v>
      </c>
      <c r="K32" s="1">
        <v>0</v>
      </c>
      <c r="L32" s="53">
        <f>SUM(F32:K32)</f>
        <v>23.447796444830772</v>
      </c>
      <c r="M32" s="54">
        <f>L32/$L$38*100</f>
        <v>5.5696812297550231</v>
      </c>
      <c r="N32" s="52">
        <f t="shared" ref="N32:N37" si="0">L32/$C$44*100</f>
        <v>0.29634393840343193</v>
      </c>
    </row>
    <row r="33" spans="1:14" ht="16.5">
      <c r="A33" s="7" t="s">
        <v>220</v>
      </c>
      <c r="B33" s="7" t="s">
        <v>228</v>
      </c>
      <c r="C33" s="32">
        <v>6.7796890595999999</v>
      </c>
      <c r="E33" t="s">
        <v>133</v>
      </c>
      <c r="F33" s="21">
        <v>1.1521419000000001E-2</v>
      </c>
      <c r="G33" s="7">
        <v>0.48913435403359801</v>
      </c>
      <c r="H33" s="1">
        <v>0</v>
      </c>
      <c r="I33" s="1">
        <v>0</v>
      </c>
      <c r="J33" s="1">
        <v>0</v>
      </c>
      <c r="K33" s="1">
        <v>0</v>
      </c>
      <c r="L33" s="53">
        <f>SUM(F33:K33)</f>
        <v>0.50065577303359798</v>
      </c>
      <c r="M33" s="54">
        <f>L33/$L$38*100</f>
        <v>0.11892345910604595</v>
      </c>
      <c r="N33" s="52">
        <f t="shared" si="0"/>
        <v>6.3275158462875319E-3</v>
      </c>
    </row>
    <row r="34" spans="1:14">
      <c r="A34" s="7" t="s">
        <v>223</v>
      </c>
      <c r="B34" s="7" t="s">
        <v>229</v>
      </c>
      <c r="C34" s="32">
        <v>1.6034400000000002</v>
      </c>
      <c r="E34" s="1" t="s">
        <v>253</v>
      </c>
      <c r="F34" s="7">
        <v>0</v>
      </c>
      <c r="G34" s="7">
        <v>0</v>
      </c>
      <c r="H34" s="49">
        <v>376.29779175000004</v>
      </c>
      <c r="I34" s="1">
        <v>0</v>
      </c>
      <c r="J34" s="1">
        <v>0</v>
      </c>
      <c r="K34" s="1">
        <v>0</v>
      </c>
      <c r="L34" s="53">
        <f>SUM(F34:K34)</f>
        <v>376.29779175000004</v>
      </c>
      <c r="M34" s="54">
        <f>L34/$L$38*100</f>
        <v>89.38403881317754</v>
      </c>
      <c r="N34" s="52">
        <f t="shared" si="0"/>
        <v>4.7558229994909986</v>
      </c>
    </row>
    <row r="35" spans="1:14">
      <c r="A35" s="7" t="s">
        <v>270</v>
      </c>
      <c r="B35" s="58" t="s">
        <v>226</v>
      </c>
      <c r="C35" s="32">
        <v>5.8399999999999997E-3</v>
      </c>
      <c r="E35" s="1" t="s">
        <v>249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53">
        <f>SUM(F35:K35)</f>
        <v>0</v>
      </c>
      <c r="M35" s="54">
        <f>L35/$L$38*100</f>
        <v>0</v>
      </c>
      <c r="N35" s="52">
        <f t="shared" si="0"/>
        <v>0</v>
      </c>
    </row>
    <row r="36" spans="1:14">
      <c r="A36" s="31" t="s">
        <v>240</v>
      </c>
      <c r="E36" s="1" t="s">
        <v>250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53">
        <f>SUM(F36:K36)</f>
        <v>0</v>
      </c>
      <c r="M36" s="54">
        <f>L36/$L$38*100</f>
        <v>0</v>
      </c>
      <c r="N36" s="52">
        <f t="shared" si="0"/>
        <v>0</v>
      </c>
    </row>
    <row r="37" spans="1:14">
      <c r="B37" s="58" t="s">
        <v>221</v>
      </c>
      <c r="C37" s="32">
        <v>3.3180190999999999</v>
      </c>
      <c r="E37" s="1" t="s">
        <v>251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53">
        <f>SUM(F37:K37)</f>
        <v>0</v>
      </c>
      <c r="M37" s="54">
        <f>L37/$L$38*100</f>
        <v>0</v>
      </c>
      <c r="N37" s="52">
        <f t="shared" si="0"/>
        <v>0</v>
      </c>
    </row>
    <row r="38" spans="1:14">
      <c r="B38" s="58" t="s">
        <v>222</v>
      </c>
      <c r="C38" s="32">
        <v>12.788551999999999</v>
      </c>
      <c r="K38" s="1" t="s">
        <v>261</v>
      </c>
      <c r="L38" s="53">
        <f>SUM(L31:L37)</f>
        <v>420.98991805069784</v>
      </c>
      <c r="M38" s="1">
        <f>SUM(M31:M37)</f>
        <v>100.00000000000001</v>
      </c>
      <c r="N38" s="52">
        <f>L38/$C$44*100</f>
        <v>5.3206624612602162</v>
      </c>
    </row>
    <row r="39" spans="1:14">
      <c r="B39" s="7" t="s">
        <v>227</v>
      </c>
      <c r="C39" s="32">
        <v>1.8870529999999999</v>
      </c>
    </row>
    <row r="40" spans="1:14">
      <c r="A40" s="31" t="s">
        <v>241</v>
      </c>
      <c r="E40" s="55"/>
    </row>
    <row r="41" spans="1:14">
      <c r="A41" s="7" t="s">
        <v>234</v>
      </c>
      <c r="B41" s="7" t="s">
        <v>235</v>
      </c>
      <c r="C41" s="32">
        <v>58.86</v>
      </c>
    </row>
    <row r="42" spans="1:14">
      <c r="A42" s="31" t="s">
        <v>274</v>
      </c>
      <c r="C42" s="32"/>
    </row>
    <row r="43" spans="1:14">
      <c r="C43" s="7">
        <v>0</v>
      </c>
      <c r="G43" s="55"/>
    </row>
    <row r="44" spans="1:14">
      <c r="A44" s="33" t="s">
        <v>236</v>
      </c>
      <c r="C44" s="34">
        <f>SUM(C24:C43)</f>
        <v>7912.3590552102978</v>
      </c>
    </row>
    <row r="45" spans="1:14">
      <c r="A45" s="1"/>
      <c r="B45" s="1"/>
      <c r="C45" s="1"/>
      <c r="D45" s="7" t="s">
        <v>275</v>
      </c>
    </row>
    <row r="46" spans="1:14">
      <c r="A46" s="7" t="s">
        <v>272</v>
      </c>
      <c r="C46" s="55">
        <f>C24+C25+C26+C27+C28+C29</f>
        <v>420.9899180506979</v>
      </c>
      <c r="D46" s="57">
        <f>C46/$C$44*100</f>
        <v>5.3206624612602171</v>
      </c>
      <c r="F46" s="32"/>
    </row>
    <row r="47" spans="1:14">
      <c r="A47" s="7" t="s">
        <v>271</v>
      </c>
      <c r="C47" s="32">
        <f>C31</f>
        <v>7406.1265439999997</v>
      </c>
      <c r="D47" s="57">
        <f t="shared" ref="D47:D48" si="1">C47/$C$44*100</f>
        <v>93.602002794894105</v>
      </c>
    </row>
    <row r="48" spans="1:14">
      <c r="A48" s="7" t="s">
        <v>273</v>
      </c>
      <c r="C48" s="55">
        <f>C33+C34+C35+C37+C38+C39+C41+C43</f>
        <v>85.242593159600005</v>
      </c>
      <c r="D48" s="57">
        <f t="shared" si="1"/>
        <v>1.077334743845676</v>
      </c>
    </row>
  </sheetData>
  <mergeCells count="7">
    <mergeCell ref="H1:H2"/>
    <mergeCell ref="B19:H19"/>
    <mergeCell ref="D11:G11"/>
    <mergeCell ref="D13:G13"/>
    <mergeCell ref="D14:G14"/>
    <mergeCell ref="D16:G16"/>
    <mergeCell ref="A1:G1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6" workbookViewId="0">
      <selection activeCell="F30" sqref="F30:F32"/>
    </sheetView>
  </sheetViews>
  <sheetFormatPr defaultRowHeight="16.5"/>
  <cols>
    <col min="3" max="3" width="14" bestFit="1" customWidth="1"/>
    <col min="6" max="6" width="15" bestFit="1" customWidth="1"/>
    <col min="14" max="14" width="12.375" customWidth="1"/>
  </cols>
  <sheetData>
    <row r="1" spans="1:11">
      <c r="B1" t="s">
        <v>159</v>
      </c>
      <c r="C1" t="s">
        <v>161</v>
      </c>
      <c r="D1" t="s">
        <v>162</v>
      </c>
      <c r="E1" t="s">
        <v>163</v>
      </c>
      <c r="H1" t="s">
        <v>159</v>
      </c>
      <c r="I1" t="s">
        <v>161</v>
      </c>
      <c r="J1" t="s">
        <v>162</v>
      </c>
      <c r="K1" t="s">
        <v>163</v>
      </c>
    </row>
    <row r="2" spans="1:11">
      <c r="B2" s="23" t="s">
        <v>157</v>
      </c>
      <c r="C2" s="23" t="s">
        <v>157</v>
      </c>
      <c r="D2" s="24" t="s">
        <v>157</v>
      </c>
      <c r="E2" s="24" t="s">
        <v>157</v>
      </c>
      <c r="H2" s="24" t="s">
        <v>157</v>
      </c>
      <c r="I2" s="24" t="s">
        <v>157</v>
      </c>
      <c r="J2" t="s">
        <v>157</v>
      </c>
      <c r="K2" t="s">
        <v>157</v>
      </c>
    </row>
    <row r="3" spans="1:11">
      <c r="A3" t="s">
        <v>160</v>
      </c>
      <c r="B3" s="23">
        <v>50.03</v>
      </c>
      <c r="C3" s="24">
        <v>55.48</v>
      </c>
      <c r="D3" s="24">
        <v>56.7</v>
      </c>
      <c r="E3" s="24">
        <v>58.41</v>
      </c>
      <c r="G3" t="s">
        <v>160</v>
      </c>
      <c r="H3" s="24">
        <v>52.55</v>
      </c>
      <c r="I3" s="24">
        <v>55.93</v>
      </c>
      <c r="J3">
        <v>64.349999999999994</v>
      </c>
      <c r="K3">
        <v>60.23</v>
      </c>
    </row>
    <row r="4" spans="1:11">
      <c r="A4" t="s">
        <v>160</v>
      </c>
      <c r="B4" s="23">
        <v>60.02</v>
      </c>
      <c r="C4" s="24">
        <v>48.15</v>
      </c>
      <c r="D4" s="24">
        <v>52.62</v>
      </c>
      <c r="E4" s="24">
        <v>56.99</v>
      </c>
      <c r="G4" t="s">
        <v>160</v>
      </c>
      <c r="H4" s="24">
        <v>53.79</v>
      </c>
      <c r="I4" s="24">
        <v>52.58</v>
      </c>
      <c r="J4">
        <v>61.42</v>
      </c>
      <c r="K4">
        <v>51.22</v>
      </c>
    </row>
    <row r="5" spans="1:11">
      <c r="A5" t="s">
        <v>158</v>
      </c>
      <c r="B5" s="23">
        <v>51.99</v>
      </c>
      <c r="C5" s="24">
        <v>54.05</v>
      </c>
      <c r="D5" s="24">
        <v>51.38</v>
      </c>
      <c r="E5" s="24">
        <v>56.87</v>
      </c>
      <c r="G5" t="s">
        <v>158</v>
      </c>
      <c r="H5" s="24">
        <v>49.8</v>
      </c>
      <c r="I5" s="24">
        <v>58.81</v>
      </c>
      <c r="J5">
        <v>60.13</v>
      </c>
      <c r="K5">
        <v>61.32</v>
      </c>
    </row>
    <row r="6" spans="1:11">
      <c r="A6" t="s">
        <v>158</v>
      </c>
      <c r="B6" s="23">
        <v>52.62</v>
      </c>
      <c r="C6" s="24">
        <v>49.52</v>
      </c>
      <c r="D6" s="24">
        <v>45.5</v>
      </c>
      <c r="E6" s="24">
        <v>49.86</v>
      </c>
      <c r="G6" t="s">
        <v>158</v>
      </c>
      <c r="H6" s="24">
        <v>53.32</v>
      </c>
      <c r="I6" s="24">
        <v>49.14</v>
      </c>
      <c r="J6">
        <v>60.71</v>
      </c>
      <c r="K6">
        <v>53.16</v>
      </c>
    </row>
    <row r="7" spans="1:11">
      <c r="A7" t="s">
        <v>158</v>
      </c>
      <c r="B7" s="23">
        <v>15.69</v>
      </c>
      <c r="C7" s="24">
        <v>54.65</v>
      </c>
      <c r="D7" s="24">
        <v>50.31</v>
      </c>
      <c r="E7" s="24">
        <v>51.02</v>
      </c>
      <c r="G7" s="25" t="s">
        <v>164</v>
      </c>
      <c r="H7" s="24">
        <v>37.82</v>
      </c>
      <c r="I7" s="24">
        <v>50.63</v>
      </c>
      <c r="J7">
        <v>62.08</v>
      </c>
      <c r="K7">
        <v>39.96</v>
      </c>
    </row>
    <row r="8" spans="1:11">
      <c r="A8" t="s">
        <v>158</v>
      </c>
      <c r="B8" s="23">
        <v>46.32</v>
      </c>
      <c r="C8" s="24">
        <v>45.26</v>
      </c>
      <c r="D8" s="24">
        <v>53.97</v>
      </c>
      <c r="E8" s="24">
        <v>54.26</v>
      </c>
      <c r="G8" t="s">
        <v>158</v>
      </c>
      <c r="H8" s="24">
        <v>62.3</v>
      </c>
      <c r="I8" s="24">
        <v>0</v>
      </c>
      <c r="J8">
        <v>59.43</v>
      </c>
      <c r="K8">
        <v>59.1</v>
      </c>
    </row>
    <row r="9" spans="1:11">
      <c r="A9" t="s">
        <v>158</v>
      </c>
      <c r="B9" s="23">
        <v>47.7</v>
      </c>
      <c r="C9" s="24">
        <v>50.59</v>
      </c>
      <c r="D9" s="24">
        <v>53.5</v>
      </c>
      <c r="E9" s="24">
        <v>47.95</v>
      </c>
      <c r="G9" t="s">
        <v>158</v>
      </c>
      <c r="H9" s="24">
        <v>53.4</v>
      </c>
      <c r="I9" s="24">
        <v>50.16</v>
      </c>
      <c r="J9">
        <v>63.42</v>
      </c>
      <c r="K9">
        <v>65.459999999999994</v>
      </c>
    </row>
    <row r="10" spans="1:11">
      <c r="A10" t="s">
        <v>158</v>
      </c>
      <c r="B10" s="23">
        <v>45.94</v>
      </c>
      <c r="C10" s="24">
        <v>55.67</v>
      </c>
      <c r="D10" s="24">
        <v>54.45</v>
      </c>
      <c r="E10" s="24">
        <v>52.86</v>
      </c>
      <c r="G10" t="s">
        <v>158</v>
      </c>
      <c r="H10" s="24">
        <v>55.02</v>
      </c>
      <c r="I10" s="24">
        <v>46.22</v>
      </c>
      <c r="J10">
        <v>64.040000000000006</v>
      </c>
      <c r="K10">
        <v>56.91</v>
      </c>
    </row>
    <row r="11" spans="1:11">
      <c r="A11" t="s">
        <v>158</v>
      </c>
      <c r="B11" s="23">
        <v>52.41</v>
      </c>
      <c r="C11" s="24">
        <v>51.84</v>
      </c>
      <c r="D11" s="24">
        <v>59.36</v>
      </c>
      <c r="E11" s="24">
        <v>47.26</v>
      </c>
      <c r="G11" t="s">
        <v>158</v>
      </c>
      <c r="H11" s="24">
        <v>50.25</v>
      </c>
      <c r="I11" s="24">
        <v>51.38</v>
      </c>
      <c r="J11">
        <v>57.01</v>
      </c>
      <c r="K11">
        <v>64.66</v>
      </c>
    </row>
    <row r="12" spans="1:11">
      <c r="A12" t="s">
        <v>158</v>
      </c>
      <c r="B12" s="23">
        <v>43.3</v>
      </c>
      <c r="C12" s="24">
        <v>49.39</v>
      </c>
      <c r="D12" s="24">
        <v>55.66</v>
      </c>
      <c r="E12" s="24">
        <v>50.12</v>
      </c>
      <c r="G12" t="s">
        <v>158</v>
      </c>
      <c r="H12" s="24">
        <v>57.35</v>
      </c>
      <c r="I12" s="24">
        <v>53.73</v>
      </c>
      <c r="J12">
        <v>58.01</v>
      </c>
      <c r="K12">
        <v>63.17</v>
      </c>
    </row>
    <row r="13" spans="1:11">
      <c r="A13" t="s">
        <v>160</v>
      </c>
      <c r="C13" s="24">
        <v>57.22</v>
      </c>
      <c r="D13" s="24">
        <v>54.37</v>
      </c>
      <c r="E13" s="24">
        <v>59.97</v>
      </c>
      <c r="G13" t="s">
        <v>158</v>
      </c>
      <c r="I13" s="24">
        <v>48.65</v>
      </c>
      <c r="J13">
        <v>57</v>
      </c>
      <c r="K13">
        <v>63.55</v>
      </c>
    </row>
    <row r="14" spans="1:11">
      <c r="A14" t="s">
        <v>160</v>
      </c>
      <c r="C14" s="24">
        <v>48.27</v>
      </c>
      <c r="D14" s="24">
        <v>57.12</v>
      </c>
      <c r="E14" s="24">
        <v>58.06</v>
      </c>
      <c r="G14" t="s">
        <v>158</v>
      </c>
      <c r="I14" s="24">
        <v>52.5</v>
      </c>
      <c r="J14">
        <v>55.85</v>
      </c>
      <c r="K14">
        <v>61.96</v>
      </c>
    </row>
    <row r="15" spans="1:11">
      <c r="A15" t="s">
        <v>158</v>
      </c>
      <c r="C15" s="24">
        <v>51.71</v>
      </c>
      <c r="D15" s="24">
        <v>48.57</v>
      </c>
      <c r="E15" s="24">
        <v>54.85</v>
      </c>
      <c r="G15" t="s">
        <v>158</v>
      </c>
      <c r="I15" s="24">
        <v>45.76</v>
      </c>
      <c r="J15">
        <v>60.97</v>
      </c>
      <c r="K15">
        <v>57.59</v>
      </c>
    </row>
    <row r="16" spans="1:11">
      <c r="A16" t="s">
        <v>158</v>
      </c>
      <c r="C16" s="24">
        <v>41.38</v>
      </c>
      <c r="D16" s="24">
        <v>61.56</v>
      </c>
      <c r="E16" s="24">
        <v>55.24</v>
      </c>
      <c r="G16" t="s">
        <v>158</v>
      </c>
      <c r="I16" s="24">
        <v>56.13</v>
      </c>
      <c r="J16">
        <v>48.36</v>
      </c>
      <c r="K16">
        <v>53.94</v>
      </c>
    </row>
    <row r="17" spans="1:14">
      <c r="A17" t="s">
        <v>158</v>
      </c>
      <c r="C17" s="24">
        <v>48.13</v>
      </c>
      <c r="D17" s="24">
        <v>48.91</v>
      </c>
      <c r="E17" s="24">
        <v>47.85</v>
      </c>
      <c r="G17" t="s">
        <v>158</v>
      </c>
      <c r="I17" s="24">
        <v>51.61</v>
      </c>
      <c r="J17">
        <v>53.48</v>
      </c>
      <c r="K17">
        <v>63.07</v>
      </c>
    </row>
    <row r="18" spans="1:14">
      <c r="A18" t="s">
        <v>158</v>
      </c>
      <c r="C18" s="24">
        <v>55.82</v>
      </c>
      <c r="D18" s="24">
        <v>46.62</v>
      </c>
      <c r="G18" t="s">
        <v>158</v>
      </c>
      <c r="I18" s="24">
        <v>54.03</v>
      </c>
      <c r="J18">
        <v>50</v>
      </c>
    </row>
    <row r="19" spans="1:14">
      <c r="A19" t="s">
        <v>158</v>
      </c>
      <c r="C19" s="24">
        <v>62.11</v>
      </c>
      <c r="D19" s="24">
        <v>43.9</v>
      </c>
      <c r="G19" t="s">
        <v>158</v>
      </c>
      <c r="I19" s="24">
        <v>53.43</v>
      </c>
      <c r="J19">
        <v>53.7</v>
      </c>
    </row>
    <row r="20" spans="1:14">
      <c r="A20" t="s">
        <v>158</v>
      </c>
      <c r="C20" s="24">
        <v>47.73</v>
      </c>
      <c r="D20" s="24">
        <v>44.15</v>
      </c>
      <c r="G20" t="s">
        <v>158</v>
      </c>
      <c r="I20" s="24">
        <v>53.26</v>
      </c>
      <c r="J20">
        <v>58.59</v>
      </c>
    </row>
    <row r="21" spans="1:14">
      <c r="A21" t="s">
        <v>158</v>
      </c>
      <c r="C21" s="24">
        <v>51.12</v>
      </c>
      <c r="D21" s="24">
        <v>60.18</v>
      </c>
      <c r="G21" t="s">
        <v>158</v>
      </c>
      <c r="J21">
        <v>58.38</v>
      </c>
    </row>
    <row r="22" spans="1:14">
      <c r="A22" t="s">
        <v>158</v>
      </c>
      <c r="C22" s="24">
        <v>58.02</v>
      </c>
      <c r="D22" s="24">
        <v>51.75</v>
      </c>
      <c r="G22" t="s">
        <v>158</v>
      </c>
      <c r="J22">
        <v>53.28</v>
      </c>
    </row>
    <row r="23" spans="1:14">
      <c r="A23" t="s">
        <v>158</v>
      </c>
      <c r="D23" s="24">
        <v>58.68</v>
      </c>
    </row>
    <row r="24" spans="1:14">
      <c r="D24" s="24"/>
      <c r="M24" t="s">
        <v>167</v>
      </c>
      <c r="N24" t="s">
        <v>168</v>
      </c>
    </row>
    <row r="25" spans="1:14">
      <c r="A25" t="s">
        <v>165</v>
      </c>
      <c r="B25">
        <f>SUM(B3:B23)</f>
        <v>466.02000000000004</v>
      </c>
      <c r="C25">
        <f t="shared" ref="C25:E25" si="0">SUM(C3:C23)</f>
        <v>1036.1100000000001</v>
      </c>
      <c r="D25">
        <f t="shared" si="0"/>
        <v>1109.26</v>
      </c>
      <c r="E25">
        <f t="shared" si="0"/>
        <v>801.56999999999994</v>
      </c>
      <c r="G25" t="s">
        <v>165</v>
      </c>
      <c r="H25">
        <f>SUM(H3:H24)-H7</f>
        <v>487.77999999999992</v>
      </c>
      <c r="I25">
        <f t="shared" ref="I25:K25" si="1">SUM(I3:I24)</f>
        <v>883.94999999999993</v>
      </c>
      <c r="J25">
        <f t="shared" si="1"/>
        <v>1160.2100000000003</v>
      </c>
      <c r="K25">
        <f t="shared" si="1"/>
        <v>875.30000000000007</v>
      </c>
      <c r="M25" t="s">
        <v>165</v>
      </c>
      <c r="N25">
        <f>B25+C25+D25+E25+H25+I25+J25+K25</f>
        <v>6820.2</v>
      </c>
    </row>
    <row r="26" spans="1:14">
      <c r="A26" t="s">
        <v>166</v>
      </c>
      <c r="B26">
        <v>0</v>
      </c>
      <c r="C26">
        <v>0</v>
      </c>
      <c r="D26">
        <v>0</v>
      </c>
      <c r="E26">
        <v>0</v>
      </c>
      <c r="G26" t="s">
        <v>166</v>
      </c>
      <c r="H26">
        <f>H7</f>
        <v>37.82</v>
      </c>
      <c r="I26">
        <v>0</v>
      </c>
      <c r="J26">
        <v>0</v>
      </c>
      <c r="K26">
        <v>0</v>
      </c>
      <c r="M26" t="s">
        <v>166</v>
      </c>
      <c r="N26">
        <f>H26</f>
        <v>37.82</v>
      </c>
    </row>
    <row r="27" spans="1:14">
      <c r="N27" s="14">
        <f>N25+N26</f>
        <v>6858.0199999999995</v>
      </c>
    </row>
    <row r="28" spans="1:14">
      <c r="B28" t="s">
        <v>169</v>
      </c>
      <c r="C28" t="s">
        <v>170</v>
      </c>
    </row>
    <row r="29" spans="1:14">
      <c r="B29" t="s">
        <v>171</v>
      </c>
      <c r="C29" t="s">
        <v>127</v>
      </c>
      <c r="D29" t="s">
        <v>128</v>
      </c>
      <c r="E29" t="s">
        <v>129</v>
      </c>
      <c r="F29" t="s">
        <v>130</v>
      </c>
    </row>
    <row r="30" spans="1:14">
      <c r="A30" t="s">
        <v>131</v>
      </c>
      <c r="B30">
        <f>N$27/1000</f>
        <v>6.8580199999999998</v>
      </c>
      <c r="C30" s="20">
        <v>2.2631328719999999</v>
      </c>
      <c r="D30">
        <v>1</v>
      </c>
      <c r="E30">
        <v>1</v>
      </c>
      <c r="F30" s="21">
        <f>B30*C30*D30*E30</f>
        <v>15.520610498833438</v>
      </c>
    </row>
    <row r="31" spans="1:14">
      <c r="A31" t="s">
        <v>172</v>
      </c>
      <c r="B31">
        <f t="shared" ref="B31:B32" si="2">N$27/1000</f>
        <v>6.8580199999999998</v>
      </c>
      <c r="C31" s="20">
        <v>8.1642599999999998E-4</v>
      </c>
      <c r="D31">
        <v>27.9</v>
      </c>
      <c r="E31">
        <v>1</v>
      </c>
      <c r="F31" s="21">
        <f t="shared" ref="F31:F32" si="3">B31*C31*D31*E31</f>
        <v>0.15621393683890797</v>
      </c>
    </row>
    <row r="32" spans="1:14">
      <c r="A32" t="s">
        <v>173</v>
      </c>
      <c r="B32">
        <f t="shared" si="2"/>
        <v>6.8580199999999998</v>
      </c>
      <c r="C32" s="20">
        <v>2.6125630000000001E-4</v>
      </c>
      <c r="D32">
        <v>273</v>
      </c>
      <c r="E32">
        <v>1</v>
      </c>
      <c r="F32" s="21">
        <f t="shared" si="3"/>
        <v>0.48913435403359801</v>
      </c>
    </row>
    <row r="33" spans="5:6">
      <c r="E33" t="s">
        <v>63</v>
      </c>
      <c r="F33" s="26">
        <f>F30+F31+F32</f>
        <v>16.165958789705943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7" sqref="F7:F9"/>
    </sheetView>
  </sheetViews>
  <sheetFormatPr defaultRowHeight="16.5"/>
  <cols>
    <col min="2" max="2" width="11.25" customWidth="1"/>
    <col min="3" max="3" width="14" bestFit="1" customWidth="1"/>
    <col min="4" max="4" width="11.75" customWidth="1"/>
    <col min="6" max="6" width="16" bestFit="1" customWidth="1"/>
    <col min="8" max="8" width="10" bestFit="1" customWidth="1"/>
    <col min="9" max="9" width="12.75" bestFit="1" customWidth="1"/>
  </cols>
  <sheetData>
    <row r="1" spans="1:6">
      <c r="A1" s="18" t="s">
        <v>69</v>
      </c>
      <c r="B1" s="18" t="s">
        <v>154</v>
      </c>
      <c r="C1" s="18" t="s">
        <v>155</v>
      </c>
      <c r="D1" s="19" t="s">
        <v>125</v>
      </c>
      <c r="E1" s="18" t="s">
        <v>126</v>
      </c>
    </row>
    <row r="2" spans="1:6">
      <c r="A2">
        <v>1</v>
      </c>
      <c r="B2" t="s">
        <v>156</v>
      </c>
      <c r="C2" t="s">
        <v>110</v>
      </c>
      <c r="D2">
        <v>1E-3</v>
      </c>
      <c r="E2">
        <f>2000*D2</f>
        <v>2</v>
      </c>
    </row>
    <row r="6" spans="1:6">
      <c r="B6" t="s">
        <v>134</v>
      </c>
      <c r="C6" t="s">
        <v>127</v>
      </c>
      <c r="D6" t="s">
        <v>128</v>
      </c>
      <c r="E6" t="s">
        <v>129</v>
      </c>
      <c r="F6" t="s">
        <v>99</v>
      </c>
    </row>
    <row r="7" spans="1:6">
      <c r="A7" t="s">
        <v>131</v>
      </c>
      <c r="B7">
        <v>2</v>
      </c>
      <c r="C7" s="20">
        <v>2.606031792</v>
      </c>
      <c r="D7">
        <v>1</v>
      </c>
      <c r="E7">
        <v>1</v>
      </c>
      <c r="F7" s="21">
        <f>B7*C7*D7*E7</f>
        <v>5.212063584</v>
      </c>
    </row>
    <row r="8" spans="1:6">
      <c r="A8" t="s">
        <v>132</v>
      </c>
      <c r="B8">
        <v>2</v>
      </c>
      <c r="C8" s="20">
        <v>1.0550740000000001E-4</v>
      </c>
      <c r="D8">
        <v>27.9</v>
      </c>
      <c r="E8">
        <v>1</v>
      </c>
      <c r="F8" s="21">
        <f>B8*C8*D8*E8</f>
        <v>5.8873129200000002E-3</v>
      </c>
    </row>
    <row r="9" spans="1:6">
      <c r="A9" t="s">
        <v>133</v>
      </c>
      <c r="B9">
        <v>2</v>
      </c>
      <c r="C9" s="20">
        <v>2.1101500000000001E-5</v>
      </c>
      <c r="D9">
        <v>273</v>
      </c>
      <c r="E9">
        <v>1</v>
      </c>
      <c r="F9" s="21">
        <f t="shared" ref="F9" si="0">B9*C9*D9*E9</f>
        <v>1.1521419000000001E-2</v>
      </c>
    </row>
    <row r="10" spans="1:6">
      <c r="E10" t="s">
        <v>60</v>
      </c>
      <c r="F10" s="27">
        <f>F7+F8+F9</f>
        <v>5.2294723159199998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2" sqref="G2"/>
    </sheetView>
  </sheetViews>
  <sheetFormatPr defaultRowHeight="16.5"/>
  <cols>
    <col min="2" max="2" width="11.5" customWidth="1"/>
    <col min="3" max="3" width="8.375" customWidth="1"/>
    <col min="4" max="4" width="10" customWidth="1"/>
    <col min="7" max="7" width="17.25" customWidth="1"/>
    <col min="9" max="9" width="11.5" customWidth="1"/>
  </cols>
  <sheetData>
    <row r="1" spans="1:9">
      <c r="A1" s="18" t="s">
        <v>69</v>
      </c>
      <c r="B1" s="18" t="s">
        <v>100</v>
      </c>
      <c r="C1" s="19" t="s">
        <v>136</v>
      </c>
      <c r="D1" s="19" t="s">
        <v>137</v>
      </c>
      <c r="E1" t="s">
        <v>152</v>
      </c>
      <c r="F1" s="18" t="s">
        <v>153</v>
      </c>
      <c r="G1" s="18" t="s">
        <v>67</v>
      </c>
      <c r="H1" s="18"/>
      <c r="I1" s="18"/>
    </row>
    <row r="2" spans="1:9">
      <c r="A2">
        <v>1</v>
      </c>
      <c r="B2" t="s">
        <v>135</v>
      </c>
      <c r="C2">
        <v>1</v>
      </c>
      <c r="D2">
        <v>35</v>
      </c>
      <c r="E2">
        <v>0.31428571428571428</v>
      </c>
      <c r="F2">
        <v>1E-3</v>
      </c>
      <c r="G2" s="14">
        <f>C2*D2*E2*F2</f>
        <v>1.0999999999999999E-2</v>
      </c>
    </row>
    <row r="10" spans="1:9">
      <c r="I10" t="s">
        <v>149</v>
      </c>
    </row>
    <row r="11" spans="1:9">
      <c r="B11" t="s">
        <v>138</v>
      </c>
      <c r="C11" t="s">
        <v>141</v>
      </c>
      <c r="H11" t="s">
        <v>142</v>
      </c>
      <c r="I11">
        <v>14</v>
      </c>
    </row>
    <row r="12" spans="1:9" ht="18.75">
      <c r="A12" s="22" t="s">
        <v>144</v>
      </c>
      <c r="B12">
        <v>3</v>
      </c>
      <c r="C12">
        <f>I11*2+I12+I13*3</f>
        <v>88</v>
      </c>
      <c r="H12" t="s">
        <v>143</v>
      </c>
      <c r="I12">
        <v>12</v>
      </c>
    </row>
    <row r="13" spans="1:9" ht="18.75">
      <c r="A13" s="22" t="s">
        <v>139</v>
      </c>
      <c r="B13">
        <v>1</v>
      </c>
      <c r="C13">
        <f>I14*2+(I15+I13*4)*3</f>
        <v>314</v>
      </c>
      <c r="H13" t="s">
        <v>145</v>
      </c>
      <c r="I13">
        <v>16</v>
      </c>
    </row>
    <row r="14" spans="1:9" ht="18.75">
      <c r="A14" s="22" t="s">
        <v>140</v>
      </c>
      <c r="B14">
        <v>6</v>
      </c>
      <c r="C14">
        <f>I16*2+I13</f>
        <v>18</v>
      </c>
      <c r="H14" t="s">
        <v>146</v>
      </c>
      <c r="I14">
        <v>13</v>
      </c>
    </row>
    <row r="15" spans="1:9">
      <c r="A15" s="22"/>
      <c r="H15" t="s">
        <v>147</v>
      </c>
      <c r="I15">
        <v>32</v>
      </c>
    </row>
    <row r="16" spans="1:9" ht="18.75">
      <c r="A16" s="22" t="s">
        <v>150</v>
      </c>
      <c r="B16">
        <v>3</v>
      </c>
      <c r="C16">
        <f>(I12+I13*2)*3</f>
        <v>132</v>
      </c>
      <c r="H16" t="s">
        <v>148</v>
      </c>
      <c r="I16">
        <v>1</v>
      </c>
    </row>
    <row r="17" spans="2:3">
      <c r="B17" t="s">
        <v>151</v>
      </c>
      <c r="C17">
        <f>C16/(C12+C13+C14)</f>
        <v>0.31428571428571428</v>
      </c>
    </row>
  </sheetData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4" sqref="J4"/>
    </sheetView>
  </sheetViews>
  <sheetFormatPr defaultRowHeight="16.5"/>
  <cols>
    <col min="8" max="8" width="12.625" customWidth="1"/>
    <col min="10" max="10" width="9.5" bestFit="1" customWidth="1"/>
  </cols>
  <sheetData>
    <row r="1" spans="1:10">
      <c r="A1" t="s">
        <v>69</v>
      </c>
      <c r="B1" t="s">
        <v>179</v>
      </c>
      <c r="C1" t="s">
        <v>174</v>
      </c>
      <c r="D1" t="s">
        <v>175</v>
      </c>
      <c r="E1" t="s">
        <v>176</v>
      </c>
      <c r="F1" t="s">
        <v>181</v>
      </c>
      <c r="G1" t="s">
        <v>182</v>
      </c>
      <c r="H1" t="s">
        <v>183</v>
      </c>
      <c r="I1" t="s">
        <v>62</v>
      </c>
      <c r="J1" t="s">
        <v>67</v>
      </c>
    </row>
    <row r="2" spans="1:10">
      <c r="A2">
        <v>1</v>
      </c>
      <c r="C2" t="s">
        <v>177</v>
      </c>
      <c r="D2" t="s">
        <v>178</v>
      </c>
      <c r="E2" t="s">
        <v>180</v>
      </c>
      <c r="F2">
        <v>52.8</v>
      </c>
      <c r="G2">
        <v>2</v>
      </c>
      <c r="H2">
        <v>1.46</v>
      </c>
      <c r="I2">
        <v>1E-3</v>
      </c>
      <c r="J2">
        <f>G2*H2*I2</f>
        <v>2.9199999999999999E-3</v>
      </c>
    </row>
    <row r="3" spans="1:10">
      <c r="A3">
        <v>2</v>
      </c>
      <c r="C3" t="s">
        <v>177</v>
      </c>
      <c r="D3" t="s">
        <v>178</v>
      </c>
      <c r="E3" t="s">
        <v>180</v>
      </c>
      <c r="F3">
        <v>52.8</v>
      </c>
      <c r="G3">
        <v>2</v>
      </c>
      <c r="H3">
        <v>1.46</v>
      </c>
      <c r="I3">
        <v>1E-3</v>
      </c>
      <c r="J3">
        <f>G3*H3*I3</f>
        <v>2.9199999999999999E-3</v>
      </c>
    </row>
    <row r="4" spans="1:10">
      <c r="I4" t="s">
        <v>63</v>
      </c>
      <c r="J4" s="14">
        <f>SUM(J2:J3)</f>
        <v>5.8399999999999997E-3</v>
      </c>
    </row>
  </sheetData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6.5"/>
  <cols>
    <col min="2" max="2" width="15.875" customWidth="1"/>
    <col min="4" max="4" width="27.875" customWidth="1"/>
    <col min="5" max="5" width="19.625" customWidth="1"/>
    <col min="7" max="7" width="15" customWidth="1"/>
  </cols>
  <sheetData>
    <row r="1" spans="1:7" ht="31.5">
      <c r="A1" s="18" t="s">
        <v>69</v>
      </c>
      <c r="B1" s="18" t="s">
        <v>100</v>
      </c>
      <c r="C1" s="19" t="s">
        <v>107</v>
      </c>
      <c r="D1" t="s">
        <v>186</v>
      </c>
      <c r="E1" s="18" t="s">
        <v>189</v>
      </c>
      <c r="F1" s="18" t="s">
        <v>62</v>
      </c>
      <c r="G1" s="18" t="s">
        <v>67</v>
      </c>
    </row>
    <row r="2" spans="1:7">
      <c r="A2">
        <v>1</v>
      </c>
      <c r="B2" t="s">
        <v>185</v>
      </c>
      <c r="C2">
        <f>5600/1000</f>
        <v>5.6</v>
      </c>
      <c r="D2" t="s">
        <v>187</v>
      </c>
      <c r="E2">
        <v>327</v>
      </c>
      <c r="F2">
        <v>1E-3</v>
      </c>
      <c r="G2">
        <f>C2*E2*F2</f>
        <v>1.8311999999999999</v>
      </c>
    </row>
    <row r="3" spans="1:7">
      <c r="A3">
        <v>2</v>
      </c>
      <c r="B3" t="s">
        <v>184</v>
      </c>
      <c r="C3">
        <f>7900/1000</f>
        <v>7.9</v>
      </c>
      <c r="D3" t="s">
        <v>188</v>
      </c>
      <c r="E3">
        <v>7.07</v>
      </c>
      <c r="F3">
        <v>1E-3</v>
      </c>
      <c r="G3">
        <f>C3*E3*F3</f>
        <v>5.5853E-2</v>
      </c>
    </row>
    <row r="4" spans="1:7">
      <c r="F4" t="s">
        <v>63</v>
      </c>
      <c r="G4" s="14">
        <f>SUM(G2:G3)</f>
        <v>1.8870529999999999</v>
      </c>
    </row>
  </sheetData>
  <phoneticPr fontId="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6" sqref="G6"/>
    </sheetView>
  </sheetViews>
  <sheetFormatPr defaultRowHeight="16.5"/>
  <cols>
    <col min="4" max="4" width="12" customWidth="1"/>
    <col min="5" max="5" width="15.5" customWidth="1"/>
    <col min="7" max="7" width="13.75" customWidth="1"/>
  </cols>
  <sheetData>
    <row r="1" spans="1:8">
      <c r="A1" s="18" t="s">
        <v>69</v>
      </c>
      <c r="B1" s="18" t="s">
        <v>100</v>
      </c>
      <c r="C1" s="18" t="s">
        <v>111</v>
      </c>
      <c r="D1" s="19" t="s">
        <v>107</v>
      </c>
      <c r="E1" s="18" t="s">
        <v>183</v>
      </c>
      <c r="F1" s="18" t="s">
        <v>62</v>
      </c>
      <c r="G1" s="18" t="s">
        <v>67</v>
      </c>
      <c r="H1" s="18" t="s">
        <v>119</v>
      </c>
    </row>
    <row r="2" spans="1:8">
      <c r="A2">
        <v>1</v>
      </c>
      <c r="B2" t="s">
        <v>102</v>
      </c>
      <c r="C2">
        <v>1</v>
      </c>
      <c r="D2">
        <f>150000/1000</f>
        <v>150</v>
      </c>
      <c r="E2">
        <v>9.76</v>
      </c>
      <c r="F2">
        <v>1E-3</v>
      </c>
      <c r="G2">
        <f>D2*E2*F2</f>
        <v>1.464</v>
      </c>
    </row>
    <row r="3" spans="1:8">
      <c r="A3">
        <v>2</v>
      </c>
      <c r="B3" t="s">
        <v>39</v>
      </c>
      <c r="C3">
        <v>1</v>
      </c>
      <c r="D3">
        <f>150000/1000</f>
        <v>150</v>
      </c>
      <c r="E3">
        <v>9.76</v>
      </c>
      <c r="F3">
        <v>1E-3</v>
      </c>
      <c r="G3">
        <f>D3*E3*F3</f>
        <v>1.464</v>
      </c>
      <c r="H3" t="s">
        <v>190</v>
      </c>
    </row>
    <row r="4" spans="1:8">
      <c r="A4">
        <v>3</v>
      </c>
      <c r="B4" t="s">
        <v>106</v>
      </c>
      <c r="C4" t="s">
        <v>112</v>
      </c>
      <c r="D4">
        <f>600*0.098/1000</f>
        <v>5.8800000000000005E-2</v>
      </c>
      <c r="E4">
        <v>0.64800000000000002</v>
      </c>
      <c r="F4">
        <v>1E-3</v>
      </c>
      <c r="G4">
        <f>600*E4*F4</f>
        <v>0.38880000000000003</v>
      </c>
    </row>
    <row r="5" spans="1:8">
      <c r="A5">
        <v>4</v>
      </c>
      <c r="B5" t="s">
        <v>109</v>
      </c>
      <c r="C5" t="s">
        <v>110</v>
      </c>
      <c r="D5">
        <f>2000*F10</f>
        <v>1.6700000000000002</v>
      </c>
      <c r="E5">
        <v>0.73</v>
      </c>
      <c r="F5">
        <v>1E-3</v>
      </c>
      <c r="G5">
        <f>D5*E5*F5</f>
        <v>1.2191000000000001E-3</v>
      </c>
    </row>
    <row r="6" spans="1:8">
      <c r="F6" t="s">
        <v>63</v>
      </c>
      <c r="G6" s="14">
        <f>SUM(G2:G5)</f>
        <v>3.3180190999999999</v>
      </c>
    </row>
    <row r="9" spans="1:8">
      <c r="B9" t="s">
        <v>113</v>
      </c>
      <c r="C9" t="s">
        <v>118</v>
      </c>
      <c r="D9" t="s">
        <v>115</v>
      </c>
      <c r="E9" t="s">
        <v>116</v>
      </c>
      <c r="F9" t="s">
        <v>117</v>
      </c>
    </row>
    <row r="10" spans="1:8">
      <c r="A10" t="s">
        <v>114</v>
      </c>
      <c r="B10" s="16">
        <v>0.83499999999999996</v>
      </c>
      <c r="C10">
        <v>1E-3</v>
      </c>
      <c r="D10">
        <v>1E-3</v>
      </c>
      <c r="E10">
        <v>1E-3</v>
      </c>
      <c r="F10">
        <f>B10/C10*D10*E10</f>
        <v>8.3500000000000002E-4</v>
      </c>
    </row>
  </sheetData>
  <phoneticPr fontId="5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6.5"/>
  <cols>
    <col min="4" max="4" width="17.125" customWidth="1"/>
    <col min="5" max="5" width="15.125" customWidth="1"/>
    <col min="7" max="7" width="15.125" customWidth="1"/>
  </cols>
  <sheetData>
    <row r="1" spans="1:7">
      <c r="A1" t="s">
        <v>69</v>
      </c>
      <c r="B1" t="s">
        <v>230</v>
      </c>
      <c r="C1" t="s">
        <v>231</v>
      </c>
      <c r="D1" t="s">
        <v>232</v>
      </c>
      <c r="E1" s="18" t="s">
        <v>189</v>
      </c>
      <c r="F1" s="18" t="s">
        <v>62</v>
      </c>
      <c r="G1" s="18" t="s">
        <v>67</v>
      </c>
    </row>
    <row r="2" spans="1:7">
      <c r="A2">
        <v>1</v>
      </c>
      <c r="B2" t="s">
        <v>124</v>
      </c>
      <c r="C2">
        <v>180</v>
      </c>
      <c r="D2" t="s">
        <v>233</v>
      </c>
      <c r="E2">
        <v>327</v>
      </c>
      <c r="F2">
        <v>1E-3</v>
      </c>
      <c r="G2" s="14">
        <f>C2*E2*F2</f>
        <v>58.86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4"/>
  <sheetViews>
    <sheetView tabSelected="1" workbookViewId="0">
      <selection activeCell="J20" sqref="J20"/>
    </sheetView>
  </sheetViews>
  <sheetFormatPr defaultRowHeight="16.5"/>
  <cols>
    <col min="4" max="4" width="11.125" bestFit="1" customWidth="1"/>
    <col min="5" max="5" width="11.25" customWidth="1"/>
    <col min="8" max="9" width="10" bestFit="1" customWidth="1"/>
  </cols>
  <sheetData>
    <row r="4" spans="1:9">
      <c r="D4" s="7"/>
    </row>
    <row r="6" spans="1:9">
      <c r="A6" t="s">
        <v>276</v>
      </c>
      <c r="B6" s="7" t="s">
        <v>67</v>
      </c>
    </row>
    <row r="7" spans="1:9" ht="17.25" thickBot="1"/>
    <row r="8" spans="1:9" ht="17.25" thickBot="1">
      <c r="B8" s="61"/>
      <c r="C8" s="62" t="s">
        <v>278</v>
      </c>
      <c r="D8" s="63"/>
      <c r="E8" s="64" t="s">
        <v>279</v>
      </c>
      <c r="F8" s="64" t="s">
        <v>280</v>
      </c>
      <c r="G8" s="65" t="s">
        <v>282</v>
      </c>
    </row>
    <row r="9" spans="1:9" ht="17.25" thickBot="1">
      <c r="A9" s="42" t="s">
        <v>243</v>
      </c>
      <c r="B9" s="42" t="s">
        <v>214</v>
      </c>
      <c r="C9" s="74" t="s">
        <v>215</v>
      </c>
      <c r="D9" s="43" t="s">
        <v>216</v>
      </c>
      <c r="E9" s="75" t="s">
        <v>277</v>
      </c>
      <c r="F9" s="75" t="s">
        <v>281</v>
      </c>
      <c r="G9" s="75" t="s">
        <v>283</v>
      </c>
      <c r="H9" s="66" t="s">
        <v>284</v>
      </c>
      <c r="I9" s="67" t="s">
        <v>285</v>
      </c>
    </row>
    <row r="10" spans="1:9">
      <c r="A10" s="61" t="s">
        <v>131</v>
      </c>
      <c r="B10" s="61">
        <v>5.212063584</v>
      </c>
      <c r="C10" s="64">
        <v>15.520610498833438</v>
      </c>
      <c r="D10" s="63">
        <v>0</v>
      </c>
      <c r="E10" s="64">
        <v>7406.1265439999997</v>
      </c>
      <c r="F10" s="64">
        <v>5.8399999999999997E-3</v>
      </c>
      <c r="G10" s="62">
        <v>16.1065711</v>
      </c>
      <c r="H10" s="81">
        <f>SUM(B10:G10)</f>
        <v>7442.9716291828327</v>
      </c>
      <c r="I10" s="76">
        <f>H10/$H$17*100</f>
        <v>95.17949081661547</v>
      </c>
    </row>
    <row r="11" spans="1:9">
      <c r="A11" s="68" t="s">
        <v>132</v>
      </c>
      <c r="B11" s="68">
        <v>5.8873129200000002E-3</v>
      </c>
      <c r="C11" s="79">
        <v>0.15621393683890797</v>
      </c>
      <c r="D11" s="71">
        <v>0</v>
      </c>
      <c r="E11" s="79">
        <v>0</v>
      </c>
      <c r="F11" s="79">
        <v>0</v>
      </c>
      <c r="G11" s="69">
        <v>0</v>
      </c>
      <c r="H11" s="82">
        <f t="shared" ref="H11:H16" si="0">SUM(B11:G11)</f>
        <v>0.16210124975890797</v>
      </c>
      <c r="I11" s="70">
        <f t="shared" ref="I11:I16" si="1">H11/$H$17*100</f>
        <v>2.0729239854006803E-3</v>
      </c>
    </row>
    <row r="12" spans="1:9">
      <c r="A12" s="68" t="s">
        <v>133</v>
      </c>
      <c r="B12" s="68">
        <v>1.1521419000000001E-2</v>
      </c>
      <c r="C12" s="79">
        <v>0.48913435403359801</v>
      </c>
      <c r="D12" s="71">
        <v>0</v>
      </c>
      <c r="E12" s="79">
        <v>0</v>
      </c>
      <c r="F12" s="79">
        <v>0</v>
      </c>
      <c r="G12" s="69">
        <v>0</v>
      </c>
      <c r="H12" s="82">
        <f t="shared" si="0"/>
        <v>0.50065577303359798</v>
      </c>
      <c r="I12" s="70">
        <f t="shared" si="1"/>
        <v>6.4023032635109767E-3</v>
      </c>
    </row>
    <row r="13" spans="1:9">
      <c r="A13" s="44" t="s">
        <v>253</v>
      </c>
      <c r="B13" s="68">
        <v>0</v>
      </c>
      <c r="C13" s="79">
        <v>0</v>
      </c>
      <c r="D13" s="77">
        <v>376.29779175000004</v>
      </c>
      <c r="E13" s="79">
        <v>0</v>
      </c>
      <c r="F13" s="79">
        <v>0</v>
      </c>
      <c r="G13" s="69">
        <v>0</v>
      </c>
      <c r="H13" s="82">
        <f t="shared" si="0"/>
        <v>376.29779175000004</v>
      </c>
      <c r="I13" s="70">
        <f t="shared" si="1"/>
        <v>4.8120339561356147</v>
      </c>
    </row>
    <row r="14" spans="1:9">
      <c r="A14" s="44" t="s">
        <v>249</v>
      </c>
      <c r="B14" s="68">
        <v>0</v>
      </c>
      <c r="C14" s="79">
        <v>0</v>
      </c>
      <c r="D14" s="71">
        <v>0</v>
      </c>
      <c r="E14" s="79">
        <v>0</v>
      </c>
      <c r="F14" s="79">
        <v>0</v>
      </c>
      <c r="G14" s="69">
        <v>0</v>
      </c>
      <c r="H14" s="79">
        <f t="shared" si="0"/>
        <v>0</v>
      </c>
      <c r="I14" s="71">
        <f t="shared" si="1"/>
        <v>0</v>
      </c>
    </row>
    <row r="15" spans="1:9">
      <c r="A15" s="44" t="s">
        <v>250</v>
      </c>
      <c r="B15" s="68">
        <v>0</v>
      </c>
      <c r="C15" s="79">
        <v>0</v>
      </c>
      <c r="D15" s="71">
        <v>0</v>
      </c>
      <c r="E15" s="79">
        <v>0</v>
      </c>
      <c r="F15" s="79">
        <v>0</v>
      </c>
      <c r="G15" s="69">
        <v>0</v>
      </c>
      <c r="H15" s="79">
        <f t="shared" si="0"/>
        <v>0</v>
      </c>
      <c r="I15" s="71">
        <f t="shared" si="1"/>
        <v>0</v>
      </c>
    </row>
    <row r="16" spans="1:9" ht="17.25" thickBot="1">
      <c r="A16" s="45" t="s">
        <v>251</v>
      </c>
      <c r="B16" s="78">
        <v>0</v>
      </c>
      <c r="C16" s="80">
        <v>0</v>
      </c>
      <c r="D16" s="73">
        <v>0</v>
      </c>
      <c r="E16" s="80">
        <v>0</v>
      </c>
      <c r="F16" s="80">
        <v>0</v>
      </c>
      <c r="G16" s="72">
        <v>0</v>
      </c>
      <c r="H16" s="80">
        <f t="shared" si="0"/>
        <v>0</v>
      </c>
      <c r="I16" s="73">
        <f t="shared" si="1"/>
        <v>0</v>
      </c>
    </row>
    <row r="17" spans="1:9">
      <c r="A17" s="1" t="s">
        <v>284</v>
      </c>
      <c r="B17" s="14">
        <f>SUM(B10:B16)</f>
        <v>5.2294723159199998</v>
      </c>
      <c r="C17" s="14">
        <f t="shared" ref="C17:G17" si="2">SUM(C10:C16)</f>
        <v>16.165958789705943</v>
      </c>
      <c r="D17" s="14">
        <f t="shared" si="2"/>
        <v>376.29779175000004</v>
      </c>
      <c r="E17" s="14">
        <f t="shared" si="2"/>
        <v>7406.1265439999997</v>
      </c>
      <c r="F17" s="14">
        <f t="shared" si="2"/>
        <v>5.8399999999999997E-3</v>
      </c>
      <c r="G17" s="14">
        <f t="shared" si="2"/>
        <v>16.1065711</v>
      </c>
      <c r="H17">
        <f>SUM(H10:H16)</f>
        <v>7819.9321779556258</v>
      </c>
      <c r="I17">
        <f>H17/$H$17*100</f>
        <v>100</v>
      </c>
    </row>
    <row r="18" spans="1:9">
      <c r="A18" s="59" t="s">
        <v>290</v>
      </c>
      <c r="B18" s="60">
        <f>B17/$H$17*100</f>
        <v>6.6873627506155012E-2</v>
      </c>
      <c r="C18" s="60">
        <f t="shared" ref="C18:G18" si="3">C17/$H$17*100</f>
        <v>0.20672760865212808</v>
      </c>
      <c r="D18" s="60">
        <f t="shared" si="3"/>
        <v>4.8120339561356147</v>
      </c>
      <c r="E18" s="60">
        <f t="shared" si="3"/>
        <v>94.708321958058107</v>
      </c>
      <c r="F18" s="60">
        <f t="shared" si="3"/>
        <v>7.4680954605500912E-5</v>
      </c>
      <c r="G18" s="60">
        <f t="shared" si="3"/>
        <v>0.20596816869338577</v>
      </c>
    </row>
    <row r="19" spans="1:9">
      <c r="A19" s="59"/>
    </row>
    <row r="20" spans="1:9">
      <c r="B20" t="s">
        <v>287</v>
      </c>
      <c r="C20" t="s">
        <v>284</v>
      </c>
      <c r="D20" t="s">
        <v>288</v>
      </c>
    </row>
    <row r="21" spans="1:9">
      <c r="B21" t="s">
        <v>286</v>
      </c>
      <c r="C21">
        <f>B10+C10+B11+C11+B12+C12+D13</f>
        <v>397.693222855626</v>
      </c>
      <c r="D21" s="60">
        <f>C21/$H$17*100</f>
        <v>5.085635192293898</v>
      </c>
    </row>
    <row r="22" spans="1:9">
      <c r="B22" t="s">
        <v>279</v>
      </c>
      <c r="C22">
        <f>E10</f>
        <v>7406.1265439999997</v>
      </c>
      <c r="D22" s="60">
        <f t="shared" ref="D22:D24" si="4">C22/$H$17*100</f>
        <v>94.708321958058107</v>
      </c>
    </row>
    <row r="23" spans="1:9">
      <c r="B23" t="s">
        <v>280</v>
      </c>
      <c r="C23">
        <f>F10</f>
        <v>5.8399999999999997E-3</v>
      </c>
      <c r="D23" s="60">
        <f t="shared" si="4"/>
        <v>7.4680954605500912E-5</v>
      </c>
    </row>
    <row r="24" spans="1:9">
      <c r="B24" t="s">
        <v>282</v>
      </c>
      <c r="C24">
        <f>G10</f>
        <v>16.1065711</v>
      </c>
      <c r="D24" s="60">
        <f t="shared" si="4"/>
        <v>0.20596816869338577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I21" sqref="I21"/>
    </sheetView>
  </sheetViews>
  <sheetFormatPr defaultRowHeight="16.5"/>
  <cols>
    <col min="8" max="8" width="10" bestFit="1" customWidth="1"/>
    <col min="10" max="10" width="11.5" bestFit="1" customWidth="1"/>
  </cols>
  <sheetData>
    <row r="1" spans="2:10">
      <c r="B1" t="s">
        <v>58</v>
      </c>
      <c r="C1" t="s">
        <v>59</v>
      </c>
    </row>
    <row r="2" spans="2:10">
      <c r="B2">
        <v>1</v>
      </c>
      <c r="C2">
        <v>468680</v>
      </c>
    </row>
    <row r="3" spans="2:10">
      <c r="B3">
        <v>2</v>
      </c>
      <c r="C3">
        <v>183920</v>
      </c>
    </row>
    <row r="4" spans="2:10">
      <c r="B4">
        <v>3</v>
      </c>
      <c r="C4">
        <v>596960</v>
      </c>
    </row>
    <row r="5" spans="2:10">
      <c r="B5">
        <v>4</v>
      </c>
      <c r="C5">
        <v>720480</v>
      </c>
    </row>
    <row r="6" spans="2:10">
      <c r="B6">
        <v>5</v>
      </c>
      <c r="C6">
        <v>928280</v>
      </c>
    </row>
    <row r="7" spans="2:10">
      <c r="B7">
        <v>6</v>
      </c>
      <c r="C7">
        <v>881400</v>
      </c>
    </row>
    <row r="8" spans="2:10" ht="17.25">
      <c r="B8">
        <v>7</v>
      </c>
      <c r="C8">
        <v>908640</v>
      </c>
      <c r="E8" t="s">
        <v>64</v>
      </c>
      <c r="J8" s="15">
        <v>45006</v>
      </c>
    </row>
    <row r="9" spans="2:10">
      <c r="B9">
        <v>8</v>
      </c>
      <c r="C9">
        <v>0</v>
      </c>
    </row>
    <row r="10" spans="2:10">
      <c r="B10">
        <v>9</v>
      </c>
      <c r="C10">
        <v>885400</v>
      </c>
      <c r="E10" t="s">
        <v>65</v>
      </c>
      <c r="F10" t="s">
        <v>61</v>
      </c>
      <c r="G10" t="s">
        <v>62</v>
      </c>
      <c r="H10" t="s">
        <v>68</v>
      </c>
    </row>
    <row r="11" spans="2:10">
      <c r="B11">
        <v>10</v>
      </c>
      <c r="C11">
        <v>733760</v>
      </c>
      <c r="E11">
        <v>7804960</v>
      </c>
      <c r="F11">
        <v>0.94889999999999997</v>
      </c>
      <c r="G11">
        <v>1E-3</v>
      </c>
      <c r="H11" s="14">
        <f>E11*F11*G11</f>
        <v>7406.1265439999997</v>
      </c>
    </row>
    <row r="12" spans="2:10">
      <c r="B12">
        <v>11</v>
      </c>
      <c r="C12">
        <v>764080</v>
      </c>
    </row>
    <row r="13" spans="2:10">
      <c r="B13">
        <v>12</v>
      </c>
      <c r="C13">
        <v>733360</v>
      </c>
    </row>
    <row r="14" spans="2:10">
      <c r="B14" t="s">
        <v>60</v>
      </c>
      <c r="C14">
        <f>SUM(C2:C13)</f>
        <v>7804960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8" sqref="M8"/>
    </sheetView>
  </sheetViews>
  <sheetFormatPr defaultRowHeight="16.5"/>
  <cols>
    <col min="3" max="3" width="13.625" customWidth="1"/>
  </cols>
  <sheetData>
    <row r="1" spans="1:13">
      <c r="A1" t="s">
        <v>57</v>
      </c>
      <c r="B1" t="s">
        <v>203</v>
      </c>
      <c r="C1" t="s">
        <v>204</v>
      </c>
      <c r="D1" t="s">
        <v>208</v>
      </c>
    </row>
    <row r="2" spans="1:13">
      <c r="A2" s="28" t="s">
        <v>191</v>
      </c>
      <c r="B2" s="29">
        <v>830</v>
      </c>
      <c r="C2" s="30">
        <v>17</v>
      </c>
      <c r="D2">
        <v>8</v>
      </c>
      <c r="E2">
        <f>B2*C2*D2</f>
        <v>112880</v>
      </c>
    </row>
    <row r="3" spans="1:13">
      <c r="A3" s="28" t="s">
        <v>192</v>
      </c>
      <c r="B3" s="29">
        <v>778</v>
      </c>
      <c r="C3" s="30">
        <v>20</v>
      </c>
      <c r="D3">
        <v>8</v>
      </c>
      <c r="E3">
        <f t="shared" ref="E3:E13" si="0">B3*C3*D3</f>
        <v>124480</v>
      </c>
    </row>
    <row r="4" spans="1:13">
      <c r="A4" s="28" t="s">
        <v>193</v>
      </c>
      <c r="B4" s="29">
        <v>911</v>
      </c>
      <c r="C4" s="30">
        <v>22</v>
      </c>
      <c r="D4">
        <v>8</v>
      </c>
      <c r="E4">
        <f t="shared" si="0"/>
        <v>160336</v>
      </c>
    </row>
    <row r="5" spans="1:13">
      <c r="A5" s="28" t="s">
        <v>194</v>
      </c>
      <c r="B5" s="29">
        <v>1061</v>
      </c>
      <c r="C5" s="30">
        <v>21</v>
      </c>
      <c r="D5">
        <v>8</v>
      </c>
      <c r="E5">
        <f t="shared" si="0"/>
        <v>178248</v>
      </c>
    </row>
    <row r="6" spans="1:13">
      <c r="A6" s="28" t="s">
        <v>195</v>
      </c>
      <c r="B6" s="29">
        <v>1083</v>
      </c>
      <c r="C6" s="30">
        <v>21</v>
      </c>
      <c r="D6">
        <v>8</v>
      </c>
      <c r="E6">
        <f t="shared" si="0"/>
        <v>181944</v>
      </c>
    </row>
    <row r="7" spans="1:13">
      <c r="A7" s="28" t="s">
        <v>196</v>
      </c>
      <c r="B7" s="29">
        <v>1060</v>
      </c>
      <c r="C7" s="30">
        <v>21</v>
      </c>
      <c r="D7">
        <v>8</v>
      </c>
      <c r="E7">
        <f t="shared" si="0"/>
        <v>178080</v>
      </c>
      <c r="H7" t="s">
        <v>210</v>
      </c>
      <c r="I7" t="s">
        <v>209</v>
      </c>
      <c r="J7" t="s">
        <v>205</v>
      </c>
      <c r="K7" t="s">
        <v>206</v>
      </c>
      <c r="L7" t="s">
        <v>207</v>
      </c>
      <c r="M7" t="s">
        <v>99</v>
      </c>
    </row>
    <row r="8" spans="1:13">
      <c r="A8" s="28" t="s">
        <v>197</v>
      </c>
      <c r="B8" s="29">
        <v>971</v>
      </c>
      <c r="C8" s="30">
        <v>23</v>
      </c>
      <c r="D8">
        <v>8</v>
      </c>
      <c r="E8">
        <f t="shared" si="0"/>
        <v>178664</v>
      </c>
      <c r="H8">
        <v>1912736</v>
      </c>
      <c r="I8">
        <f>365.25*24</f>
        <v>8766</v>
      </c>
      <c r="J8">
        <v>3.8249999999999998E-3</v>
      </c>
      <c r="K8">
        <v>27.9</v>
      </c>
      <c r="L8">
        <v>1</v>
      </c>
      <c r="M8">
        <f>H8/I8*J8*K8*L8</f>
        <v>23.285695195071863</v>
      </c>
    </row>
    <row r="9" spans="1:13">
      <c r="A9" s="28" t="s">
        <v>198</v>
      </c>
      <c r="B9" s="29">
        <v>932</v>
      </c>
      <c r="C9" s="30">
        <v>21</v>
      </c>
      <c r="D9">
        <v>8</v>
      </c>
      <c r="E9">
        <f t="shared" si="0"/>
        <v>156576</v>
      </c>
    </row>
    <row r="10" spans="1:13">
      <c r="A10" s="28" t="s">
        <v>199</v>
      </c>
      <c r="B10" s="29">
        <v>930</v>
      </c>
      <c r="C10" s="30">
        <v>23</v>
      </c>
      <c r="D10">
        <v>8</v>
      </c>
      <c r="E10">
        <f t="shared" si="0"/>
        <v>171120</v>
      </c>
    </row>
    <row r="11" spans="1:13">
      <c r="A11" s="28" t="s">
        <v>200</v>
      </c>
      <c r="B11" s="29">
        <v>948</v>
      </c>
      <c r="C11" s="30">
        <v>17</v>
      </c>
      <c r="D11">
        <v>8</v>
      </c>
      <c r="E11">
        <f t="shared" si="0"/>
        <v>128928</v>
      </c>
    </row>
    <row r="12" spans="1:13">
      <c r="A12" s="28" t="s">
        <v>201</v>
      </c>
      <c r="B12" s="29">
        <v>956</v>
      </c>
      <c r="C12" s="30">
        <v>21</v>
      </c>
      <c r="D12">
        <v>8</v>
      </c>
      <c r="E12">
        <f t="shared" si="0"/>
        <v>160608</v>
      </c>
    </row>
    <row r="13" spans="1:13">
      <c r="A13" s="28" t="s">
        <v>202</v>
      </c>
      <c r="B13" s="29">
        <v>983</v>
      </c>
      <c r="C13" s="30">
        <v>23</v>
      </c>
      <c r="D13">
        <v>8</v>
      </c>
      <c r="E13">
        <f t="shared" si="0"/>
        <v>180872</v>
      </c>
    </row>
    <row r="14" spans="1:13">
      <c r="D14" t="s">
        <v>63</v>
      </c>
      <c r="E14">
        <f>SUM(E2:E13)</f>
        <v>1912736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6.5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2" workbookViewId="0">
      <selection activeCell="M16" sqref="M16"/>
    </sheetView>
  </sheetViews>
  <sheetFormatPr defaultRowHeight="16.5"/>
  <cols>
    <col min="2" max="2" width="13.5" customWidth="1"/>
    <col min="4" max="4" width="14.75" customWidth="1"/>
    <col min="6" max="6" width="12.125" customWidth="1"/>
    <col min="8" max="8" width="16.625" customWidth="1"/>
  </cols>
  <sheetData>
    <row r="1" spans="1:11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97</v>
      </c>
      <c r="I1" t="s">
        <v>98</v>
      </c>
      <c r="J1" t="s">
        <v>62</v>
      </c>
      <c r="K1" t="s">
        <v>66</v>
      </c>
    </row>
    <row r="2" spans="1:11">
      <c r="A2">
        <v>1</v>
      </c>
      <c r="B2" t="s">
        <v>76</v>
      </c>
      <c r="C2" t="s">
        <v>77</v>
      </c>
      <c r="D2" t="s">
        <v>81</v>
      </c>
      <c r="E2" t="s">
        <v>78</v>
      </c>
      <c r="F2">
        <v>666</v>
      </c>
      <c r="G2">
        <v>1</v>
      </c>
      <c r="H2">
        <v>0.16</v>
      </c>
      <c r="I2" s="17">
        <v>1530</v>
      </c>
      <c r="J2">
        <v>1E-3</v>
      </c>
      <c r="K2">
        <f>F2*G2*H2*I2*J2</f>
        <v>163.03680000000003</v>
      </c>
    </row>
    <row r="3" spans="1:11">
      <c r="A3">
        <v>2</v>
      </c>
      <c r="B3" t="s">
        <v>76</v>
      </c>
      <c r="C3" t="s">
        <v>77</v>
      </c>
      <c r="D3" t="s">
        <v>81</v>
      </c>
      <c r="E3" t="s">
        <v>78</v>
      </c>
      <c r="F3">
        <v>666</v>
      </c>
      <c r="G3">
        <v>1</v>
      </c>
      <c r="H3">
        <v>0.16</v>
      </c>
      <c r="I3" s="17">
        <v>1530</v>
      </c>
      <c r="J3">
        <v>1E-3</v>
      </c>
      <c r="K3">
        <f t="shared" ref="K3:K15" si="0">F3*G3*H3*I3*J3</f>
        <v>163.03680000000003</v>
      </c>
    </row>
    <row r="4" spans="1:11">
      <c r="A4">
        <v>3</v>
      </c>
      <c r="B4" t="s">
        <v>79</v>
      </c>
      <c r="D4" t="s">
        <v>80</v>
      </c>
      <c r="E4" t="s">
        <v>84</v>
      </c>
      <c r="F4">
        <v>200</v>
      </c>
      <c r="G4">
        <v>1</v>
      </c>
      <c r="H4">
        <v>0.16</v>
      </c>
      <c r="I4" s="17">
        <v>1530</v>
      </c>
      <c r="J4">
        <v>1E-3</v>
      </c>
      <c r="K4">
        <f t="shared" si="0"/>
        <v>48.96</v>
      </c>
    </row>
    <row r="5" spans="1:11">
      <c r="A5">
        <v>4</v>
      </c>
      <c r="B5" t="s">
        <v>82</v>
      </c>
      <c r="C5" t="s">
        <v>83</v>
      </c>
      <c r="E5" t="s">
        <v>84</v>
      </c>
      <c r="F5">
        <v>3.4000000000000002E-2</v>
      </c>
      <c r="G5">
        <v>1</v>
      </c>
      <c r="H5">
        <v>0.09</v>
      </c>
      <c r="I5" s="17">
        <v>1530</v>
      </c>
      <c r="J5">
        <v>1E-3</v>
      </c>
      <c r="K5">
        <f t="shared" si="0"/>
        <v>4.6817999999999999E-3</v>
      </c>
    </row>
    <row r="6" spans="1:11">
      <c r="A6">
        <v>5</v>
      </c>
      <c r="B6" t="s">
        <v>82</v>
      </c>
      <c r="C6" t="s">
        <v>83</v>
      </c>
      <c r="E6" t="s">
        <v>84</v>
      </c>
      <c r="F6">
        <v>3.4000000000000002E-2</v>
      </c>
      <c r="G6">
        <v>1</v>
      </c>
      <c r="H6">
        <v>0.09</v>
      </c>
      <c r="I6" s="17">
        <v>1530</v>
      </c>
      <c r="J6">
        <v>1E-3</v>
      </c>
      <c r="K6">
        <f t="shared" si="0"/>
        <v>4.6817999999999999E-3</v>
      </c>
    </row>
    <row r="7" spans="1:11">
      <c r="A7">
        <v>6</v>
      </c>
      <c r="B7" t="s">
        <v>85</v>
      </c>
      <c r="C7" t="s">
        <v>86</v>
      </c>
      <c r="D7" t="s">
        <v>87</v>
      </c>
      <c r="E7" t="s">
        <v>88</v>
      </c>
      <c r="F7">
        <v>1.56</v>
      </c>
      <c r="G7">
        <v>1</v>
      </c>
      <c r="H7">
        <v>0.03</v>
      </c>
      <c r="I7" s="17">
        <v>2256</v>
      </c>
      <c r="J7">
        <v>1E-3</v>
      </c>
      <c r="K7">
        <f t="shared" si="0"/>
        <v>0.1055808</v>
      </c>
    </row>
    <row r="8" spans="1:11">
      <c r="A8">
        <v>7</v>
      </c>
      <c r="B8" t="s">
        <v>89</v>
      </c>
      <c r="E8" t="s">
        <v>84</v>
      </c>
      <c r="F8">
        <v>0.13</v>
      </c>
      <c r="G8">
        <v>1</v>
      </c>
      <c r="H8">
        <v>3.0000000000000001E-3</v>
      </c>
      <c r="I8" s="17">
        <v>1530</v>
      </c>
      <c r="J8">
        <v>1E-3</v>
      </c>
      <c r="K8">
        <f t="shared" si="0"/>
        <v>5.9670000000000014E-4</v>
      </c>
    </row>
    <row r="9" spans="1:11">
      <c r="A9">
        <v>8</v>
      </c>
      <c r="B9" t="s">
        <v>89</v>
      </c>
      <c r="C9" t="s">
        <v>90</v>
      </c>
      <c r="D9" t="s">
        <v>96</v>
      </c>
      <c r="E9" t="s">
        <v>84</v>
      </c>
      <c r="F9">
        <v>0.13500000000000001</v>
      </c>
      <c r="G9">
        <v>1</v>
      </c>
      <c r="H9">
        <v>3.0000000000000001E-3</v>
      </c>
      <c r="I9" s="17">
        <v>1530</v>
      </c>
      <c r="J9">
        <v>1E-3</v>
      </c>
      <c r="K9">
        <f t="shared" si="0"/>
        <v>6.1965000000000002E-4</v>
      </c>
    </row>
    <row r="10" spans="1:11">
      <c r="A10">
        <v>9</v>
      </c>
      <c r="B10" t="s">
        <v>82</v>
      </c>
      <c r="C10" t="s">
        <v>83</v>
      </c>
      <c r="E10" t="s">
        <v>84</v>
      </c>
      <c r="F10">
        <v>3.4000000000000002E-2</v>
      </c>
      <c r="G10">
        <v>1</v>
      </c>
      <c r="H10">
        <v>0.09</v>
      </c>
      <c r="I10" s="17">
        <v>1530</v>
      </c>
      <c r="J10">
        <v>1E-3</v>
      </c>
      <c r="K10">
        <f t="shared" si="0"/>
        <v>4.6817999999999999E-3</v>
      </c>
    </row>
    <row r="11" spans="1:11">
      <c r="A11">
        <v>10</v>
      </c>
      <c r="B11" t="s">
        <v>82</v>
      </c>
      <c r="C11" t="s">
        <v>83</v>
      </c>
      <c r="D11" t="s">
        <v>95</v>
      </c>
      <c r="E11" t="s">
        <v>84</v>
      </c>
      <c r="F11">
        <v>0.14599999999999999</v>
      </c>
      <c r="G11">
        <v>1</v>
      </c>
      <c r="H11">
        <v>0.09</v>
      </c>
      <c r="I11" s="17">
        <v>1530</v>
      </c>
      <c r="J11">
        <v>1E-3</v>
      </c>
      <c r="K11">
        <f t="shared" si="0"/>
        <v>2.0104199999999999E-2</v>
      </c>
    </row>
    <row r="12" spans="1:11">
      <c r="A12">
        <v>11</v>
      </c>
      <c r="B12" t="s">
        <v>91</v>
      </c>
      <c r="C12" t="s">
        <v>92</v>
      </c>
      <c r="D12" t="s">
        <v>93</v>
      </c>
      <c r="E12" t="s">
        <v>88</v>
      </c>
      <c r="F12">
        <v>1.5</v>
      </c>
      <c r="G12">
        <v>1</v>
      </c>
      <c r="H12">
        <v>0.03</v>
      </c>
      <c r="I12" s="17">
        <v>2256</v>
      </c>
      <c r="J12">
        <v>1E-3</v>
      </c>
      <c r="K12">
        <f t="shared" si="0"/>
        <v>0.10152</v>
      </c>
    </row>
    <row r="13" spans="1:11">
      <c r="A13">
        <v>12</v>
      </c>
      <c r="B13" t="s">
        <v>91</v>
      </c>
      <c r="C13" t="s">
        <v>92</v>
      </c>
      <c r="D13" t="s">
        <v>93</v>
      </c>
      <c r="E13" t="s">
        <v>94</v>
      </c>
      <c r="F13">
        <v>1.5</v>
      </c>
      <c r="G13">
        <v>1</v>
      </c>
      <c r="H13">
        <v>0.03</v>
      </c>
      <c r="I13" s="17">
        <v>2256</v>
      </c>
      <c r="J13">
        <v>1E-3</v>
      </c>
      <c r="K13">
        <f t="shared" si="0"/>
        <v>0.10152</v>
      </c>
    </row>
    <row r="14" spans="1:11">
      <c r="A14">
        <v>13</v>
      </c>
      <c r="B14" t="s">
        <v>262</v>
      </c>
      <c r="C14" t="s">
        <v>263</v>
      </c>
      <c r="D14" t="s">
        <v>265</v>
      </c>
      <c r="E14" t="s">
        <v>267</v>
      </c>
      <c r="F14">
        <v>0.95</v>
      </c>
      <c r="G14">
        <v>1</v>
      </c>
      <c r="H14">
        <v>0.33</v>
      </c>
      <c r="I14" s="17">
        <v>1430</v>
      </c>
      <c r="J14">
        <v>1E-3</v>
      </c>
      <c r="K14">
        <f t="shared" si="0"/>
        <v>0.44830500000000001</v>
      </c>
    </row>
    <row r="15" spans="1:11">
      <c r="A15">
        <v>14</v>
      </c>
      <c r="B15" t="s">
        <v>262</v>
      </c>
      <c r="C15" t="s">
        <v>264</v>
      </c>
      <c r="D15" t="s">
        <v>266</v>
      </c>
      <c r="E15" t="s">
        <v>267</v>
      </c>
      <c r="F15">
        <v>1</v>
      </c>
      <c r="G15">
        <v>1</v>
      </c>
      <c r="H15">
        <v>0.33</v>
      </c>
      <c r="I15" s="17">
        <v>1430</v>
      </c>
      <c r="J15">
        <v>1E-3</v>
      </c>
      <c r="K15">
        <f t="shared" si="0"/>
        <v>0.47190000000000004</v>
      </c>
    </row>
    <row r="16" spans="1:11">
      <c r="J16" t="s">
        <v>63</v>
      </c>
      <c r="K16">
        <f>SUM(K2:K15)</f>
        <v>376.29779175000004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6" sqref="I6"/>
    </sheetView>
  </sheetViews>
  <sheetFormatPr defaultRowHeight="16.5"/>
  <cols>
    <col min="4" max="4" width="11.25" customWidth="1"/>
    <col min="7" max="7" width="19.25" customWidth="1"/>
    <col min="9" max="9" width="12.75" customWidth="1"/>
    <col min="10" max="10" width="14" customWidth="1"/>
  </cols>
  <sheetData>
    <row r="1" spans="1:10">
      <c r="A1" s="18" t="s">
        <v>69</v>
      </c>
      <c r="B1" s="18" t="s">
        <v>100</v>
      </c>
      <c r="C1" s="18" t="s">
        <v>111</v>
      </c>
      <c r="D1" s="19" t="s">
        <v>107</v>
      </c>
      <c r="E1" t="s">
        <v>101</v>
      </c>
      <c r="F1" s="18" t="s">
        <v>104</v>
      </c>
      <c r="G1" s="18" t="s">
        <v>108</v>
      </c>
      <c r="H1" s="18" t="s">
        <v>62</v>
      </c>
      <c r="I1" s="18" t="s">
        <v>67</v>
      </c>
      <c r="J1" s="18" t="s">
        <v>119</v>
      </c>
    </row>
    <row r="2" spans="1:10">
      <c r="A2">
        <v>1</v>
      </c>
      <c r="B2" t="s">
        <v>102</v>
      </c>
      <c r="C2">
        <v>1</v>
      </c>
      <c r="D2">
        <f>150000/1000</f>
        <v>150</v>
      </c>
      <c r="E2">
        <v>300</v>
      </c>
      <c r="F2" s="18" t="s">
        <v>105</v>
      </c>
      <c r="G2">
        <v>0.13100000000000001</v>
      </c>
      <c r="H2">
        <v>1E-3</v>
      </c>
      <c r="I2">
        <f>D2*E2*G2*H2</f>
        <v>5.8950000000000005</v>
      </c>
    </row>
    <row r="3" spans="1:10">
      <c r="A3">
        <v>2</v>
      </c>
      <c r="B3" t="s">
        <v>103</v>
      </c>
      <c r="C3">
        <v>1</v>
      </c>
      <c r="D3">
        <f>150000/1000</f>
        <v>150</v>
      </c>
      <c r="E3">
        <v>45</v>
      </c>
      <c r="F3" s="18" t="s">
        <v>105</v>
      </c>
      <c r="G3">
        <v>0.13100000000000001</v>
      </c>
      <c r="H3">
        <v>1E-3</v>
      </c>
      <c r="I3">
        <f t="shared" ref="I3:I4" si="0">D3*E3*G3*H3</f>
        <v>0.88424999999999998</v>
      </c>
    </row>
    <row r="4" spans="1:10">
      <c r="A4">
        <v>3</v>
      </c>
      <c r="B4" t="s">
        <v>106</v>
      </c>
      <c r="C4" t="s">
        <v>112</v>
      </c>
      <c r="D4">
        <f>600*0.098/1000</f>
        <v>5.8800000000000005E-2</v>
      </c>
      <c r="E4">
        <v>57</v>
      </c>
      <c r="F4" s="18" t="s">
        <v>105</v>
      </c>
      <c r="G4">
        <v>0.13100000000000001</v>
      </c>
      <c r="H4">
        <v>1E-3</v>
      </c>
      <c r="I4">
        <f t="shared" si="0"/>
        <v>4.3905960000000004E-4</v>
      </c>
    </row>
    <row r="5" spans="1:10">
      <c r="A5">
        <v>4</v>
      </c>
      <c r="B5" t="s">
        <v>109</v>
      </c>
      <c r="C5" t="s">
        <v>110</v>
      </c>
      <c r="D5">
        <f>2000*G21</f>
        <v>1.6700000000000002</v>
      </c>
      <c r="E5">
        <v>0</v>
      </c>
      <c r="F5" s="18" t="s">
        <v>105</v>
      </c>
      <c r="G5">
        <v>0.13100000000000001</v>
      </c>
      <c r="H5">
        <v>1E-3</v>
      </c>
      <c r="I5">
        <f>D5*E5*G5*H5</f>
        <v>0</v>
      </c>
      <c r="J5" t="s">
        <v>120</v>
      </c>
    </row>
    <row r="6" spans="1:10">
      <c r="H6" t="s">
        <v>60</v>
      </c>
      <c r="I6" s="14">
        <f>SUM(I2:I5)</f>
        <v>6.7796890595999999</v>
      </c>
    </row>
    <row r="20" spans="2:7">
      <c r="C20" t="s">
        <v>113</v>
      </c>
      <c r="D20" t="s">
        <v>118</v>
      </c>
      <c r="E20" t="s">
        <v>115</v>
      </c>
      <c r="F20" t="s">
        <v>116</v>
      </c>
      <c r="G20" t="s">
        <v>117</v>
      </c>
    </row>
    <row r="21" spans="2:7">
      <c r="B21" t="s">
        <v>114</v>
      </c>
      <c r="C21" s="16">
        <v>0.83499999999999996</v>
      </c>
      <c r="D21">
        <v>1E-3</v>
      </c>
      <c r="E21">
        <v>1E-3</v>
      </c>
      <c r="F21">
        <v>1E-3</v>
      </c>
      <c r="G21">
        <f>C21/D21*E21*F21</f>
        <v>8.3500000000000002E-4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6.5"/>
  <cols>
    <col min="4" max="4" width="12.875" customWidth="1"/>
    <col min="6" max="6" width="16.25" customWidth="1"/>
  </cols>
  <sheetData>
    <row r="1" spans="1:6">
      <c r="A1" s="18" t="s">
        <v>69</v>
      </c>
      <c r="B1" s="18" t="s">
        <v>100</v>
      </c>
      <c r="C1" s="18" t="s">
        <v>122</v>
      </c>
      <c r="D1" s="18" t="s">
        <v>123</v>
      </c>
      <c r="E1" s="18" t="s">
        <v>62</v>
      </c>
      <c r="F1" s="18" t="s">
        <v>67</v>
      </c>
    </row>
    <row r="2" spans="1:6">
      <c r="A2">
        <v>1</v>
      </c>
      <c r="B2" t="s">
        <v>121</v>
      </c>
      <c r="C2">
        <v>79432</v>
      </c>
      <c r="D2">
        <v>0.161</v>
      </c>
      <c r="E2">
        <v>1E-3</v>
      </c>
      <c r="F2" s="14">
        <f>C2*D2*E2</f>
        <v>12.788551999999999</v>
      </c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6.5"/>
  <cols>
    <col min="3" max="3" width="11.5" customWidth="1"/>
    <col min="6" max="6" width="19.875" customWidth="1"/>
    <col min="8" max="8" width="19.75" customWidth="1"/>
  </cols>
  <sheetData>
    <row r="1" spans="1:8">
      <c r="A1" s="18" t="s">
        <v>69</v>
      </c>
      <c r="B1" s="18" t="s">
        <v>100</v>
      </c>
      <c r="C1" s="19" t="s">
        <v>107</v>
      </c>
      <c r="D1" t="s">
        <v>101</v>
      </c>
      <c r="E1" s="18" t="s">
        <v>104</v>
      </c>
      <c r="F1" s="18" t="s">
        <v>108</v>
      </c>
      <c r="G1" s="18" t="s">
        <v>62</v>
      </c>
      <c r="H1" s="18" t="s">
        <v>67</v>
      </c>
    </row>
    <row r="2" spans="1:8">
      <c r="A2">
        <v>1</v>
      </c>
      <c r="B2" t="s">
        <v>124</v>
      </c>
      <c r="C2">
        <f>180000/1000</f>
        <v>180</v>
      </c>
      <c r="D2">
        <v>68</v>
      </c>
      <c r="E2" t="s">
        <v>105</v>
      </c>
      <c r="F2">
        <v>0.13100000000000001</v>
      </c>
      <c r="G2">
        <v>1E-3</v>
      </c>
      <c r="H2" s="14">
        <f>C2*D2*F2*G2</f>
        <v>1.6034400000000002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項目</vt:lpstr>
      <vt:lpstr>重大項目</vt:lpstr>
      <vt:lpstr>電費</vt:lpstr>
      <vt:lpstr>化糞池</vt:lpstr>
      <vt:lpstr>製程</vt:lpstr>
      <vt:lpstr>冷媒</vt:lpstr>
      <vt:lpstr>上游運輸</vt:lpstr>
      <vt:lpstr>水</vt:lpstr>
      <vt:lpstr>下游運輸</vt:lpstr>
      <vt:lpstr>汽油</vt:lpstr>
      <vt:lpstr>柴油</vt:lpstr>
      <vt:lpstr>滅火器</vt:lpstr>
      <vt:lpstr>飛機、高鐵、海運</vt:lpstr>
      <vt:lpstr>廢棄物</vt:lpstr>
      <vt:lpstr>上游原料</vt:lpstr>
      <vt:lpstr>產品衍生排放</vt:lpstr>
    </vt:vector>
  </TitlesOfParts>
  <Company>ITRI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永輝興設計IOT課-林子桓</cp:lastModifiedBy>
  <dcterms:created xsi:type="dcterms:W3CDTF">2022-01-20T01:50:05Z</dcterms:created>
  <dcterms:modified xsi:type="dcterms:W3CDTF">2023-06-05T06:20:45Z</dcterms:modified>
</cp:coreProperties>
</file>