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 Taljaard\Documents\Dam-simulation\data processing\K10\"/>
    </mc:Choice>
  </mc:AlternateContent>
  <bookViews>
    <workbookView xWindow="0" yWindow="0" windowWidth="38400" windowHeight="13020"/>
  </bookViews>
  <sheets>
    <sheet name="Simulation score" sheetId="1" r:id="rId1"/>
    <sheet name="Feature score" sheetId="2" r:id="rId2"/>
    <sheet name="Total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B9" i="2"/>
  <c r="H1" i="1" l="1"/>
  <c r="B11" i="2" l="1"/>
  <c r="V13" i="1"/>
  <c r="W13" i="1"/>
  <c r="X13" i="1"/>
  <c r="V14" i="1"/>
  <c r="W14" i="1"/>
  <c r="X14" i="1"/>
  <c r="W12" i="1"/>
  <c r="X12" i="1"/>
  <c r="V12" i="1"/>
  <c r="X2" i="1"/>
  <c r="W2" i="1"/>
  <c r="V2" i="1"/>
  <c r="M3" i="1"/>
  <c r="M4" i="1"/>
  <c r="M2" i="1"/>
  <c r="X6" i="1" l="1"/>
  <c r="X7" i="1" s="1"/>
  <c r="D15" i="2"/>
  <c r="F3" i="3" s="1"/>
  <c r="F6" i="3" s="1"/>
  <c r="V6" i="1"/>
  <c r="V7" i="1" s="1"/>
  <c r="V8" i="1" s="1"/>
  <c r="W6" i="1"/>
  <c r="W7" i="1" s="1"/>
  <c r="W15" i="1"/>
  <c r="C15" i="2"/>
  <c r="E3" i="3" s="1"/>
  <c r="E6" i="3" s="1"/>
  <c r="B15" i="2"/>
  <c r="D3" i="3" s="1"/>
  <c r="D6" i="3" s="1"/>
  <c r="X15" i="1"/>
  <c r="V15" i="1"/>
  <c r="W8" i="1" l="1"/>
  <c r="W9" i="1" s="1"/>
  <c r="W19" i="1" s="1"/>
  <c r="AD22" i="1" s="1"/>
  <c r="E2" i="3" s="1"/>
  <c r="V9" i="1"/>
  <c r="V19" i="1" s="1"/>
  <c r="AC22" i="1" s="1"/>
  <c r="D2" i="3" s="1"/>
  <c r="X8" i="1"/>
  <c r="X9" i="1" s="1"/>
  <c r="X19" i="1" s="1"/>
  <c r="AE22" i="1" s="1"/>
  <c r="F2" i="3" s="1"/>
  <c r="F4" i="3" l="1"/>
  <c r="F7" i="3" s="1"/>
  <c r="F5" i="3"/>
  <c r="D4" i="3"/>
  <c r="D7" i="3" s="1"/>
  <c r="D5" i="3"/>
  <c r="E4" i="3"/>
  <c r="E7" i="3" s="1"/>
  <c r="E5" i="3"/>
</calcChain>
</file>

<file path=xl/sharedStrings.xml><?xml version="1.0" encoding="utf-8"?>
<sst xmlns="http://schemas.openxmlformats.org/spreadsheetml/2006/main" count="60" uniqueCount="40">
  <si>
    <t>Tariff outline</t>
  </si>
  <si>
    <t>Tariff price</t>
  </si>
  <si>
    <t>Max possible consumption</t>
  </si>
  <si>
    <t>Max possible per group</t>
  </si>
  <si>
    <t>off-peak</t>
  </si>
  <si>
    <t>standard</t>
  </si>
  <si>
    <t>peak</t>
  </si>
  <si>
    <t>1-factor</t>
  </si>
  <si>
    <t>2-factor</t>
  </si>
  <si>
    <t>n-factor</t>
  </si>
  <si>
    <t>Total kWh</t>
  </si>
  <si>
    <t>Dividing into groups "theoretical"</t>
  </si>
  <si>
    <t>Actual usages</t>
  </si>
  <si>
    <t>Scores</t>
  </si>
  <si>
    <t>Cost scores</t>
  </si>
  <si>
    <t>Level score</t>
  </si>
  <si>
    <t>1 = levels stayed within range, 0 = not</t>
  </si>
  <si>
    <t>Pump cycling score</t>
  </si>
  <si>
    <t>1 = no cycling, 0 = cycling</t>
  </si>
  <si>
    <t>Total simulation scores</t>
  </si>
  <si>
    <t>Weights</t>
  </si>
  <si>
    <t>Cost</t>
  </si>
  <si>
    <t>Level</t>
  </si>
  <si>
    <t>Cycling</t>
  </si>
  <si>
    <t>Score [0-3]</t>
  </si>
  <si>
    <t>Skill level required</t>
  </si>
  <si>
    <t>Alarm handling</t>
  </si>
  <si>
    <t>Max score</t>
  </si>
  <si>
    <t>Scaled score</t>
  </si>
  <si>
    <t>3-factor</t>
  </si>
  <si>
    <t>Simulation score</t>
  </si>
  <si>
    <t>Feature score</t>
  </si>
  <si>
    <t>Total score</t>
  </si>
  <si>
    <t>Total score/100</t>
  </si>
  <si>
    <t>Actual profiles:</t>
  </si>
  <si>
    <t>Contributions</t>
  </si>
  <si>
    <t>Simulation / testing environment</t>
  </si>
  <si>
    <t>Optimised pumping schedule</t>
  </si>
  <si>
    <t>Control and automated operation</t>
  </si>
  <si>
    <t>Monitoring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</si>
</sst>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#.###&quot; kW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8" applyNumberFormat="0" applyAlignment="0" applyProtection="0"/>
    <xf numFmtId="0" fontId="14" fillId="9" borderId="9" applyNumberFormat="0" applyAlignment="0" applyProtection="0"/>
    <xf numFmtId="0" fontId="15" fillId="9" borderId="8" applyNumberFormat="0" applyAlignment="0" applyProtection="0"/>
    <xf numFmtId="0" fontId="16" fillId="0" borderId="10" applyNumberFormat="0" applyFill="0" applyAlignment="0" applyProtection="0"/>
    <xf numFmtId="0" fontId="2" fillId="10" borderId="11" applyNumberFormat="0" applyAlignment="0" applyProtection="0"/>
    <xf numFmtId="0" fontId="17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164" fontId="5" fillId="4" borderId="0" xfId="0" applyNumberFormat="1" applyFont="1" applyFill="1"/>
    <xf numFmtId="0" fontId="0" fillId="0" borderId="4" xfId="0" applyFont="1" applyBorder="1"/>
    <xf numFmtId="0" fontId="2" fillId="2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'Simulation score'!$Q$1</c:f>
              <c:strCache>
                <c:ptCount val="1"/>
                <c:pt idx="0">
                  <c:v>1-factor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score'!$Q$2:$Q$49</c:f>
              <c:numCache>
                <c:formatCode>General</c:formatCode>
                <c:ptCount val="48"/>
                <c:pt idx="0">
                  <c:v>13360.52267</c:v>
                </c:pt>
                <c:pt idx="1">
                  <c:v>11164.4</c:v>
                </c:pt>
                <c:pt idx="2">
                  <c:v>13198.17489</c:v>
                </c:pt>
                <c:pt idx="3">
                  <c:v>13821</c:v>
                </c:pt>
                <c:pt idx="4">
                  <c:v>11593.883669999999</c:v>
                </c:pt>
                <c:pt idx="5">
                  <c:v>12077.97522</c:v>
                </c:pt>
                <c:pt idx="6">
                  <c:v>13821</c:v>
                </c:pt>
                <c:pt idx="7">
                  <c:v>13375.281559999999</c:v>
                </c:pt>
                <c:pt idx="8">
                  <c:v>11164.4</c:v>
                </c:pt>
                <c:pt idx="9">
                  <c:v>13115.52511</c:v>
                </c:pt>
                <c:pt idx="10">
                  <c:v>13821</c:v>
                </c:pt>
                <c:pt idx="11">
                  <c:v>12126.67956</c:v>
                </c:pt>
                <c:pt idx="12">
                  <c:v>12714.083329999999</c:v>
                </c:pt>
                <c:pt idx="13">
                  <c:v>11841.343999999999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670.05355559999998</c:v>
                </c:pt>
                <c:pt idx="20">
                  <c:v>13821</c:v>
                </c:pt>
                <c:pt idx="21">
                  <c:v>12875.056</c:v>
                </c:pt>
                <c:pt idx="22">
                  <c:v>10557.685219999999</c:v>
                </c:pt>
                <c:pt idx="23">
                  <c:v>11050.62667</c:v>
                </c:pt>
                <c:pt idx="24">
                  <c:v>13351.66733</c:v>
                </c:pt>
                <c:pt idx="25">
                  <c:v>13821</c:v>
                </c:pt>
                <c:pt idx="26">
                  <c:v>13147.99467</c:v>
                </c:pt>
                <c:pt idx="27">
                  <c:v>11164.4</c:v>
                </c:pt>
                <c:pt idx="28">
                  <c:v>12753.93233</c:v>
                </c:pt>
                <c:pt idx="29">
                  <c:v>13821</c:v>
                </c:pt>
                <c:pt idx="30">
                  <c:v>12786.401889999999</c:v>
                </c:pt>
                <c:pt idx="31">
                  <c:v>11164.4</c:v>
                </c:pt>
                <c:pt idx="32">
                  <c:v>13748.68144</c:v>
                </c:pt>
                <c:pt idx="33">
                  <c:v>13821</c:v>
                </c:pt>
                <c:pt idx="34">
                  <c:v>8640.6579999999994</c:v>
                </c:pt>
                <c:pt idx="35">
                  <c:v>1908.324333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13821</c:v>
                </c:pt>
                <c:pt idx="41">
                  <c:v>11875.77844</c:v>
                </c:pt>
                <c:pt idx="42">
                  <c:v>13339.86022</c:v>
                </c:pt>
                <c:pt idx="43">
                  <c:v>13821</c:v>
                </c:pt>
                <c:pt idx="44">
                  <c:v>13821</c:v>
                </c:pt>
                <c:pt idx="45">
                  <c:v>12777.546560000001</c:v>
                </c:pt>
                <c:pt idx="46">
                  <c:v>11356.26556</c:v>
                </c:pt>
                <c:pt idx="47">
                  <c:v>13821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3-447E-8066-64D9BD38459C}"/>
            </c:ext>
          </c:extLst>
        </c:ser>
        <c:ser>
          <c:idx val="1"/>
          <c:order val="1"/>
          <c:tx>
            <c:strRef>
              <c:f>'Simulation score'!$R$1</c:f>
              <c:strCache>
                <c:ptCount val="1"/>
                <c:pt idx="0">
                  <c:v>2-factor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score'!$R$2:$R$49</c:f>
              <c:numCache>
                <c:formatCode>General</c:formatCode>
                <c:ptCount val="48"/>
                <c:pt idx="0">
                  <c:v>13360.52267</c:v>
                </c:pt>
                <c:pt idx="1">
                  <c:v>11164.4</c:v>
                </c:pt>
                <c:pt idx="2">
                  <c:v>13198.17489</c:v>
                </c:pt>
                <c:pt idx="3">
                  <c:v>13821</c:v>
                </c:pt>
                <c:pt idx="4">
                  <c:v>11593.883669999999</c:v>
                </c:pt>
                <c:pt idx="5">
                  <c:v>12077.97522</c:v>
                </c:pt>
                <c:pt idx="6">
                  <c:v>13821</c:v>
                </c:pt>
                <c:pt idx="7">
                  <c:v>13375.281559999999</c:v>
                </c:pt>
                <c:pt idx="8">
                  <c:v>11164.4</c:v>
                </c:pt>
                <c:pt idx="9">
                  <c:v>13115.52511</c:v>
                </c:pt>
                <c:pt idx="10">
                  <c:v>13821</c:v>
                </c:pt>
                <c:pt idx="11">
                  <c:v>12126.67956</c:v>
                </c:pt>
                <c:pt idx="12">
                  <c:v>12714.083329999999</c:v>
                </c:pt>
                <c:pt idx="13">
                  <c:v>11841.343999999999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670.05355559999998</c:v>
                </c:pt>
                <c:pt idx="20">
                  <c:v>13821</c:v>
                </c:pt>
                <c:pt idx="21">
                  <c:v>12875.056</c:v>
                </c:pt>
                <c:pt idx="22">
                  <c:v>10557.685219999999</c:v>
                </c:pt>
                <c:pt idx="23">
                  <c:v>11050.62667</c:v>
                </c:pt>
                <c:pt idx="24">
                  <c:v>13351.66733</c:v>
                </c:pt>
                <c:pt idx="25">
                  <c:v>13821</c:v>
                </c:pt>
                <c:pt idx="26">
                  <c:v>13147.99467</c:v>
                </c:pt>
                <c:pt idx="27">
                  <c:v>11164.4</c:v>
                </c:pt>
                <c:pt idx="28">
                  <c:v>12753.93233</c:v>
                </c:pt>
                <c:pt idx="29">
                  <c:v>13821</c:v>
                </c:pt>
                <c:pt idx="30">
                  <c:v>12786.401889999999</c:v>
                </c:pt>
                <c:pt idx="31">
                  <c:v>11164.4</c:v>
                </c:pt>
                <c:pt idx="32">
                  <c:v>13748.68144</c:v>
                </c:pt>
                <c:pt idx="33">
                  <c:v>13821</c:v>
                </c:pt>
                <c:pt idx="34">
                  <c:v>8640.6579999999994</c:v>
                </c:pt>
                <c:pt idx="35">
                  <c:v>1908.324333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13821</c:v>
                </c:pt>
                <c:pt idx="41">
                  <c:v>11875.77844</c:v>
                </c:pt>
                <c:pt idx="42">
                  <c:v>13339.86022</c:v>
                </c:pt>
                <c:pt idx="43">
                  <c:v>13821</c:v>
                </c:pt>
                <c:pt idx="44">
                  <c:v>13821</c:v>
                </c:pt>
                <c:pt idx="45">
                  <c:v>12777.546560000001</c:v>
                </c:pt>
                <c:pt idx="46">
                  <c:v>11356.26556</c:v>
                </c:pt>
                <c:pt idx="47">
                  <c:v>13821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3-447E-8066-64D9BD38459C}"/>
            </c:ext>
          </c:extLst>
        </c:ser>
        <c:ser>
          <c:idx val="2"/>
          <c:order val="2"/>
          <c:tx>
            <c:strRef>
              <c:f>'Simulation score'!$S$1</c:f>
              <c:strCache>
                <c:ptCount val="1"/>
                <c:pt idx="0">
                  <c:v>n-factor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'Simulation score'!$S$2:$S$49</c:f>
              <c:numCache>
                <c:formatCode>General</c:formatCode>
                <c:ptCount val="48"/>
                <c:pt idx="0">
                  <c:v>13821</c:v>
                </c:pt>
                <c:pt idx="1">
                  <c:v>13032.875330000001</c:v>
                </c:pt>
                <c:pt idx="2">
                  <c:v>11164.4</c:v>
                </c:pt>
                <c:pt idx="3">
                  <c:v>11164.4</c:v>
                </c:pt>
                <c:pt idx="4">
                  <c:v>11893.48911</c:v>
                </c:pt>
                <c:pt idx="5">
                  <c:v>13821</c:v>
                </c:pt>
                <c:pt idx="6">
                  <c:v>13821</c:v>
                </c:pt>
                <c:pt idx="7">
                  <c:v>13821</c:v>
                </c:pt>
                <c:pt idx="8">
                  <c:v>13772.29567</c:v>
                </c:pt>
                <c:pt idx="9">
                  <c:v>11164.4</c:v>
                </c:pt>
                <c:pt idx="10">
                  <c:v>11164.4</c:v>
                </c:pt>
                <c:pt idx="11">
                  <c:v>11608.64256</c:v>
                </c:pt>
                <c:pt idx="12">
                  <c:v>13821</c:v>
                </c:pt>
                <c:pt idx="13">
                  <c:v>10781.62667</c:v>
                </c:pt>
                <c:pt idx="14">
                  <c:v>4.4276666669999996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875.20211110000002</c:v>
                </c:pt>
                <c:pt idx="20">
                  <c:v>13817.89878</c:v>
                </c:pt>
                <c:pt idx="21">
                  <c:v>12668.63867</c:v>
                </c:pt>
                <c:pt idx="22">
                  <c:v>10895.4</c:v>
                </c:pt>
                <c:pt idx="23">
                  <c:v>9709.6564440000002</c:v>
                </c:pt>
                <c:pt idx="24">
                  <c:v>11164.4</c:v>
                </c:pt>
                <c:pt idx="25">
                  <c:v>11164.4</c:v>
                </c:pt>
                <c:pt idx="26">
                  <c:v>12659.47544</c:v>
                </c:pt>
                <c:pt idx="27">
                  <c:v>13821</c:v>
                </c:pt>
                <c:pt idx="28">
                  <c:v>13821</c:v>
                </c:pt>
                <c:pt idx="29">
                  <c:v>13821</c:v>
                </c:pt>
                <c:pt idx="30">
                  <c:v>12184.239219999999</c:v>
                </c:pt>
                <c:pt idx="31">
                  <c:v>11164.4</c:v>
                </c:pt>
                <c:pt idx="32">
                  <c:v>11164.4</c:v>
                </c:pt>
                <c:pt idx="33">
                  <c:v>13211.45789</c:v>
                </c:pt>
                <c:pt idx="34">
                  <c:v>12135.529329999999</c:v>
                </c:pt>
                <c:pt idx="35">
                  <c:v>4809.9218890000002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12368.57589</c:v>
                </c:pt>
                <c:pt idx="41">
                  <c:v>13821</c:v>
                </c:pt>
                <c:pt idx="42">
                  <c:v>13821</c:v>
                </c:pt>
                <c:pt idx="43">
                  <c:v>13821</c:v>
                </c:pt>
                <c:pt idx="44">
                  <c:v>13821</c:v>
                </c:pt>
                <c:pt idx="45">
                  <c:v>13392.99222</c:v>
                </c:pt>
                <c:pt idx="46">
                  <c:v>11164.4</c:v>
                </c:pt>
                <c:pt idx="47">
                  <c:v>11164.4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3-447E-8066-64D9BD3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9120"/>
        <c:axId val="502099664"/>
      </c:lineChart>
      <c:catAx>
        <c:axId val="50209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099664"/>
        <c:crosses val="autoZero"/>
        <c:auto val="1"/>
        <c:lblAlgn val="ctr"/>
        <c:lblOffset val="100"/>
        <c:noMultiLvlLbl val="0"/>
      </c:catAx>
      <c:valAx>
        <c:axId val="502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171450</xdr:rowOff>
    </xdr:from>
    <xdr:to>
      <xdr:col>19</xdr:col>
      <xdr:colOff>361950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Normal="100" workbookViewId="0"/>
  </sheetViews>
  <sheetFormatPr defaultRowHeight="15" x14ac:dyDescent="0.25"/>
  <cols>
    <col min="8" max="8" width="10.85546875" bestFit="1" customWidth="1"/>
    <col min="13" max="13" width="11.85546875" bestFit="1" customWidth="1"/>
    <col min="16" max="16" width="14.5703125" bestFit="1" customWidth="1"/>
    <col min="21" max="21" width="9.85546875" bestFit="1" customWidth="1"/>
    <col min="22" max="24" width="14.85546875" bestFit="1" customWidth="1"/>
  </cols>
  <sheetData>
    <row r="1" spans="1:31" x14ac:dyDescent="0.25">
      <c r="A1" t="s">
        <v>0</v>
      </c>
      <c r="B1" t="s">
        <v>1</v>
      </c>
      <c r="E1" t="s">
        <v>2</v>
      </c>
      <c r="H1" s="17">
        <f>SUMPRODUCT(F3:F6,G3:G6)</f>
        <v>16746.599999999999</v>
      </c>
      <c r="L1" t="s">
        <v>3</v>
      </c>
      <c r="P1" t="s">
        <v>34</v>
      </c>
      <c r="Q1" t="s">
        <v>7</v>
      </c>
      <c r="R1" t="s">
        <v>8</v>
      </c>
      <c r="S1" t="s">
        <v>9</v>
      </c>
      <c r="V1" t="s">
        <v>7</v>
      </c>
      <c r="W1" t="s">
        <v>8</v>
      </c>
      <c r="X1" t="s">
        <v>9</v>
      </c>
      <c r="AB1" t="s">
        <v>15</v>
      </c>
      <c r="AD1" t="s">
        <v>16</v>
      </c>
    </row>
    <row r="2" spans="1:31" x14ac:dyDescent="0.25">
      <c r="A2">
        <v>1</v>
      </c>
      <c r="B2">
        <v>0.39020000000000005</v>
      </c>
      <c r="K2">
        <v>1</v>
      </c>
      <c r="L2" t="s">
        <v>4</v>
      </c>
      <c r="M2" s="1">
        <f>COUNTIF($A$2:$A$49,K2)*$H$1</f>
        <v>267945.59999999998</v>
      </c>
      <c r="Q2">
        <v>13360.52267</v>
      </c>
      <c r="R2">
        <v>13360.52267</v>
      </c>
      <c r="S2">
        <v>13821</v>
      </c>
      <c r="U2" t="s">
        <v>10</v>
      </c>
      <c r="V2">
        <f>SUM(Q2:Q49)/2</f>
        <v>235466.30111429997</v>
      </c>
      <c r="W2">
        <f>SUM(R2:R49)/2</f>
        <v>235466.30111429997</v>
      </c>
      <c r="X2">
        <f>SUM(S2:S49)/2</f>
        <v>233659.17244538353</v>
      </c>
      <c r="AC2" t="s">
        <v>7</v>
      </c>
      <c r="AD2" t="s">
        <v>8</v>
      </c>
      <c r="AE2" t="s">
        <v>9</v>
      </c>
    </row>
    <row r="3" spans="1:31" x14ac:dyDescent="0.25">
      <c r="A3">
        <v>1</v>
      </c>
      <c r="B3">
        <v>0.39020000000000005</v>
      </c>
      <c r="E3" s="10">
        <v>27</v>
      </c>
      <c r="F3">
        <v>2925.6</v>
      </c>
      <c r="G3">
        <v>3</v>
      </c>
      <c r="K3">
        <v>2</v>
      </c>
      <c r="L3" t="s">
        <v>5</v>
      </c>
      <c r="M3" s="1">
        <f t="shared" ref="M3:M4" si="0">COUNTIF($A$2:$A$49,K3)*$H$1</f>
        <v>368425.19999999995</v>
      </c>
      <c r="Q3">
        <v>11164.4</v>
      </c>
      <c r="R3">
        <v>11164.4</v>
      </c>
      <c r="S3">
        <v>13032.875330000001</v>
      </c>
      <c r="AC3">
        <v>1</v>
      </c>
      <c r="AD3">
        <v>1</v>
      </c>
      <c r="AE3">
        <v>1</v>
      </c>
    </row>
    <row r="4" spans="1:31" x14ac:dyDescent="0.25">
      <c r="A4">
        <v>1</v>
      </c>
      <c r="B4">
        <v>0.39020000000000005</v>
      </c>
      <c r="E4">
        <v>12</v>
      </c>
      <c r="F4">
        <v>2656.6</v>
      </c>
      <c r="G4">
        <v>3</v>
      </c>
      <c r="K4">
        <v>3</v>
      </c>
      <c r="L4" t="s">
        <v>6</v>
      </c>
      <c r="M4" s="1">
        <f t="shared" si="0"/>
        <v>167466</v>
      </c>
      <c r="Q4">
        <v>13198.17489</v>
      </c>
      <c r="R4">
        <v>13198.17489</v>
      </c>
      <c r="S4">
        <v>11164.4</v>
      </c>
    </row>
    <row r="5" spans="1:31" x14ac:dyDescent="0.25">
      <c r="A5">
        <v>1</v>
      </c>
      <c r="B5">
        <v>0.39020000000000005</v>
      </c>
      <c r="Q5">
        <v>13821</v>
      </c>
      <c r="R5">
        <v>13821</v>
      </c>
      <c r="S5">
        <v>11164.4</v>
      </c>
      <c r="U5" t="s">
        <v>11</v>
      </c>
    </row>
    <row r="6" spans="1:31" x14ac:dyDescent="0.25">
      <c r="A6">
        <v>1</v>
      </c>
      <c r="B6">
        <v>0.39020000000000005</v>
      </c>
      <c r="Q6">
        <v>11593.883669999999</v>
      </c>
      <c r="R6">
        <v>11593.883669999999</v>
      </c>
      <c r="S6">
        <v>11893.48911</v>
      </c>
      <c r="U6">
        <v>1</v>
      </c>
      <c r="V6" s="1">
        <f>IF(V2&lt;M2,V2,M2)</f>
        <v>235466.30111429997</v>
      </c>
      <c r="W6" s="1">
        <f>IF(W2&lt;M2,W2,M2)</f>
        <v>235466.30111429997</v>
      </c>
      <c r="X6" s="1">
        <f>IF(X2&lt;M2,X2,M2)</f>
        <v>233659.17244538353</v>
      </c>
      <c r="AB6" t="s">
        <v>17</v>
      </c>
      <c r="AD6" t="s">
        <v>18</v>
      </c>
    </row>
    <row r="7" spans="1:31" x14ac:dyDescent="0.25">
      <c r="A7">
        <v>1</v>
      </c>
      <c r="B7">
        <v>0.39020000000000005</v>
      </c>
      <c r="Q7">
        <v>12077.97522</v>
      </c>
      <c r="R7">
        <v>12077.97522</v>
      </c>
      <c r="S7">
        <v>13821</v>
      </c>
      <c r="U7">
        <v>2</v>
      </c>
      <c r="V7" s="1">
        <f>IF((V2-V6)&gt;$M$3,$M$3,V2-V6)</f>
        <v>0</v>
      </c>
      <c r="W7" s="1">
        <f t="shared" ref="W7:X7" si="1">IF((W2-W6)&gt;$M$3,$M$3,W2-W6)</f>
        <v>0</v>
      </c>
      <c r="X7" s="1">
        <f t="shared" si="1"/>
        <v>0</v>
      </c>
      <c r="AC7" t="s">
        <v>7</v>
      </c>
      <c r="AD7" t="s">
        <v>8</v>
      </c>
      <c r="AE7" t="s">
        <v>9</v>
      </c>
    </row>
    <row r="8" spans="1:31" x14ac:dyDescent="0.25">
      <c r="A8">
        <v>1</v>
      </c>
      <c r="B8">
        <v>0.39020000000000005</v>
      </c>
      <c r="Q8">
        <v>13821</v>
      </c>
      <c r="R8">
        <v>13821</v>
      </c>
      <c r="S8">
        <v>13821</v>
      </c>
      <c r="U8">
        <v>3</v>
      </c>
      <c r="V8" s="2">
        <f>IF(V2-SUM(V6:V7)&lt;0,0,V2-SUM(V6:V7))</f>
        <v>0</v>
      </c>
      <c r="W8" s="2">
        <f t="shared" ref="W8:X8" si="2">IF(W2-SUM(W6:W7)&lt;0,0,W2-SUM(W6:W7))</f>
        <v>0</v>
      </c>
      <c r="X8" s="2">
        <f t="shared" si="2"/>
        <v>0</v>
      </c>
      <c r="AC8">
        <v>0</v>
      </c>
      <c r="AD8">
        <v>0</v>
      </c>
      <c r="AE8">
        <v>1</v>
      </c>
    </row>
    <row r="9" spans="1:31" x14ac:dyDescent="0.25">
      <c r="A9">
        <v>1</v>
      </c>
      <c r="B9">
        <v>0.39020000000000005</v>
      </c>
      <c r="Q9">
        <v>13375.281559999999</v>
      </c>
      <c r="R9">
        <v>13375.281559999999</v>
      </c>
      <c r="S9">
        <v>13821</v>
      </c>
      <c r="V9" s="3">
        <f>V6*$B$2+V7*$B$14+V8*$B$16</f>
        <v>91878.95069479986</v>
      </c>
      <c r="W9" s="3">
        <f t="shared" ref="W9" si="3">W6*$B$2+W7*$B$14+W8*$B$16</f>
        <v>91878.95069479986</v>
      </c>
      <c r="X9" s="3">
        <f>X6*$B$2+X7*$B$14+X8*$B$16</f>
        <v>91173.80908818866</v>
      </c>
    </row>
    <row r="10" spans="1:31" x14ac:dyDescent="0.25">
      <c r="A10">
        <v>1</v>
      </c>
      <c r="B10">
        <v>0.39020000000000005</v>
      </c>
      <c r="Q10">
        <v>11164.4</v>
      </c>
      <c r="R10">
        <v>11164.4</v>
      </c>
      <c r="S10">
        <v>13772.29567</v>
      </c>
    </row>
    <row r="11" spans="1:31" x14ac:dyDescent="0.25">
      <c r="A11">
        <v>1</v>
      </c>
      <c r="B11">
        <v>0.39020000000000005</v>
      </c>
      <c r="Q11">
        <v>13115.52511</v>
      </c>
      <c r="R11">
        <v>13115.52511</v>
      </c>
      <c r="S11">
        <v>11164.4</v>
      </c>
      <c r="U11" t="s">
        <v>12</v>
      </c>
    </row>
    <row r="12" spans="1:31" x14ac:dyDescent="0.25">
      <c r="A12">
        <v>1</v>
      </c>
      <c r="B12">
        <v>0.39020000000000005</v>
      </c>
      <c r="Q12">
        <v>13821</v>
      </c>
      <c r="R12">
        <v>13821</v>
      </c>
      <c r="S12">
        <v>11164.4</v>
      </c>
      <c r="U12">
        <v>1</v>
      </c>
      <c r="V12" s="1">
        <f>SUMIF($A$2:$A$49,$U12,Q$2:Q$49)/2</f>
        <v>102207.82739999998</v>
      </c>
      <c r="W12" s="1">
        <f t="shared" ref="W12:X12" si="4">SUMIF($A$2:$A$49,$U12,R$2:R$49)/2</f>
        <v>102207.82739999998</v>
      </c>
      <c r="X12" s="1">
        <f t="shared" si="4"/>
        <v>99895.847444999992</v>
      </c>
    </row>
    <row r="13" spans="1:31" x14ac:dyDescent="0.25">
      <c r="A13">
        <v>1</v>
      </c>
      <c r="B13">
        <v>0.39020000000000005</v>
      </c>
      <c r="Q13">
        <v>12126.67956</v>
      </c>
      <c r="R13">
        <v>12126.67956</v>
      </c>
      <c r="S13">
        <v>11608.64256</v>
      </c>
      <c r="U13">
        <v>2</v>
      </c>
      <c r="V13" s="1">
        <f t="shared" ref="V13:V14" si="5">SUMIF($A$2:$A$49,$U13,Q$2:Q$49)/2</f>
        <v>132923.4469365</v>
      </c>
      <c r="W13" s="1">
        <f t="shared" ref="W13:W14" si="6">SUMIF($A$2:$A$49,$U13,R$2:R$49)/2</f>
        <v>132923.4469365</v>
      </c>
      <c r="X13" s="1">
        <f t="shared" ref="X13:X14" si="7">SUMIF($A$2:$A$49,$U13,S$2:S$49)/2</f>
        <v>133323.51011149999</v>
      </c>
      <c r="AB13" s="5" t="s">
        <v>20</v>
      </c>
    </row>
    <row r="14" spans="1:31" x14ac:dyDescent="0.25">
      <c r="A14">
        <v>2</v>
      </c>
      <c r="B14">
        <v>0.61509999999999998</v>
      </c>
      <c r="Q14">
        <v>12714.083329999999</v>
      </c>
      <c r="R14">
        <v>12714.083329999999</v>
      </c>
      <c r="S14">
        <v>13821</v>
      </c>
      <c r="U14">
        <v>3</v>
      </c>
      <c r="V14" s="2">
        <f t="shared" si="5"/>
        <v>335.02677779999999</v>
      </c>
      <c r="W14" s="2">
        <f t="shared" si="6"/>
        <v>335.02677779999999</v>
      </c>
      <c r="X14" s="2">
        <f t="shared" si="7"/>
        <v>439.81488888350003</v>
      </c>
      <c r="AB14" t="s">
        <v>21</v>
      </c>
      <c r="AC14">
        <v>1</v>
      </c>
    </row>
    <row r="15" spans="1:31" x14ac:dyDescent="0.25">
      <c r="A15">
        <v>2</v>
      </c>
      <c r="B15">
        <v>0.61509999999999998</v>
      </c>
      <c r="Q15">
        <v>11841.343999999999</v>
      </c>
      <c r="R15">
        <v>11841.343999999999</v>
      </c>
      <c r="S15">
        <v>10781.62667</v>
      </c>
      <c r="V15" s="3">
        <f>V12*$B$2+V13*$B$14+V14*$B$16</f>
        <v>121942.08639076322</v>
      </c>
      <c r="W15" s="3">
        <f t="shared" ref="W15" si="8">W12*$B$2+W13*$B$14+W14*$B$16</f>
        <v>121942.08639076322</v>
      </c>
      <c r="X15" s="3">
        <f>X12*$B$2+X13*$B$14+X14*$B$16</f>
        <v>121379.66932732893</v>
      </c>
      <c r="AB15" t="s">
        <v>22</v>
      </c>
      <c r="AC15">
        <v>2</v>
      </c>
    </row>
    <row r="16" spans="1:31" x14ac:dyDescent="0.25">
      <c r="A16">
        <v>3</v>
      </c>
      <c r="B16">
        <v>0.89359999999999995</v>
      </c>
      <c r="Q16">
        <v>0</v>
      </c>
      <c r="R16">
        <v>0</v>
      </c>
      <c r="S16">
        <v>4.4276666669999996</v>
      </c>
      <c r="AB16" t="s">
        <v>23</v>
      </c>
      <c r="AC16">
        <v>2</v>
      </c>
    </row>
    <row r="17" spans="1:31" x14ac:dyDescent="0.25">
      <c r="A17">
        <v>3</v>
      </c>
      <c r="B17">
        <v>0.89359999999999995</v>
      </c>
      <c r="Q17">
        <v>0</v>
      </c>
      <c r="R17">
        <v>0</v>
      </c>
      <c r="S17">
        <v>0</v>
      </c>
    </row>
    <row r="18" spans="1:31" x14ac:dyDescent="0.25">
      <c r="A18">
        <v>3</v>
      </c>
      <c r="B18">
        <v>0.89359999999999995</v>
      </c>
      <c r="Q18">
        <v>0</v>
      </c>
      <c r="R18">
        <v>0</v>
      </c>
      <c r="S18">
        <v>0</v>
      </c>
      <c r="U18" t="s">
        <v>14</v>
      </c>
    </row>
    <row r="19" spans="1:31" x14ac:dyDescent="0.25">
      <c r="A19">
        <v>3</v>
      </c>
      <c r="B19">
        <v>0.89359999999999995</v>
      </c>
      <c r="Q19">
        <v>0</v>
      </c>
      <c r="R19">
        <v>0</v>
      </c>
      <c r="S19">
        <v>0</v>
      </c>
      <c r="V19">
        <f>V9/V15</f>
        <v>0.75346382380545718</v>
      </c>
      <c r="W19">
        <f t="shared" ref="W19:X19" si="9">W9/W15</f>
        <v>0.75346382380545718</v>
      </c>
      <c r="X19">
        <f t="shared" si="9"/>
        <v>0.75114563743222074</v>
      </c>
    </row>
    <row r="20" spans="1:31" x14ac:dyDescent="0.25">
      <c r="A20">
        <v>3</v>
      </c>
      <c r="B20">
        <v>0.89359999999999995</v>
      </c>
      <c r="Q20">
        <v>0</v>
      </c>
      <c r="R20">
        <v>0</v>
      </c>
      <c r="S20">
        <v>0</v>
      </c>
      <c r="AB20" t="s">
        <v>19</v>
      </c>
    </row>
    <row r="21" spans="1:31" x14ac:dyDescent="0.25">
      <c r="A21">
        <v>3</v>
      </c>
      <c r="B21">
        <v>0.89359999999999995</v>
      </c>
      <c r="Q21">
        <v>670.05355559999998</v>
      </c>
      <c r="R21">
        <v>670.05355559999998</v>
      </c>
      <c r="S21">
        <v>875.20211110000002</v>
      </c>
      <c r="AC21" t="s">
        <v>7</v>
      </c>
      <c r="AD21" t="s">
        <v>8</v>
      </c>
      <c r="AE21" t="s">
        <v>9</v>
      </c>
    </row>
    <row r="22" spans="1:31" x14ac:dyDescent="0.25">
      <c r="A22">
        <v>2</v>
      </c>
      <c r="B22">
        <v>0.61509999999999998</v>
      </c>
      <c r="Q22">
        <v>13821</v>
      </c>
      <c r="R22">
        <v>13821</v>
      </c>
      <c r="S22">
        <v>13817.89878</v>
      </c>
      <c r="AB22" s="5" t="s">
        <v>13</v>
      </c>
      <c r="AC22">
        <f>(V19*$AC$14+AC3*$AC$15+AC8*$AC$16)/SUM($AC$14:$AC$16)</f>
        <v>0.55069276476109141</v>
      </c>
      <c r="AD22">
        <f>(W19*$AC$14+AD3*$AC$15+AD8*$AC$16)/SUM($AC$14:$AC$16)</f>
        <v>0.55069276476109141</v>
      </c>
      <c r="AE22">
        <f>(X19*$AC$14+AE3*$AC$15+AE8*$AC$16)/SUM($AC$14:$AC$16)</f>
        <v>0.95022912748644417</v>
      </c>
    </row>
    <row r="23" spans="1:31" x14ac:dyDescent="0.25">
      <c r="A23">
        <v>2</v>
      </c>
      <c r="B23">
        <v>0.61509999999999998</v>
      </c>
      <c r="Q23">
        <v>12875.056</v>
      </c>
      <c r="R23">
        <v>12875.056</v>
      </c>
      <c r="S23">
        <v>12668.63867</v>
      </c>
    </row>
    <row r="24" spans="1:31" x14ac:dyDescent="0.25">
      <c r="A24">
        <v>2</v>
      </c>
      <c r="B24">
        <v>0.61509999999999998</v>
      </c>
      <c r="Q24">
        <v>10557.685219999999</v>
      </c>
      <c r="R24">
        <v>10557.685219999999</v>
      </c>
      <c r="S24">
        <v>10895.4</v>
      </c>
    </row>
    <row r="25" spans="1:31" x14ac:dyDescent="0.25">
      <c r="A25">
        <v>2</v>
      </c>
      <c r="B25">
        <v>0.61509999999999998</v>
      </c>
      <c r="Q25">
        <v>11050.62667</v>
      </c>
      <c r="R25">
        <v>11050.62667</v>
      </c>
      <c r="S25">
        <v>9709.6564440000002</v>
      </c>
    </row>
    <row r="26" spans="1:31" x14ac:dyDescent="0.25">
      <c r="A26">
        <v>2</v>
      </c>
      <c r="B26">
        <v>0.61509999999999998</v>
      </c>
      <c r="Q26">
        <v>13351.66733</v>
      </c>
      <c r="R26">
        <v>13351.66733</v>
      </c>
      <c r="S26">
        <v>11164.4</v>
      </c>
    </row>
    <row r="27" spans="1:31" x14ac:dyDescent="0.25">
      <c r="A27">
        <v>2</v>
      </c>
      <c r="B27">
        <v>0.61509999999999998</v>
      </c>
      <c r="Q27">
        <v>13821</v>
      </c>
      <c r="R27">
        <v>13821</v>
      </c>
      <c r="S27">
        <v>11164.4</v>
      </c>
    </row>
    <row r="28" spans="1:31" x14ac:dyDescent="0.25">
      <c r="A28">
        <v>2</v>
      </c>
      <c r="B28">
        <v>0.61509999999999998</v>
      </c>
      <c r="Q28">
        <v>13147.99467</v>
      </c>
      <c r="R28">
        <v>13147.99467</v>
      </c>
      <c r="S28">
        <v>12659.47544</v>
      </c>
    </row>
    <row r="29" spans="1:31" x14ac:dyDescent="0.25">
      <c r="A29">
        <v>2</v>
      </c>
      <c r="B29">
        <v>0.61509999999999998</v>
      </c>
      <c r="Q29">
        <v>11164.4</v>
      </c>
      <c r="R29">
        <v>11164.4</v>
      </c>
      <c r="S29">
        <v>13821</v>
      </c>
    </row>
    <row r="30" spans="1:31" x14ac:dyDescent="0.25">
      <c r="A30">
        <v>2</v>
      </c>
      <c r="B30">
        <v>0.61509999999999998</v>
      </c>
      <c r="Q30">
        <v>12753.93233</v>
      </c>
      <c r="R30">
        <v>12753.93233</v>
      </c>
      <c r="S30">
        <v>13821</v>
      </c>
    </row>
    <row r="31" spans="1:31" x14ac:dyDescent="0.25">
      <c r="A31">
        <v>2</v>
      </c>
      <c r="B31">
        <v>0.61509999999999998</v>
      </c>
      <c r="Q31">
        <v>13821</v>
      </c>
      <c r="R31">
        <v>13821</v>
      </c>
      <c r="S31">
        <v>13821</v>
      </c>
    </row>
    <row r="32" spans="1:31" x14ac:dyDescent="0.25">
      <c r="A32">
        <v>2</v>
      </c>
      <c r="B32">
        <v>0.61509999999999998</v>
      </c>
      <c r="Q32">
        <v>12786.401889999999</v>
      </c>
      <c r="R32">
        <v>12786.401889999999</v>
      </c>
      <c r="S32">
        <v>12184.239219999999</v>
      </c>
    </row>
    <row r="33" spans="1:19" x14ac:dyDescent="0.25">
      <c r="A33">
        <v>2</v>
      </c>
      <c r="B33">
        <v>0.61509999999999998</v>
      </c>
      <c r="Q33">
        <v>11164.4</v>
      </c>
      <c r="R33">
        <v>11164.4</v>
      </c>
      <c r="S33">
        <v>11164.4</v>
      </c>
    </row>
    <row r="34" spans="1:19" x14ac:dyDescent="0.25">
      <c r="A34">
        <v>2</v>
      </c>
      <c r="B34">
        <v>0.61509999999999998</v>
      </c>
      <c r="Q34">
        <v>13748.68144</v>
      </c>
      <c r="R34">
        <v>13748.68144</v>
      </c>
      <c r="S34">
        <v>11164.4</v>
      </c>
    </row>
    <row r="35" spans="1:19" x14ac:dyDescent="0.25">
      <c r="A35">
        <v>2</v>
      </c>
      <c r="B35">
        <v>0.61509999999999998</v>
      </c>
      <c r="Q35">
        <v>13821</v>
      </c>
      <c r="R35">
        <v>13821</v>
      </c>
      <c r="S35">
        <v>13211.45789</v>
      </c>
    </row>
    <row r="36" spans="1:19" x14ac:dyDescent="0.25">
      <c r="A36">
        <v>2</v>
      </c>
      <c r="B36">
        <v>0.61509999999999998</v>
      </c>
      <c r="Q36">
        <v>8640.6579999999994</v>
      </c>
      <c r="R36">
        <v>8640.6579999999994</v>
      </c>
      <c r="S36">
        <v>12135.529329999999</v>
      </c>
    </row>
    <row r="37" spans="1:19" x14ac:dyDescent="0.25">
      <c r="A37">
        <v>2</v>
      </c>
      <c r="B37">
        <v>0.61509999999999998</v>
      </c>
      <c r="Q37">
        <v>1908.324333</v>
      </c>
      <c r="R37">
        <v>1908.324333</v>
      </c>
      <c r="S37">
        <v>4809.9218890000002</v>
      </c>
    </row>
    <row r="38" spans="1:19" x14ac:dyDescent="0.25">
      <c r="A38">
        <v>3</v>
      </c>
      <c r="B38">
        <v>0.89359999999999995</v>
      </c>
      <c r="Q38">
        <v>0</v>
      </c>
      <c r="R38">
        <v>0</v>
      </c>
      <c r="S38">
        <v>0</v>
      </c>
    </row>
    <row r="39" spans="1:19" x14ac:dyDescent="0.25">
      <c r="A39">
        <v>3</v>
      </c>
      <c r="B39">
        <v>0.89359999999999995</v>
      </c>
      <c r="Q39">
        <v>0</v>
      </c>
      <c r="R39">
        <v>0</v>
      </c>
      <c r="S39">
        <v>0</v>
      </c>
    </row>
    <row r="40" spans="1:19" x14ac:dyDescent="0.25">
      <c r="A40">
        <v>3</v>
      </c>
      <c r="B40">
        <v>0.89359999999999995</v>
      </c>
      <c r="Q40">
        <v>0</v>
      </c>
      <c r="R40">
        <v>0</v>
      </c>
      <c r="S40">
        <v>0</v>
      </c>
    </row>
    <row r="41" spans="1:19" x14ac:dyDescent="0.25">
      <c r="A41">
        <v>3</v>
      </c>
      <c r="B41">
        <v>0.89359999999999995</v>
      </c>
      <c r="Q41">
        <v>0</v>
      </c>
      <c r="R41">
        <v>0</v>
      </c>
      <c r="S41">
        <v>0</v>
      </c>
    </row>
    <row r="42" spans="1:19" x14ac:dyDescent="0.25">
      <c r="A42">
        <v>2</v>
      </c>
      <c r="B42">
        <v>0.61509999999999998</v>
      </c>
      <c r="Q42">
        <v>13821</v>
      </c>
      <c r="R42">
        <v>13821</v>
      </c>
      <c r="S42">
        <v>12368.57589</v>
      </c>
    </row>
    <row r="43" spans="1:19" x14ac:dyDescent="0.25">
      <c r="A43">
        <v>2</v>
      </c>
      <c r="B43">
        <v>0.61509999999999998</v>
      </c>
      <c r="Q43">
        <v>11875.77844</v>
      </c>
      <c r="R43">
        <v>11875.77844</v>
      </c>
      <c r="S43">
        <v>13821</v>
      </c>
    </row>
    <row r="44" spans="1:19" x14ac:dyDescent="0.25">
      <c r="A44">
        <v>2</v>
      </c>
      <c r="B44">
        <v>0.61509999999999998</v>
      </c>
      <c r="Q44">
        <v>13339.86022</v>
      </c>
      <c r="R44">
        <v>13339.86022</v>
      </c>
      <c r="S44">
        <v>13821</v>
      </c>
    </row>
    <row r="45" spans="1:19" x14ac:dyDescent="0.25">
      <c r="A45">
        <v>2</v>
      </c>
      <c r="B45">
        <v>0.61509999999999998</v>
      </c>
      <c r="Q45">
        <v>13821</v>
      </c>
      <c r="R45">
        <v>13821</v>
      </c>
      <c r="S45">
        <v>13821</v>
      </c>
    </row>
    <row r="46" spans="1:19" x14ac:dyDescent="0.25">
      <c r="A46">
        <v>1</v>
      </c>
      <c r="B46">
        <v>0.39020000000000005</v>
      </c>
      <c r="Q46">
        <v>13821</v>
      </c>
      <c r="R46">
        <v>13821</v>
      </c>
      <c r="S46">
        <v>13821</v>
      </c>
    </row>
    <row r="47" spans="1:19" x14ac:dyDescent="0.25">
      <c r="A47">
        <v>1</v>
      </c>
      <c r="B47">
        <v>0.39020000000000005</v>
      </c>
      <c r="Q47">
        <v>12777.546560000001</v>
      </c>
      <c r="R47">
        <v>12777.546560000001</v>
      </c>
      <c r="S47">
        <v>13392.99222</v>
      </c>
    </row>
    <row r="48" spans="1:19" x14ac:dyDescent="0.25">
      <c r="A48">
        <v>1</v>
      </c>
      <c r="B48">
        <v>0.39020000000000005</v>
      </c>
      <c r="Q48">
        <v>11356.26556</v>
      </c>
      <c r="R48">
        <v>11356.26556</v>
      </c>
      <c r="S48">
        <v>11164.4</v>
      </c>
    </row>
    <row r="49" spans="1:19" x14ac:dyDescent="0.25">
      <c r="A49">
        <v>1</v>
      </c>
      <c r="B49">
        <v>0.39020000000000005</v>
      </c>
      <c r="Q49">
        <v>13821</v>
      </c>
      <c r="R49">
        <v>13821</v>
      </c>
      <c r="S49">
        <v>11164.4</v>
      </c>
    </row>
  </sheetData>
  <conditionalFormatting sqref="V19:X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{1768EB0A-0DCD-4D0C-B89A-943D12E2785D}</x14:id>
        </ext>
      </extLst>
    </cfRule>
  </conditionalFormatting>
  <conditionalFormatting sqref="AC22:AE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{331067A0-9DF2-42A7-9C71-6AC1C924D398}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8EB0A-0DCD-4D0C-B89A-943D12E2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V19:X19</xm:sqref>
        </x14:conditionalFormatting>
        <x14:conditionalFormatting xmlns:xm="http://schemas.microsoft.com/office/excel/2006/main">
          <x14:cfRule type="dataBar" id="{331067A0-9DF2-42A7-9C71-6AC1C924D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AC22:AE22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1" width="31.28515625" bestFit="1" customWidth="1"/>
    <col min="2" max="2" width="10.42578125" bestFit="1" customWidth="1"/>
  </cols>
  <sheetData>
    <row r="1" spans="1:4" x14ac:dyDescent="0.25">
      <c r="B1" s="19" t="s">
        <v>24</v>
      </c>
      <c r="C1" s="19"/>
      <c r="D1" s="19"/>
    </row>
    <row r="2" spans="1:4" x14ac:dyDescent="0.25">
      <c r="A2" s="6"/>
      <c r="B2" s="13" t="s">
        <v>7</v>
      </c>
      <c r="C2" s="13" t="s">
        <v>8</v>
      </c>
      <c r="D2" s="13" t="s">
        <v>29</v>
      </c>
    </row>
    <row r="3" spans="1:4" x14ac:dyDescent="0.25">
      <c r="A3" s="7" t="s">
        <v>36</v>
      </c>
      <c r="B3" s="12">
        <v>0</v>
      </c>
      <c r="C3" s="12">
        <v>0</v>
      </c>
      <c r="D3" s="12">
        <v>3</v>
      </c>
    </row>
    <row r="4" spans="1:4" x14ac:dyDescent="0.25">
      <c r="A4" s="7" t="s">
        <v>37</v>
      </c>
      <c r="B4" s="12">
        <v>2</v>
      </c>
      <c r="C4" s="12">
        <v>2</v>
      </c>
      <c r="D4" s="12">
        <v>3</v>
      </c>
    </row>
    <row r="5" spans="1:4" x14ac:dyDescent="0.25">
      <c r="A5" s="7" t="s">
        <v>38</v>
      </c>
      <c r="B5" s="12">
        <v>3</v>
      </c>
      <c r="C5" s="12">
        <v>3</v>
      </c>
      <c r="D5" s="12">
        <v>3</v>
      </c>
    </row>
    <row r="6" spans="1:4" x14ac:dyDescent="0.25">
      <c r="A6" s="7" t="s">
        <v>39</v>
      </c>
      <c r="B6" s="12">
        <v>0</v>
      </c>
      <c r="C6" s="12">
        <v>3</v>
      </c>
      <c r="D6" s="12">
        <v>3</v>
      </c>
    </row>
    <row r="7" spans="1:4" x14ac:dyDescent="0.25">
      <c r="A7" s="7" t="s">
        <v>26</v>
      </c>
      <c r="B7" s="12">
        <v>1</v>
      </c>
      <c r="C7" s="12">
        <v>2</v>
      </c>
      <c r="D7" s="12">
        <v>3</v>
      </c>
    </row>
    <row r="8" spans="1:4" x14ac:dyDescent="0.25">
      <c r="A8" s="7" t="s">
        <v>25</v>
      </c>
      <c r="B8" s="12">
        <v>0</v>
      </c>
      <c r="C8" s="12">
        <v>0</v>
      </c>
      <c r="D8" s="12">
        <v>3</v>
      </c>
    </row>
    <row r="9" spans="1:4" ht="15.75" thickBot="1" x14ac:dyDescent="0.3">
      <c r="A9" s="8"/>
      <c r="B9" s="9">
        <f>SUM(B3:B8)</f>
        <v>6</v>
      </c>
      <c r="C9" s="9">
        <f t="shared" ref="C9:D9" si="0">SUM(C3:C8)</f>
        <v>10</v>
      </c>
      <c r="D9" s="9">
        <f t="shared" si="0"/>
        <v>18</v>
      </c>
    </row>
    <row r="10" spans="1:4" ht="15.75" thickTop="1" x14ac:dyDescent="0.25"/>
    <row r="11" spans="1:4" x14ac:dyDescent="0.25">
      <c r="A11" s="8" t="s">
        <v>27</v>
      </c>
      <c r="B11" s="11">
        <f>COUNTA(A3:A8)*3</f>
        <v>18</v>
      </c>
    </row>
    <row r="15" spans="1:4" x14ac:dyDescent="0.25">
      <c r="A15" s="8" t="s">
        <v>28</v>
      </c>
      <c r="B15" s="14">
        <f>B9/$B$11</f>
        <v>0.33333333333333331</v>
      </c>
      <c r="C15" s="14">
        <f>C9/$B$11</f>
        <v>0.55555555555555558</v>
      </c>
      <c r="D15" s="14">
        <f>D9/$B$11</f>
        <v>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28515625" bestFit="1" customWidth="1"/>
    <col min="2" max="2" width="15.85546875" bestFit="1" customWidth="1"/>
    <col min="3" max="3" width="8.28515625" bestFit="1" customWidth="1"/>
  </cols>
  <sheetData>
    <row r="1" spans="1:6" x14ac:dyDescent="0.25">
      <c r="B1" s="4"/>
      <c r="C1" s="15" t="s">
        <v>20</v>
      </c>
      <c r="D1" s="15" t="s">
        <v>7</v>
      </c>
      <c r="E1" s="15" t="s">
        <v>8</v>
      </c>
      <c r="F1" s="15" t="s">
        <v>9</v>
      </c>
    </row>
    <row r="2" spans="1:6" x14ac:dyDescent="0.25">
      <c r="B2" t="s">
        <v>30</v>
      </c>
      <c r="C2">
        <v>6</v>
      </c>
      <c r="D2">
        <f>'Simulation score'!AC22</f>
        <v>0.55069276476109141</v>
      </c>
      <c r="E2">
        <f>'Simulation score'!AD22</f>
        <v>0.55069276476109141</v>
      </c>
      <c r="F2">
        <f>'Simulation score'!AE22</f>
        <v>0.95022912748644417</v>
      </c>
    </row>
    <row r="3" spans="1:6" x14ac:dyDescent="0.25">
      <c r="B3" s="4" t="s">
        <v>31</v>
      </c>
      <c r="C3" s="4">
        <v>3</v>
      </c>
      <c r="D3" s="4">
        <f>'Feature score'!B15</f>
        <v>0.33333333333333331</v>
      </c>
      <c r="E3" s="4">
        <f>'Feature score'!C15</f>
        <v>0.55555555555555558</v>
      </c>
      <c r="F3" s="4">
        <f>'Feature score'!D15</f>
        <v>1</v>
      </c>
    </row>
    <row r="4" spans="1:6" x14ac:dyDescent="0.25">
      <c r="B4" s="18" t="s">
        <v>32</v>
      </c>
      <c r="C4" s="18"/>
      <c r="D4" s="18">
        <f>($C$2*D2+$C$3*D3)/SUM($C$2:$C$3)</f>
        <v>0.4782396209518387</v>
      </c>
      <c r="E4" s="18">
        <f>($C$2*E2+$C$3*E3)/SUM($C$2:$C$3)</f>
        <v>0.55231369502591277</v>
      </c>
      <c r="F4" s="18">
        <f>($C$2*F2+$C$3*F3)/SUM($C$2:$C$3)</f>
        <v>0.96681941832429608</v>
      </c>
    </row>
    <row r="5" spans="1:6" x14ac:dyDescent="0.25">
      <c r="A5" t="s">
        <v>35</v>
      </c>
      <c r="B5" t="s">
        <v>30</v>
      </c>
      <c r="D5">
        <f t="shared" ref="D5:F6" si="0">$C2/SUM($C$2:$C$3)*D2*100</f>
        <v>36.712850984072759</v>
      </c>
      <c r="E5">
        <f t="shared" si="0"/>
        <v>36.712850984072759</v>
      </c>
      <c r="F5">
        <f t="shared" si="0"/>
        <v>63.348608499096272</v>
      </c>
    </row>
    <row r="6" spans="1:6" x14ac:dyDescent="0.25">
      <c r="B6" s="4" t="s">
        <v>31</v>
      </c>
      <c r="C6" s="4"/>
      <c r="D6" s="4">
        <f t="shared" si="0"/>
        <v>11.111111111111111</v>
      </c>
      <c r="E6" s="4">
        <f t="shared" si="0"/>
        <v>18.518518518518519</v>
      </c>
      <c r="F6" s="4">
        <f t="shared" si="0"/>
        <v>33.333333333333329</v>
      </c>
    </row>
    <row r="7" spans="1:6" x14ac:dyDescent="0.25">
      <c r="B7" s="15" t="s">
        <v>33</v>
      </c>
      <c r="C7" s="15"/>
      <c r="D7" s="16">
        <f>D4*100</f>
        <v>47.823962095183873</v>
      </c>
      <c r="E7" s="16">
        <f>E4*100</f>
        <v>55.231369502591278</v>
      </c>
      <c r="F7" s="16">
        <f>F4*100</f>
        <v>96.681941832429601</v>
      </c>
    </row>
  </sheetData>
  <conditionalFormatting sqref="D7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{37CE4B09-043F-4D16-97E1-C7B6CF8F2A53}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E4B09-043F-4D16-97E1-C7B6CF8F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score</vt:lpstr>
      <vt:lpstr>Feature score</vt:lpstr>
      <vt:lpstr>Total score</vt:lpstr>
    </vt:vector>
  </TitlesOfParts>
  <Company>Enermanage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Taljaard</dc:creator>
  <cp:lastModifiedBy>Stéphan Taljaard</cp:lastModifiedBy>
  <dcterms:created xsi:type="dcterms:W3CDTF">2017-08-30T16:35:59Z</dcterms:created>
  <dcterms:modified xsi:type="dcterms:W3CDTF">2017-10-12T21:19:04Z</dcterms:modified>
</cp:coreProperties>
</file>