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1"/>
  <workbookPr codeName="ThisWorkbook"/>
  <mc:AlternateContent xmlns:mc="http://schemas.openxmlformats.org/markup-compatibility/2006">
    <mc:Choice Requires="x15">
      <x15ac:absPath xmlns:x15ac="http://schemas.microsoft.com/office/spreadsheetml/2010/11/ac" url="https://uvmx-my.sharepoint.com/personal/zs21013909_estudiantes_uv_mx/Documents/"/>
    </mc:Choice>
  </mc:AlternateContent>
  <xr:revisionPtr revIDLastSave="0" documentId="8_{AA1CB649-DBE2-4F60-ACF5-2CD1A255DD59}" xr6:coauthVersionLast="47" xr6:coauthVersionMax="47" xr10:uidLastSave="{00000000-0000-0000-0000-000000000000}"/>
  <bookViews>
    <workbookView xWindow="-108" yWindow="-108" windowWidth="23256" windowHeight="12456" tabRatio="752" firstSheet="3" xr2:uid="{00000000-000D-0000-FFFF-FFFF00000000}"/>
  </bookViews>
  <sheets>
    <sheet name="Inf.Gral" sheetId="38" r:id="rId1"/>
    <sheet name="Instrucciones" sheetId="36" r:id="rId2"/>
    <sheet name="Factor de complejidad Téc y Amb" sheetId="37" r:id="rId3"/>
    <sheet name="Estimación de Tamaño UCP" sheetId="35" r:id="rId4"/>
    <sheet name="Estimación de Esfuerzo" sheetId="26" r:id="rId5"/>
    <sheet name="Recursos" sheetId="40" r:id="rId6"/>
  </sheets>
  <externalReferences>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35" l="1"/>
  <c r="B19" i="35"/>
  <c r="B20" i="35"/>
  <c r="B21" i="35"/>
  <c r="B22" i="35"/>
  <c r="B23" i="35"/>
  <c r="B24" i="35"/>
  <c r="B25" i="35"/>
  <c r="B26" i="35"/>
  <c r="B27" i="35"/>
  <c r="B28" i="35"/>
  <c r="B29" i="35"/>
  <c r="B30" i="35"/>
  <c r="B31" i="35"/>
  <c r="B17" i="35"/>
  <c r="F31" i="35"/>
  <c r="G31" i="35" s="1"/>
  <c r="D10" i="40"/>
  <c r="D4" i="40"/>
  <c r="D5" i="40"/>
  <c r="D6" i="40"/>
  <c r="D7" i="40"/>
  <c r="D8" i="40"/>
  <c r="D9" i="40"/>
  <c r="D3" i="40"/>
  <c r="F15" i="35" l="1"/>
  <c r="G15" i="35" s="1"/>
  <c r="F16" i="35"/>
  <c r="G16" i="35" s="1"/>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30" i="35"/>
  <c r="G30" i="35" s="1"/>
  <c r="F14" i="35" l="1"/>
  <c r="F11" i="35"/>
  <c r="F12" i="35"/>
  <c r="F13" i="35"/>
  <c r="F10" i="35"/>
  <c r="F7" i="35"/>
  <c r="F8" i="35"/>
  <c r="F9" i="35"/>
  <c r="F6" i="35"/>
  <c r="F5" i="35"/>
  <c r="D4" i="26" l="1"/>
  <c r="C20" i="40" l="1"/>
  <c r="E22" i="40" s="1"/>
  <c r="E3" i="40" s="1"/>
  <c r="G9" i="35"/>
  <c r="G10" i="35"/>
  <c r="G11" i="35"/>
  <c r="G12" i="35"/>
  <c r="G13" i="35"/>
  <c r="G5" i="35"/>
  <c r="G6" i="35"/>
  <c r="G7" i="35"/>
  <c r="F14" i="37"/>
  <c r="F16" i="37"/>
  <c r="F30" i="37"/>
  <c r="F31" i="37"/>
  <c r="F32" i="37"/>
  <c r="F33" i="37"/>
  <c r="F34" i="37"/>
  <c r="F35" i="37"/>
  <c r="F36" i="37"/>
  <c r="F37" i="37"/>
  <c r="F11" i="37"/>
  <c r="F12" i="37"/>
  <c r="F13" i="37"/>
  <c r="F15" i="37"/>
  <c r="F17" i="37"/>
  <c r="F18" i="37"/>
  <c r="F19" i="37"/>
  <c r="F20" i="37"/>
  <c r="F21" i="37"/>
  <c r="F22" i="37"/>
  <c r="F23" i="37"/>
  <c r="G14" i="35"/>
  <c r="G8" i="35"/>
  <c r="H41" i="26" l="1"/>
  <c r="H19" i="26"/>
  <c r="H20" i="26"/>
  <c r="H42" i="26"/>
  <c r="F38" i="37"/>
  <c r="H28" i="37"/>
  <c r="H9" i="37"/>
  <c r="F24" i="37"/>
  <c r="E9" i="40"/>
  <c r="E10" i="40"/>
  <c r="E8" i="40"/>
  <c r="H45" i="26" s="1"/>
  <c r="E7" i="40"/>
  <c r="E4" i="40"/>
  <c r="E6" i="40"/>
  <c r="E5" i="40"/>
  <c r="G3" i="35" l="1"/>
  <c r="H14" i="26"/>
  <c r="H12" i="26"/>
  <c r="H28" i="26"/>
  <c r="H13" i="26"/>
  <c r="H11" i="26"/>
  <c r="H16" i="26"/>
  <c r="H30" i="26"/>
  <c r="H33" i="26"/>
  <c r="H36" i="26"/>
  <c r="H31" i="26"/>
  <c r="H34" i="26"/>
  <c r="H32" i="26"/>
  <c r="H35" i="26"/>
  <c r="H26" i="26"/>
  <c r="H40" i="26"/>
  <c r="H39" i="26"/>
  <c r="H38" i="26"/>
  <c r="H10" i="26"/>
  <c r="H46" i="26"/>
  <c r="H29" i="26"/>
  <c r="H21" i="26"/>
  <c r="H47" i="26"/>
  <c r="H17" i="26"/>
  <c r="H22" i="26"/>
  <c r="H44" i="26"/>
  <c r="H18" i="26"/>
  <c r="H23" i="26"/>
  <c r="H25" i="26"/>
  <c r="H24" i="26"/>
  <c r="D5" i="26" l="1"/>
  <c r="E31" i="26" s="1"/>
  <c r="E27" i="26" l="1"/>
  <c r="E43" i="26" l="1"/>
  <c r="E45" i="26" s="1"/>
  <c r="I45" i="26" s="1"/>
  <c r="E37" i="26"/>
  <c r="E39" i="26" s="1"/>
  <c r="I39" i="26" s="1"/>
  <c r="I31" i="26"/>
  <c r="E9" i="26"/>
  <c r="E10" i="26" s="1"/>
  <c r="E15" i="26"/>
  <c r="E35" i="26"/>
  <c r="I35" i="26" s="1"/>
  <c r="E36" i="26"/>
  <c r="I36" i="26" s="1"/>
  <c r="E32" i="26"/>
  <c r="I32" i="26" s="1"/>
  <c r="E33" i="26"/>
  <c r="I33" i="26" s="1"/>
  <c r="E29" i="26"/>
  <c r="I29" i="26" s="1"/>
  <c r="E30" i="26"/>
  <c r="I30" i="26" s="1"/>
  <c r="E34" i="26"/>
  <c r="I34" i="26" s="1"/>
  <c r="E28" i="26"/>
  <c r="I28" i="26" s="1"/>
  <c r="E14" i="26" l="1"/>
  <c r="I14" i="26" s="1"/>
  <c r="E11" i="26"/>
  <c r="I11" i="26" s="1"/>
  <c r="E13" i="26"/>
  <c r="I13" i="26" s="1"/>
  <c r="I27" i="26"/>
  <c r="E7" i="26"/>
  <c r="F3" i="26" s="1"/>
  <c r="F4" i="26" s="1"/>
  <c r="E44" i="26"/>
  <c r="I44" i="26" s="1"/>
  <c r="E40" i="26"/>
  <c r="I40" i="26" s="1"/>
  <c r="E41" i="26"/>
  <c r="I41" i="26" s="1"/>
  <c r="E42" i="26"/>
  <c r="I42" i="26" s="1"/>
  <c r="E38" i="26"/>
  <c r="I38" i="26" s="1"/>
  <c r="E12" i="26"/>
  <c r="I12" i="26" s="1"/>
  <c r="E46" i="26"/>
  <c r="I46" i="26" s="1"/>
  <c r="E26" i="26"/>
  <c r="I26" i="26" s="1"/>
  <c r="E47" i="26"/>
  <c r="I47" i="26" s="1"/>
  <c r="E25" i="26"/>
  <c r="I25" i="26" s="1"/>
  <c r="E23" i="26"/>
  <c r="I23" i="26" s="1"/>
  <c r="E24" i="26"/>
  <c r="I24" i="26" s="1"/>
  <c r="E18" i="26"/>
  <c r="I18" i="26" s="1"/>
  <c r="E19" i="26"/>
  <c r="I19" i="26" s="1"/>
  <c r="E20" i="26"/>
  <c r="I20" i="26" s="1"/>
  <c r="E21" i="26"/>
  <c r="I21" i="26" s="1"/>
  <c r="E22" i="26"/>
  <c r="I22" i="26" s="1"/>
  <c r="E17" i="26"/>
  <c r="I17" i="26" s="1"/>
  <c r="E16" i="26"/>
  <c r="I16" i="26" s="1"/>
  <c r="I15" i="26" l="1"/>
  <c r="I43" i="26"/>
  <c r="I37" i="26"/>
  <c r="F5" i="26"/>
  <c r="I10" i="26"/>
  <c r="I9" i="26" s="1"/>
  <c r="I48" i="26" l="1"/>
  <c r="I49" i="26" l="1"/>
  <c r="I50" i="26" l="1"/>
  <c r="I5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 Acosta</author>
  </authors>
  <commentList>
    <comment ref="E8" authorId="0" shapeId="0" xr:uid="{00000000-0006-0000-0400-00000100000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List>
</comments>
</file>

<file path=xl/sharedStrings.xml><?xml version="1.0" encoding="utf-8"?>
<sst xmlns="http://schemas.openxmlformats.org/spreadsheetml/2006/main" count="372" uniqueCount="225">
  <si>
    <t>Estimaciones del Proyecto</t>
  </si>
  <si>
    <t>Cliente</t>
  </si>
  <si>
    <t>Mario Alberto Hernández Pérez</t>
  </si>
  <si>
    <t>Proyecto</t>
  </si>
  <si>
    <t>Sistema Administrador de Pizzeria</t>
  </si>
  <si>
    <t>HISTORIAL DE REVISIONES</t>
  </si>
  <si>
    <t>Fecha</t>
  </si>
  <si>
    <t>Versión</t>
  </si>
  <si>
    <t>Descripción</t>
  </si>
  <si>
    <t>Autor</t>
  </si>
  <si>
    <t xml:space="preserve">MÉTODO DE ESTIMACIÓN: </t>
  </si>
  <si>
    <t>PUNTOS DE CASO DE USO</t>
  </si>
  <si>
    <t>Descripción de las categorías de los Casos de Uso</t>
  </si>
  <si>
    <t>Para el Análisis de los casos de uso y su categoría se debe tomar en cuenta si alguno de los puntos de la descripción aplica para ellos</t>
  </si>
  <si>
    <t>Categoría de CU</t>
  </si>
  <si>
    <t>Simple</t>
  </si>
  <si>
    <t>* Interfaz de usuario simple. 
* Toca únicamente una entidad de base de datos. 
* Se escenario de éxito consiste de 3 pasos o menos. 
* Su implementación involucra menos de 5 clases. 
* Interacción con Interfaces baja</t>
  </si>
  <si>
    <t>Promedio</t>
  </si>
  <si>
    <t>* Diseño de interfaz promedio. 
* Toca 2 o mas entidades de bases de datos. 
* Se necesitan de 4 a 7 pasos o transacciones. 
* Su implementación involucra entre 5 y 10 clases. 
* Interacción con Interfaces adicionales media</t>
  </si>
  <si>
    <t>Complejo</t>
  </si>
  <si>
    <t>* Interfaz de usuario compleja. 
* Toca 3 o mas entidades de bases de datos. 
* Toma mas de 7 pasos o transacciones en el caso de uso. 
* Su implementación involucra mas de 10 clases. 
* Interacción con Interfaces adicionales alta</t>
  </si>
  <si>
    <t>Factor de Complejidad Técnica FCT (Technical Complexity Factor)</t>
  </si>
  <si>
    <t>Existen 13 factores técnicos estándar para estimar el impacto en la productividad de diversas cuestiones técnicas que tienen en una aplicación</t>
  </si>
  <si>
    <t xml:space="preserve"> </t>
  </si>
  <si>
    <t>Factor Técnico</t>
  </si>
  <si>
    <t>T1</t>
  </si>
  <si>
    <t>Sistema Distribuido</t>
  </si>
  <si>
    <t>T2</t>
  </si>
  <si>
    <t>Objetivos de performance o tiempo de respuesta</t>
  </si>
  <si>
    <t>T3</t>
  </si>
  <si>
    <t>Eficiencia del usuario final</t>
  </si>
  <si>
    <t>T4</t>
  </si>
  <si>
    <t>Procesamiento interno complejo</t>
  </si>
  <si>
    <t>T5</t>
  </si>
  <si>
    <t>El código debe ser reutilizable</t>
  </si>
  <si>
    <t>T6</t>
  </si>
  <si>
    <t>Facilidad de Instalación</t>
  </si>
  <si>
    <t>T7</t>
  </si>
  <si>
    <t>Facilidad de uso</t>
  </si>
  <si>
    <t>T8</t>
  </si>
  <si>
    <t>Portabilidad</t>
  </si>
  <si>
    <t>T9</t>
  </si>
  <si>
    <t>Facilidad de cambio</t>
  </si>
  <si>
    <t>T10</t>
  </si>
  <si>
    <t>Concurrencia</t>
  </si>
  <si>
    <t>T11</t>
  </si>
  <si>
    <t>Incluye objetivos especiales de seguridad</t>
  </si>
  <si>
    <t>T12</t>
  </si>
  <si>
    <t>Provee acceso directo a terceras partes</t>
  </si>
  <si>
    <t>T13</t>
  </si>
  <si>
    <t>Se requieren facilidades especiales de entrenamiento a usuarios</t>
  </si>
  <si>
    <t>Factor de Complejidad Ambiental FCA (Environmental Complexity Factor)</t>
  </si>
  <si>
    <t>Existen 8 factores técnicos estándar para estimar el impacto en la productividad de diversas cuestiones ambientales que tienen en una aplicación</t>
  </si>
  <si>
    <t>Factor 
Técnico</t>
  </si>
  <si>
    <t>E1</t>
  </si>
  <si>
    <t>Familiaridad con el modelo y/o proceso utilizado</t>
  </si>
  <si>
    <t>E2</t>
  </si>
  <si>
    <t>Experiencia en la aplicación</t>
  </si>
  <si>
    <t>E3</t>
  </si>
  <si>
    <t>Experiencia en orientación a objetos</t>
  </si>
  <si>
    <t>E4</t>
  </si>
  <si>
    <t>Capacidad de analista líder</t>
  </si>
  <si>
    <t>E5</t>
  </si>
  <si>
    <t>Motivación</t>
  </si>
  <si>
    <t>E6</t>
  </si>
  <si>
    <t>Estabilidad de los requerimientos</t>
  </si>
  <si>
    <t>E7</t>
  </si>
  <si>
    <t>Persona de medio-tiempo</t>
  </si>
  <si>
    <t>E8</t>
  </si>
  <si>
    <t>Dificultad del lenguaje de programación</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</si>
  <si>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</si>
  <si>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</si>
  <si>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Factor de Complejidad Técnico (TCF)</t>
  </si>
  <si>
    <t>Factor Técnico Total:</t>
  </si>
  <si>
    <t>Complejidad</t>
  </si>
  <si>
    <t>Valor</t>
  </si>
  <si>
    <t>Factor 
Calculado</t>
  </si>
  <si>
    <t>Comentarios</t>
  </si>
  <si>
    <t>Arquitectura de 3 Capas</t>
  </si>
  <si>
    <t>Performance Estándar en el Server</t>
  </si>
  <si>
    <t>Alta Eficiencia para el Usuario final</t>
  </si>
  <si>
    <t>Procesamiento Complejo promedio</t>
  </si>
  <si>
    <t>Código Altamente reusable</t>
  </si>
  <si>
    <t>Instalación normal</t>
  </si>
  <si>
    <t>Muy fácil de usar</t>
  </si>
  <si>
    <t>Portabilidad promedio</t>
  </si>
  <si>
    <t>Facilidad de cambio promedio</t>
  </si>
  <si>
    <t>Concurrencia baja</t>
  </si>
  <si>
    <t>Seguridad moderada</t>
  </si>
  <si>
    <t>Acceso directo a SCC</t>
  </si>
  <si>
    <t>Entrenamiento por capacitación normal</t>
  </si>
  <si>
    <t>Factor Técnico Calculado</t>
  </si>
  <si>
    <t>Factor de Complejidad Ambiental (ECF)</t>
  </si>
  <si>
    <t>Factor Ambiental Total:</t>
  </si>
  <si>
    <t>Factor 
Ambiental</t>
  </si>
  <si>
    <t>Factor Ambiental Calculado</t>
  </si>
  <si>
    <t>Factor de Productividad</t>
  </si>
  <si>
    <t>Duración estimada en semanas a partir del KickOff</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</si>
  <si>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</si>
  <si>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</si>
  <si>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t>Factor de Productividad en hrs/cup</t>
  </si>
  <si>
    <t>Duración en Semanas</t>
  </si>
  <si>
    <t>ESTIMACION DE TAMAÑO</t>
  </si>
  <si>
    <t>Total UCP:</t>
  </si>
  <si>
    <t>Nº</t>
  </si>
  <si>
    <t>Nombre del Caso de Uso</t>
  </si>
  <si>
    <t>Categoria</t>
  </si>
  <si>
    <t>Reuso</t>
  </si>
  <si>
    <t>Peso</t>
  </si>
  <si>
    <t>Peso Ajustado</t>
  </si>
  <si>
    <t>CU1 - Consultar Usuarios</t>
  </si>
  <si>
    <t>No</t>
  </si>
  <si>
    <t>CU2 - Registrar Usuario</t>
  </si>
  <si>
    <t>CU3 - Modificar Usuario</t>
  </si>
  <si>
    <t>CU4 - Desactivar Usuario</t>
  </si>
  <si>
    <t>CU5 - Consultar Articulo</t>
  </si>
  <si>
    <t>CU6 - Registrar Articulo</t>
  </si>
  <si>
    <t>CU7 - Modificar Articulo</t>
  </si>
  <si>
    <t>CU8 - Desactivar Articulo</t>
  </si>
  <si>
    <t>CU9 - Generar Reporte de Inventario</t>
  </si>
  <si>
    <t xml:space="preserve">CU10 - Realizar Justificación de Inventario </t>
  </si>
  <si>
    <t>CU11 - Consultar Pedidos de cliente</t>
  </si>
  <si>
    <t>CU12 - Agregar Pedido de cliente</t>
  </si>
  <si>
    <t>CU13 - Modificar Datos de Pedido del cliente</t>
  </si>
  <si>
    <t>CU14 - Cambiar Estado de Pedido del cliente</t>
  </si>
  <si>
    <t xml:space="preserve">CU15 - Consultar Recetas de Platillos </t>
  </si>
  <si>
    <t>CU16 - Agregar Recetas de Platillos</t>
  </si>
  <si>
    <t>CU17 - Modificar Recetas de Platillos</t>
  </si>
  <si>
    <t>CU18 - Desactivar Recetas de Platillos</t>
  </si>
  <si>
    <t>CU19 - Registrar pago de pedido del cliente</t>
  </si>
  <si>
    <t>CU20 - Agregar Salidas de Dinero</t>
  </si>
  <si>
    <t>CU21 - Realizar Balance Diario</t>
  </si>
  <si>
    <t>CU22 - Realizar Justificación de Balance Diario Incorrecto</t>
  </si>
  <si>
    <t>CU23 - Consultar Proveedores</t>
  </si>
  <si>
    <t>CU24 - Agregar Proveedores</t>
  </si>
  <si>
    <t>CU25 - Modificar Detalles de Proveedores</t>
  </si>
  <si>
    <t>CU26 - Desactivar Proveedores</t>
  </si>
  <si>
    <t xml:space="preserve">   CU27 - Agregar Pedidos de Insumos a Proveedores</t>
  </si>
  <si>
    <t>Horas laborales por día</t>
  </si>
  <si>
    <t>Duración estimada</t>
  </si>
  <si>
    <t>Días laborales a la semana</t>
  </si>
  <si>
    <t>Días</t>
  </si>
  <si>
    <t>Factor de Productividad:</t>
  </si>
  <si>
    <t>Semanas</t>
  </si>
  <si>
    <t>Use Case Points:</t>
  </si>
  <si>
    <t>Meses</t>
  </si>
  <si>
    <t>ESTIMACIÓN DE ESFUERZO</t>
  </si>
  <si>
    <t>Horas</t>
  </si>
  <si>
    <t>Ciclo de Vida del Proyecto</t>
  </si>
  <si>
    <t>%</t>
  </si>
  <si>
    <t>Esfuerzo en Horas</t>
  </si>
  <si>
    <t>Cantidad de recursos</t>
  </si>
  <si>
    <t>Tipo de Recurso</t>
  </si>
  <si>
    <t>Costo</t>
  </si>
  <si>
    <t>Inicial</t>
  </si>
  <si>
    <t>Costo Fase Inicial</t>
  </si>
  <si>
    <t>Elaborar Perfil de proyecto</t>
  </si>
  <si>
    <t>Vendedor</t>
  </si>
  <si>
    <t>Realizar Levantamiento de inicial de requerimientos</t>
  </si>
  <si>
    <t>Analista de Requerimientos</t>
  </si>
  <si>
    <t>Realizar análisis de factibilidad o estudio de mercado</t>
  </si>
  <si>
    <t>Generar Propuesta del Proyecto</t>
  </si>
  <si>
    <t>Generar Contrato del Proyecto</t>
  </si>
  <si>
    <t>Líder de proyecto</t>
  </si>
  <si>
    <t>Planeación</t>
  </si>
  <si>
    <t>Costo Fase Planeación</t>
  </si>
  <si>
    <t>Generar EDT</t>
  </si>
  <si>
    <t>Generar Cronograma</t>
  </si>
  <si>
    <t>Generar Tabla de precedencias y responsabilidades</t>
  </si>
  <si>
    <t>Asignar Recursos</t>
  </si>
  <si>
    <t>Identificar Riesgos</t>
  </si>
  <si>
    <t>Generar plan de riesgos</t>
  </si>
  <si>
    <t>Realizar Especificación de Requerimientos</t>
  </si>
  <si>
    <t>Generar Plan de Proyecto</t>
  </si>
  <si>
    <t>Validar Plan de Proyecto</t>
  </si>
  <si>
    <t>Realizar Presentación de Kick Off</t>
  </si>
  <si>
    <t>Asistir Presentación de Kick Off</t>
  </si>
  <si>
    <t>Desarrollador</t>
  </si>
  <si>
    <t>Ejecución</t>
  </si>
  <si>
    <t>Costo Fase Ejecución</t>
  </si>
  <si>
    <t>Generar Artefactos de Ingeniería</t>
  </si>
  <si>
    <t>Generar Casos de Prueba</t>
  </si>
  <si>
    <t>Tester</t>
  </si>
  <si>
    <t>Asignar Tareas</t>
  </si>
  <si>
    <t>Desarrollar Software</t>
  </si>
  <si>
    <t>Realizar Pruebas Unitarias</t>
  </si>
  <si>
    <t>Integrar Software</t>
  </si>
  <si>
    <t>Realizar Pruebas Integrales</t>
  </si>
  <si>
    <t>Realizar Pruebas de Sistema</t>
  </si>
  <si>
    <t>Generar Despliegue de Sistema</t>
  </si>
  <si>
    <t>Cierre</t>
  </si>
  <si>
    <t>Costo Fase Cierre</t>
  </si>
  <si>
    <t>Generar Documento de Aceptación</t>
  </si>
  <si>
    <t>Generar Manuales de usuario</t>
  </si>
  <si>
    <t>Dar capacitación del sistema</t>
  </si>
  <si>
    <t>Realizar entrega formal del proyecto</t>
  </si>
  <si>
    <t>Soporte post-producción</t>
  </si>
  <si>
    <t>Control</t>
  </si>
  <si>
    <t>Costo Fase Control</t>
  </si>
  <si>
    <t xml:space="preserve">Administración de la Configuración (CM) </t>
  </si>
  <si>
    <t>Responsable de configuración</t>
  </si>
  <si>
    <t>Aseguramiento de la Calidad</t>
  </si>
  <si>
    <t>Responsable de calidad</t>
  </si>
  <si>
    <t>Recolección de métricas del proyecto</t>
  </si>
  <si>
    <t>Responsable de medición</t>
  </si>
  <si>
    <t>Control de cambios</t>
  </si>
  <si>
    <t>Costo Total del desarrollo del  Proyecto</t>
  </si>
  <si>
    <t>GANANCIA</t>
  </si>
  <si>
    <t>IVA</t>
  </si>
  <si>
    <t>PRECIO TOTAL</t>
  </si>
  <si>
    <t>RECURSOS HUMANOS</t>
  </si>
  <si>
    <t>Suelgo Mensual integrado</t>
  </si>
  <si>
    <t>Salario por hora</t>
  </si>
  <si>
    <t>Salario por hora integrada</t>
  </si>
  <si>
    <t>Gastos Fijos Mensuales</t>
  </si>
  <si>
    <t>Internet -Telefono</t>
  </si>
  <si>
    <t>Papelería</t>
  </si>
  <si>
    <t>Limpieza y Jardinería</t>
  </si>
  <si>
    <t>Renta</t>
  </si>
  <si>
    <t>Luz</t>
  </si>
  <si>
    <t>Agua</t>
  </si>
  <si>
    <t>Articulos de limpieza y despensa</t>
  </si>
  <si>
    <t>GASTO MENSUAL</t>
  </si>
  <si>
    <t>NÚMERO DE EMPLEADOS</t>
  </si>
  <si>
    <t>COSTO POR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</si>
</sst>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0.0"/>
    <numFmt numFmtId="166" formatCode="&quot;$&quot;#,##0.00"/>
  </numFmts>
  <fonts count="5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sz val="8"/>
      <name val="Calibri"/>
      <family val="2"/>
      <scheme val="minor"/>
    </font>
    <font>
      <b/>
      <sz val="12"/>
      <name val="Calibri"/>
      <family val="2"/>
      <scheme val="minor"/>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16"/>
      <color indexed="9"/>
      <name val="Calibri"/>
      <family val="2"/>
      <scheme val="minor"/>
    </font>
    <font>
      <b/>
      <sz val="22"/>
      <color theme="0"/>
      <name val="Calibri"/>
      <family val="2"/>
      <scheme val="minor"/>
    </font>
    <font>
      <b/>
      <sz val="22"/>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sz val="12"/>
      <color theme="1"/>
      <name val="Calibri"/>
      <family val="2"/>
      <scheme val="minor"/>
    </font>
    <font>
      <sz val="20"/>
      <color theme="1"/>
      <name val="Calibri"/>
      <family val="2"/>
      <scheme val="minor"/>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0"/>
      <name val="Calibri"/>
      <family val="2"/>
      <scheme val="minor"/>
    </font>
    <font>
      <sz val="10"/>
      <name val="Arial"/>
      <family val="2"/>
    </font>
    <font>
      <sz val="11"/>
      <color rgb="FFFF0000"/>
      <name val="Calibri"/>
      <family val="2"/>
      <scheme val="minor"/>
    </font>
    <font>
      <b/>
      <sz val="12"/>
      <color rgb="FFFF0000"/>
      <name val="Calibri"/>
      <family val="2"/>
      <scheme val="minor"/>
    </font>
    <font>
      <sz val="9"/>
      <name val="Calibri"/>
      <family val="2"/>
      <scheme val="minor"/>
    </font>
    <font>
      <sz val="10"/>
      <name val="Arial"/>
    </font>
    <font>
      <b/>
      <sz val="14"/>
      <name val="Arial"/>
      <family val="2"/>
    </font>
    <font>
      <sz val="14"/>
      <name val="Calibri"/>
      <family val="2"/>
      <scheme val="minor"/>
    </font>
    <font>
      <b/>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9" fontId="43" fillId="0" borderId="0" applyFont="0" applyFill="0" applyBorder="0" applyAlignment="0" applyProtection="0"/>
    <xf numFmtId="164" fontId="47" fillId="0" borderId="0" applyFont="0" applyFill="0" applyBorder="0" applyAlignment="0" applyProtection="0"/>
  </cellStyleXfs>
  <cellXfs count="221">
    <xf numFmtId="0" fontId="0" fillId="0" borderId="0" xfId="0"/>
    <xf numFmtId="0" fontId="7" fillId="0" borderId="0" xfId="0" applyFont="1"/>
    <xf numFmtId="0" fontId="7" fillId="0" borderId="0" xfId="0" applyFont="1" applyAlignment="1">
      <alignment horizontal="left"/>
    </xf>
    <xf numFmtId="0" fontId="7" fillId="0" borderId="0" xfId="0" applyFont="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14" fontId="9" fillId="0" borderId="16" xfId="0" applyNumberFormat="1" applyFont="1" applyBorder="1" applyAlignment="1">
      <alignment horizontal="center"/>
    </xf>
    <xf numFmtId="0" fontId="9" fillId="0" borderId="16" xfId="0" applyFont="1" applyBorder="1" applyAlignment="1">
      <alignment horizontal="center"/>
    </xf>
    <xf numFmtId="0" fontId="9" fillId="0" borderId="16" xfId="0" applyFont="1" applyBorder="1" applyAlignment="1">
      <alignment horizontal="left"/>
    </xf>
    <xf numFmtId="4" fontId="9" fillId="0" borderId="16"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10" fillId="0" borderId="3" xfId="0" applyFont="1" applyBorder="1"/>
    <xf numFmtId="0" fontId="10" fillId="0" borderId="5" xfId="0" applyFont="1" applyBorder="1" applyAlignment="1">
      <alignment horizontal="center"/>
    </xf>
    <xf numFmtId="0" fontId="10" fillId="0" borderId="7" xfId="0" applyFont="1" applyBorder="1" applyAlignment="1">
      <alignment horizontal="center"/>
    </xf>
    <xf numFmtId="0" fontId="10" fillId="0" borderId="8" xfId="0" applyFont="1" applyBorder="1"/>
    <xf numFmtId="0" fontId="10" fillId="0" borderId="6" xfId="0" applyFont="1" applyBorder="1"/>
    <xf numFmtId="0" fontId="14" fillId="0" borderId="0" xfId="0" applyFont="1"/>
    <xf numFmtId="0" fontId="10" fillId="0" borderId="1" xfId="0" applyFont="1" applyBorder="1" applyAlignment="1">
      <alignment horizontal="left" indent="1"/>
    </xf>
    <xf numFmtId="0" fontId="11" fillId="0" borderId="1" xfId="0" applyFont="1" applyBorder="1" applyAlignment="1">
      <alignment horizontal="center"/>
    </xf>
    <xf numFmtId="165" fontId="10" fillId="0" borderId="1" xfId="0" applyNumberFormat="1" applyFont="1" applyBorder="1" applyAlignment="1">
      <alignment horizontal="center"/>
    </xf>
    <xf numFmtId="0" fontId="12" fillId="0" borderId="0" xfId="0" applyFont="1" applyAlignment="1">
      <alignment horizontal="left"/>
    </xf>
    <xf numFmtId="0" fontId="13" fillId="0" borderId="0" xfId="0" applyFont="1" applyAlignment="1">
      <alignment horizontal="center" vertical="center" wrapText="1"/>
    </xf>
    <xf numFmtId="0" fontId="7" fillId="4" borderId="0" xfId="0" applyFont="1" applyFill="1" applyAlignment="1">
      <alignment horizontal="center"/>
    </xf>
    <xf numFmtId="0" fontId="7" fillId="4" borderId="0" xfId="0" applyFont="1" applyFill="1"/>
    <xf numFmtId="0" fontId="9" fillId="3" borderId="0" xfId="0" applyFont="1" applyFill="1"/>
    <xf numFmtId="0" fontId="9" fillId="5" borderId="0" xfId="0" applyFont="1" applyFill="1"/>
    <xf numFmtId="0" fontId="18" fillId="5" borderId="16" xfId="0" applyFont="1" applyFill="1" applyBorder="1" applyAlignment="1">
      <alignment horizontal="center"/>
    </xf>
    <xf numFmtId="0" fontId="20" fillId="4" borderId="0" xfId="0" applyFont="1" applyFill="1"/>
    <xf numFmtId="0" fontId="21" fillId="4" borderId="0" xfId="0" applyFont="1" applyFill="1"/>
    <xf numFmtId="0" fontId="23" fillId="4" borderId="0" xfId="0" applyFont="1" applyFill="1"/>
    <xf numFmtId="0" fontId="10" fillId="2" borderId="0" xfId="0" applyFont="1" applyFill="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wrapText="1"/>
    </xf>
    <xf numFmtId="0" fontId="10" fillId="2" borderId="1" xfId="0" applyFont="1" applyFill="1" applyBorder="1" applyAlignment="1">
      <alignment horizontal="center"/>
    </xf>
    <xf numFmtId="0" fontId="26" fillId="3" borderId="0" xfId="0" applyFont="1" applyFill="1" applyAlignment="1">
      <alignment horizontal="center"/>
    </xf>
    <xf numFmtId="0" fontId="26" fillId="3" borderId="0" xfId="0" applyFont="1" applyFill="1" applyAlignment="1">
      <alignment horizontal="left"/>
    </xf>
    <xf numFmtId="0" fontId="10" fillId="2" borderId="15" xfId="0" applyFont="1" applyFill="1" applyBorder="1"/>
    <xf numFmtId="0" fontId="10" fillId="2" borderId="1" xfId="0" applyFont="1" applyFill="1" applyBorder="1"/>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xf numFmtId="0" fontId="10" fillId="2" borderId="23"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xf numFmtId="0" fontId="10" fillId="0" borderId="13" xfId="0" applyFont="1" applyBorder="1"/>
    <xf numFmtId="0" fontId="10" fillId="2" borderId="26" xfId="0" applyFont="1" applyFill="1" applyBorder="1"/>
    <xf numFmtId="0" fontId="26" fillId="3" borderId="0" xfId="0" applyFont="1" applyFill="1" applyAlignment="1">
      <alignment horizontal="center" wrapText="1"/>
    </xf>
    <xf numFmtId="0" fontId="10" fillId="2" borderId="27" xfId="0" applyFont="1" applyFill="1" applyBorder="1"/>
    <xf numFmtId="0" fontId="10" fillId="2" borderId="28" xfId="0" applyFont="1" applyFill="1" applyBorder="1"/>
    <xf numFmtId="0" fontId="10" fillId="2" borderId="29" xfId="0" applyFont="1" applyFill="1" applyBorder="1"/>
    <xf numFmtId="0" fontId="10" fillId="2" borderId="30" xfId="0" applyFont="1" applyFill="1" applyBorder="1" applyAlignment="1">
      <alignment horizontal="center"/>
    </xf>
    <xf numFmtId="4" fontId="11" fillId="2" borderId="1" xfId="0" applyNumberFormat="1" applyFont="1" applyFill="1" applyBorder="1" applyAlignment="1">
      <alignment horizontal="right"/>
    </xf>
    <xf numFmtId="0" fontId="25" fillId="3" borderId="9" xfId="0" applyFont="1" applyFill="1" applyBorder="1" applyAlignment="1">
      <alignment horizontal="center"/>
    </xf>
    <xf numFmtId="0" fontId="18" fillId="3" borderId="12" xfId="0" applyFont="1" applyFill="1" applyBorder="1" applyAlignment="1">
      <alignment horizontal="right"/>
    </xf>
    <xf numFmtId="0" fontId="8" fillId="5" borderId="2" xfId="0" applyFont="1" applyFill="1" applyBorder="1" applyAlignment="1">
      <alignment horizontal="center"/>
    </xf>
    <xf numFmtId="0" fontId="8" fillId="5" borderId="11" xfId="0" applyFont="1" applyFill="1" applyBorder="1" applyAlignment="1">
      <alignment horizontal="left"/>
    </xf>
    <xf numFmtId="0" fontId="29" fillId="2" borderId="5" xfId="0" applyFont="1" applyFill="1" applyBorder="1" applyAlignment="1">
      <alignment horizontal="center"/>
    </xf>
    <xf numFmtId="0" fontId="29" fillId="2" borderId="14" xfId="0" applyFont="1" applyFill="1" applyBorder="1"/>
    <xf numFmtId="2" fontId="29" fillId="2" borderId="5" xfId="0" applyNumberFormat="1" applyFont="1" applyFill="1" applyBorder="1" applyAlignment="1">
      <alignment horizontal="center"/>
    </xf>
    <xf numFmtId="0" fontId="30" fillId="6" borderId="28" xfId="0" applyFont="1" applyFill="1" applyBorder="1" applyAlignment="1">
      <alignment wrapText="1"/>
    </xf>
    <xf numFmtId="0" fontId="0" fillId="6" borderId="0" xfId="0" applyFill="1"/>
    <xf numFmtId="0" fontId="31" fillId="6" borderId="31" xfId="0" applyFont="1" applyFill="1" applyBorder="1" applyAlignment="1">
      <alignment horizontal="center" wrapText="1"/>
    </xf>
    <xf numFmtId="0" fontId="33" fillId="0" borderId="0" xfId="0" applyFont="1" applyAlignment="1">
      <alignment horizontal="left"/>
    </xf>
    <xf numFmtId="0" fontId="34" fillId="0" borderId="0" xfId="0" applyFont="1"/>
    <xf numFmtId="0" fontId="22" fillId="7" borderId="0" xfId="0" applyFont="1" applyFill="1"/>
    <xf numFmtId="0" fontId="22" fillId="7" borderId="0" xfId="0" applyFont="1" applyFill="1" applyAlignment="1">
      <alignment vertical="center"/>
    </xf>
    <xf numFmtId="0" fontId="23" fillId="7" borderId="0" xfId="0" applyFont="1" applyFill="1"/>
    <xf numFmtId="0" fontId="8" fillId="2" borderId="5" xfId="0" applyFont="1" applyFill="1" applyBorder="1" applyAlignment="1">
      <alignment horizontal="center"/>
    </xf>
    <xf numFmtId="0" fontId="10" fillId="2" borderId="0" xfId="0" applyFont="1" applyFill="1" applyAlignment="1">
      <alignment horizontal="right"/>
    </xf>
    <xf numFmtId="0" fontId="29" fillId="2" borderId="14" xfId="0" applyFont="1" applyFill="1" applyBorder="1" applyAlignment="1">
      <alignment horizontal="center"/>
    </xf>
    <xf numFmtId="0" fontId="8" fillId="8" borderId="14" xfId="0" applyFont="1" applyFill="1" applyBorder="1"/>
    <xf numFmtId="0" fontId="35" fillId="7" borderId="32" xfId="0" applyFont="1" applyFill="1" applyBorder="1"/>
    <xf numFmtId="0" fontId="0" fillId="0" borderId="33" xfId="0" applyBorder="1"/>
    <xf numFmtId="0" fontId="35" fillId="7" borderId="34" xfId="0" applyFont="1" applyFill="1" applyBorder="1"/>
    <xf numFmtId="0" fontId="35" fillId="7" borderId="35" xfId="0" applyFont="1" applyFill="1" applyBorder="1"/>
    <xf numFmtId="0" fontId="34" fillId="0" borderId="20" xfId="0" applyFont="1" applyBorder="1"/>
    <xf numFmtId="0" fontId="34" fillId="0" borderId="21" xfId="0" applyFont="1" applyBorder="1"/>
    <xf numFmtId="0" fontId="35" fillId="7" borderId="36" xfId="0" applyFont="1" applyFill="1" applyBorder="1"/>
    <xf numFmtId="0" fontId="36" fillId="7" borderId="32" xfId="0" applyFont="1" applyFill="1" applyBorder="1"/>
    <xf numFmtId="0" fontId="34" fillId="0" borderId="33" xfId="0" applyFont="1" applyBorder="1"/>
    <xf numFmtId="0" fontId="36" fillId="3" borderId="32" xfId="0" applyFont="1" applyFill="1" applyBorder="1"/>
    <xf numFmtId="0" fontId="10" fillId="8" borderId="5" xfId="0" applyFont="1" applyFill="1" applyBorder="1" applyAlignment="1">
      <alignment horizontal="center"/>
    </xf>
    <xf numFmtId="166" fontId="10" fillId="0" borderId="0" xfId="0" applyNumberFormat="1" applyFont="1"/>
    <xf numFmtId="166" fontId="0" fillId="0" borderId="37" xfId="0" applyNumberFormat="1" applyBorder="1"/>
    <xf numFmtId="166" fontId="0" fillId="0" borderId="0" xfId="0" applyNumberFormat="1"/>
    <xf numFmtId="166" fontId="0" fillId="0" borderId="38" xfId="0" applyNumberFormat="1" applyBorder="1"/>
    <xf numFmtId="166" fontId="0" fillId="0" borderId="28" xfId="0" applyNumberFormat="1" applyBorder="1"/>
    <xf numFmtId="166" fontId="36" fillId="3" borderId="33" xfId="0" applyNumberFormat="1" applyFont="1" applyFill="1" applyBorder="1"/>
    <xf numFmtId="166" fontId="0" fillId="0" borderId="33" xfId="0" applyNumberFormat="1" applyBorder="1"/>
    <xf numFmtId="0" fontId="16" fillId="7" borderId="3" xfId="0" applyFont="1" applyFill="1" applyBorder="1" applyAlignment="1">
      <alignment horizontal="center"/>
    </xf>
    <xf numFmtId="0" fontId="16" fillId="7" borderId="0" xfId="0" applyFont="1" applyFill="1" applyAlignment="1">
      <alignment horizontal="center"/>
    </xf>
    <xf numFmtId="0" fontId="16" fillId="7" borderId="8" xfId="0" applyFont="1" applyFill="1" applyBorder="1" applyAlignment="1">
      <alignment horizontal="center"/>
    </xf>
    <xf numFmtId="0" fontId="24" fillId="7" borderId="5" xfId="0" applyFont="1" applyFill="1" applyBorder="1" applyAlignment="1">
      <alignment horizontal="center"/>
    </xf>
    <xf numFmtId="0" fontId="27" fillId="7" borderId="0" xfId="0" applyFont="1" applyFill="1" applyAlignment="1">
      <alignment horizontal="right"/>
    </xf>
    <xf numFmtId="0" fontId="11" fillId="6" borderId="11" xfId="0" applyFont="1" applyFill="1" applyBorder="1" applyAlignment="1">
      <alignment horizontal="center" wrapText="1"/>
    </xf>
    <xf numFmtId="0" fontId="11" fillId="6" borderId="11" xfId="0" applyFont="1" applyFill="1" applyBorder="1" applyAlignment="1">
      <alignment horizontal="left"/>
    </xf>
    <xf numFmtId="0" fontId="11" fillId="6" borderId="11" xfId="0" applyFont="1" applyFill="1" applyBorder="1" applyAlignment="1">
      <alignment horizontal="center"/>
    </xf>
    <xf numFmtId="0" fontId="12" fillId="6" borderId="9" xfId="0" applyFont="1" applyFill="1" applyBorder="1" applyAlignment="1">
      <alignment horizontal="right"/>
    </xf>
    <xf numFmtId="0" fontId="12" fillId="6" borderId="12" xfId="0" applyFont="1" applyFill="1" applyBorder="1" applyAlignment="1">
      <alignment horizontal="right"/>
    </xf>
    <xf numFmtId="0" fontId="12" fillId="6" borderId="12" xfId="0" applyFont="1" applyFill="1" applyBorder="1" applyAlignment="1">
      <alignment horizontal="center"/>
    </xf>
    <xf numFmtId="0" fontId="12" fillId="6" borderId="10" xfId="0" applyFont="1" applyFill="1" applyBorder="1" applyAlignment="1">
      <alignment horizontal="right"/>
    </xf>
    <xf numFmtId="0" fontId="27" fillId="6" borderId="6" xfId="0" applyFont="1" applyFill="1" applyBorder="1" applyAlignment="1">
      <alignment horizontal="right"/>
    </xf>
    <xf numFmtId="0" fontId="39" fillId="9" borderId="1" xfId="0" applyFont="1" applyFill="1" applyBorder="1" applyAlignment="1">
      <alignment horizontal="center"/>
    </xf>
    <xf numFmtId="0" fontId="39" fillId="9" borderId="1" xfId="0" applyFont="1" applyFill="1" applyBorder="1" applyAlignment="1">
      <alignment horizontal="right"/>
    </xf>
    <xf numFmtId="0" fontId="40" fillId="9" borderId="1" xfId="0" applyFont="1" applyFill="1" applyBorder="1" applyAlignment="1">
      <alignment horizontal="right"/>
    </xf>
    <xf numFmtId="3" fontId="40" fillId="9" borderId="1" xfId="0" applyNumberFormat="1" applyFont="1" applyFill="1" applyBorder="1" applyAlignment="1">
      <alignment horizontal="center"/>
    </xf>
    <xf numFmtId="0" fontId="39" fillId="9" borderId="1" xfId="0" applyFont="1" applyFill="1" applyBorder="1" applyAlignment="1">
      <alignment horizontal="left"/>
    </xf>
    <xf numFmtId="2" fontId="18" fillId="3" borderId="12" xfId="0" applyNumberFormat="1" applyFont="1" applyFill="1" applyBorder="1" applyAlignment="1">
      <alignment horizontal="right"/>
    </xf>
    <xf numFmtId="0" fontId="10" fillId="5" borderId="2" xfId="0" applyFont="1" applyFill="1" applyBorder="1"/>
    <xf numFmtId="0" fontId="10" fillId="5" borderId="3" xfId="0" applyFont="1" applyFill="1" applyBorder="1"/>
    <xf numFmtId="0" fontId="10" fillId="0" borderId="5" xfId="0" applyFont="1" applyBorder="1"/>
    <xf numFmtId="0" fontId="34" fillId="10" borderId="0" xfId="0" applyFont="1" applyFill="1"/>
    <xf numFmtId="0" fontId="23" fillId="9" borderId="0" xfId="0" applyFont="1" applyFill="1"/>
    <xf numFmtId="0" fontId="11" fillId="0" borderId="0" xfId="0" applyFont="1"/>
    <xf numFmtId="0" fontId="1" fillId="2" borderId="3" xfId="0" applyFont="1" applyFill="1" applyBorder="1"/>
    <xf numFmtId="0" fontId="42" fillId="0" borderId="0" xfId="0" applyFont="1"/>
    <xf numFmtId="0" fontId="11" fillId="11" borderId="11" xfId="0" applyFont="1" applyFill="1" applyBorder="1" applyAlignment="1">
      <alignment horizontal="center" wrapText="1"/>
    </xf>
    <xf numFmtId="0" fontId="11" fillId="11" borderId="11" xfId="0" applyFont="1" applyFill="1" applyBorder="1" applyAlignment="1">
      <alignment horizontal="left"/>
    </xf>
    <xf numFmtId="0" fontId="11" fillId="11" borderId="11" xfId="0" applyFont="1" applyFill="1" applyBorder="1" applyAlignment="1">
      <alignment horizontal="center"/>
    </xf>
    <xf numFmtId="0" fontId="10" fillId="11" borderId="3" xfId="0" applyFont="1" applyFill="1" applyBorder="1" applyAlignment="1">
      <alignment horizontal="center"/>
    </xf>
    <xf numFmtId="0" fontId="10" fillId="11" borderId="0" xfId="0" applyFont="1" applyFill="1" applyAlignment="1">
      <alignment horizontal="center"/>
    </xf>
    <xf numFmtId="0" fontId="12" fillId="11" borderId="9" xfId="0" applyFont="1" applyFill="1" applyBorder="1" applyAlignment="1">
      <alignment horizontal="right"/>
    </xf>
    <xf numFmtId="0" fontId="11" fillId="11" borderId="12" xfId="0" applyFont="1" applyFill="1" applyBorder="1" applyAlignment="1">
      <alignment horizontal="right"/>
    </xf>
    <xf numFmtId="0" fontId="12" fillId="11" borderId="12" xfId="0" applyFont="1" applyFill="1" applyBorder="1" applyAlignment="1">
      <alignment horizontal="right"/>
    </xf>
    <xf numFmtId="0" fontId="12" fillId="11" borderId="12" xfId="0" applyFont="1" applyFill="1" applyBorder="1" applyAlignment="1">
      <alignment horizontal="center"/>
    </xf>
    <xf numFmtId="0" fontId="12" fillId="11" borderId="10" xfId="0" applyFont="1" applyFill="1" applyBorder="1" applyAlignment="1">
      <alignment horizontal="right"/>
    </xf>
    <xf numFmtId="0" fontId="11" fillId="11" borderId="1" xfId="0" applyFont="1" applyFill="1" applyBorder="1" applyAlignment="1">
      <alignment horizontal="left" wrapText="1"/>
    </xf>
    <xf numFmtId="0" fontId="11" fillId="11" borderId="1" xfId="0" applyFont="1" applyFill="1" applyBorder="1" applyAlignment="1">
      <alignment horizontal="center" wrapText="1"/>
    </xf>
    <xf numFmtId="0" fontId="15" fillId="2" borderId="0" xfId="0" applyFont="1" applyFill="1" applyAlignment="1">
      <alignment horizontal="right"/>
    </xf>
    <xf numFmtId="166" fontId="0" fillId="0" borderId="39" xfId="0" applyNumberFormat="1" applyBorder="1"/>
    <xf numFmtId="0" fontId="44" fillId="0" borderId="0" xfId="0" applyFont="1"/>
    <xf numFmtId="0" fontId="11" fillId="0" borderId="0" xfId="0" applyFont="1" applyAlignment="1">
      <alignment horizontal="right"/>
    </xf>
    <xf numFmtId="0" fontId="29" fillId="2" borderId="7" xfId="0" applyFont="1" applyFill="1" applyBorder="1" applyAlignment="1">
      <alignment horizontal="center"/>
    </xf>
    <xf numFmtId="0" fontId="10" fillId="0" borderId="14" xfId="0" applyFont="1" applyBorder="1" applyAlignment="1">
      <alignment horizontal="center"/>
    </xf>
    <xf numFmtId="0" fontId="10" fillId="5" borderId="4" xfId="0" applyFont="1" applyFill="1" applyBorder="1"/>
    <xf numFmtId="0" fontId="29" fillId="0" borderId="14" xfId="0" applyFont="1" applyBorder="1"/>
    <xf numFmtId="0" fontId="45" fillId="2" borderId="14" xfId="0" applyFont="1" applyFill="1" applyBorder="1"/>
    <xf numFmtId="49" fontId="11" fillId="0" borderId="0" xfId="0" applyNumberFormat="1" applyFont="1" applyAlignment="1">
      <alignment horizontal="center"/>
    </xf>
    <xf numFmtId="3" fontId="11" fillId="0" borderId="0" xfId="0" applyNumberFormat="1" applyFont="1" applyAlignment="1">
      <alignment horizontal="center"/>
    </xf>
    <xf numFmtId="0" fontId="38" fillId="8" borderId="5" xfId="0" applyFont="1" applyFill="1" applyBorder="1" applyAlignment="1">
      <alignment vertical="center"/>
    </xf>
    <xf numFmtId="1" fontId="10" fillId="12" borderId="3" xfId="0" applyNumberFormat="1" applyFont="1" applyFill="1" applyBorder="1" applyAlignment="1">
      <alignment horizontal="center"/>
    </xf>
    <xf numFmtId="1" fontId="10" fillId="12" borderId="0" xfId="0" applyNumberFormat="1" applyFont="1" applyFill="1" applyAlignment="1">
      <alignment horizontal="center"/>
    </xf>
    <xf numFmtId="1" fontId="10" fillId="12" borderId="8" xfId="0" applyNumberFormat="1" applyFont="1" applyFill="1" applyBorder="1" applyAlignment="1">
      <alignment horizontal="center"/>
    </xf>
    <xf numFmtId="0" fontId="11" fillId="0" borderId="0" xfId="0" applyFont="1" applyAlignment="1">
      <alignment horizontal="center"/>
    </xf>
    <xf numFmtId="1" fontId="11" fillId="0" borderId="0" xfId="0" applyNumberFormat="1" applyFont="1" applyAlignment="1">
      <alignment horizontal="center"/>
    </xf>
    <xf numFmtId="0" fontId="24" fillId="11" borderId="1" xfId="0" applyFont="1" applyFill="1" applyBorder="1" applyAlignment="1">
      <alignment horizontal="center" vertical="center"/>
    </xf>
    <xf numFmtId="165" fontId="29" fillId="2" borderId="5" xfId="0" applyNumberFormat="1" applyFont="1" applyFill="1" applyBorder="1" applyAlignment="1">
      <alignment horizontal="center"/>
    </xf>
    <xf numFmtId="9" fontId="8" fillId="8" borderId="5" xfId="1" applyFont="1" applyFill="1" applyBorder="1" applyAlignment="1">
      <alignment horizontal="center"/>
    </xf>
    <xf numFmtId="0" fontId="29" fillId="0" borderId="5" xfId="0" applyFont="1" applyBorder="1" applyAlignment="1">
      <alignment horizontal="center"/>
    </xf>
    <xf numFmtId="0" fontId="29" fillId="0" borderId="15" xfId="0" applyFont="1" applyBorder="1" applyAlignment="1">
      <alignment horizontal="center"/>
    </xf>
    <xf numFmtId="0" fontId="10" fillId="0" borderId="7" xfId="0" applyFont="1" applyBorder="1"/>
    <xf numFmtId="0" fontId="29" fillId="0" borderId="15" xfId="0" applyFont="1" applyBorder="1"/>
    <xf numFmtId="9" fontId="11" fillId="0" borderId="0" xfId="1" applyFont="1" applyFill="1" applyBorder="1" applyAlignment="1"/>
    <xf numFmtId="10" fontId="46" fillId="0" borderId="5" xfId="1" applyNumberFormat="1" applyFont="1" applyFill="1" applyBorder="1" applyAlignment="1">
      <alignment horizontal="center"/>
    </xf>
    <xf numFmtId="10" fontId="10" fillId="0" borderId="5" xfId="1" applyNumberFormat="1" applyFont="1" applyFill="1" applyBorder="1" applyAlignment="1">
      <alignment horizontal="center"/>
    </xf>
    <xf numFmtId="10" fontId="10" fillId="0" borderId="7" xfId="1" applyNumberFormat="1" applyFont="1" applyFill="1" applyBorder="1" applyAlignment="1">
      <alignment horizontal="center"/>
    </xf>
    <xf numFmtId="0" fontId="8" fillId="5" borderId="11" xfId="0" applyFont="1" applyFill="1" applyBorder="1" applyAlignment="1">
      <alignment horizontal="center"/>
    </xf>
    <xf numFmtId="2" fontId="29" fillId="8" borderId="14" xfId="0" applyNumberFormat="1" applyFont="1" applyFill="1" applyBorder="1" applyAlignment="1">
      <alignment horizontal="center"/>
    </xf>
    <xf numFmtId="2" fontId="29" fillId="2" borderId="14"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45" fillId="2" borderId="14" xfId="0" applyNumberFormat="1" applyFont="1" applyFill="1" applyBorder="1" applyAlignment="1">
      <alignment horizontal="center"/>
    </xf>
    <xf numFmtId="0" fontId="18" fillId="3" borderId="12" xfId="0" applyFont="1" applyFill="1" applyBorder="1" applyAlignment="1">
      <alignment horizontal="left"/>
    </xf>
    <xf numFmtId="164" fontId="10" fillId="0" borderId="0" xfId="2" applyFont="1" applyBorder="1"/>
    <xf numFmtId="164" fontId="10" fillId="0" borderId="6" xfId="2" applyFont="1" applyBorder="1"/>
    <xf numFmtId="164" fontId="38" fillId="8" borderId="0" xfId="2" applyFont="1" applyFill="1" applyBorder="1" applyAlignment="1">
      <alignment vertical="center"/>
    </xf>
    <xf numFmtId="164" fontId="10" fillId="0" borderId="0" xfId="2" applyFont="1" applyFill="1" applyBorder="1"/>
    <xf numFmtId="164" fontId="10" fillId="0" borderId="6" xfId="2" applyFont="1" applyFill="1" applyBorder="1"/>
    <xf numFmtId="164" fontId="10" fillId="0" borderId="8" xfId="2" applyFont="1" applyFill="1" applyBorder="1"/>
    <xf numFmtId="164" fontId="10" fillId="0" borderId="13" xfId="2" applyFont="1" applyFill="1" applyBorder="1"/>
    <xf numFmtId="164" fontId="37" fillId="6" borderId="0" xfId="2" applyFont="1" applyFill="1" applyAlignment="1">
      <alignment vertical="center"/>
    </xf>
    <xf numFmtId="164" fontId="41" fillId="10" borderId="0" xfId="2" applyFont="1" applyFill="1"/>
    <xf numFmtId="9" fontId="48" fillId="11" borderId="0" xfId="1" applyFont="1" applyFill="1" applyAlignment="1">
      <alignment horizontal="right"/>
    </xf>
    <xf numFmtId="0" fontId="24" fillId="11" borderId="0" xfId="0" applyFont="1" applyFill="1"/>
    <xf numFmtId="164" fontId="24" fillId="11" borderId="0" xfId="2" applyFont="1" applyFill="1"/>
    <xf numFmtId="9" fontId="48" fillId="0" borderId="0" xfId="1" applyFont="1" applyFill="1" applyAlignment="1">
      <alignment horizontal="right"/>
    </xf>
    <xf numFmtId="0" fontId="49" fillId="0" borderId="0" xfId="0" applyFont="1"/>
    <xf numFmtId="164" fontId="49" fillId="0" borderId="0" xfId="2" applyFont="1"/>
    <xf numFmtId="0" fontId="37" fillId="10" borderId="0" xfId="0" applyFont="1" applyFill="1"/>
    <xf numFmtId="0" fontId="10" fillId="0" borderId="1" xfId="0" applyFont="1" applyBorder="1"/>
    <xf numFmtId="0" fontId="50" fillId="0" borderId="1" xfId="0" applyFont="1" applyBorder="1" applyAlignment="1">
      <alignment horizontal="center"/>
    </xf>
    <xf numFmtId="0" fontId="18" fillId="3" borderId="16" xfId="0" applyFont="1" applyFill="1" applyBorder="1" applyAlignment="1">
      <alignment horizontal="center"/>
    </xf>
    <xf numFmtId="0" fontId="19" fillId="3" borderId="16" xfId="0" applyFont="1" applyFill="1" applyBorder="1" applyAlignment="1">
      <alignment horizontal="center"/>
    </xf>
    <xf numFmtId="0" fontId="22" fillId="7" borderId="0" xfId="0" applyFont="1" applyFill="1" applyAlignment="1">
      <alignment horizontal="center" vertical="center"/>
    </xf>
    <xf numFmtId="0" fontId="22" fillId="9" borderId="0" xfId="0" applyFont="1" applyFill="1" applyAlignment="1">
      <alignment horizontal="center"/>
    </xf>
    <xf numFmtId="0" fontId="24" fillId="11" borderId="9" xfId="0" applyFont="1" applyFill="1" applyBorder="1" applyAlignment="1">
      <alignment horizontal="center" vertical="center"/>
    </xf>
    <xf numFmtId="0" fontId="24" fillId="11" borderId="10" xfId="0" applyFont="1" applyFill="1" applyBorder="1" applyAlignment="1">
      <alignment horizontal="center" vertical="center"/>
    </xf>
    <xf numFmtId="165" fontId="10" fillId="0" borderId="0" xfId="0" applyNumberFormat="1" applyFont="1" applyAlignment="1">
      <alignment horizontal="left" wrapText="1"/>
    </xf>
    <xf numFmtId="165" fontId="10" fillId="0" borderId="6" xfId="0" applyNumberFormat="1" applyFont="1" applyBorder="1" applyAlignment="1">
      <alignment horizontal="left" wrapText="1"/>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9" xfId="0" applyFont="1" applyFill="1" applyBorder="1" applyAlignment="1">
      <alignment horizontal="left" vertical="center" wrapText="1"/>
    </xf>
    <xf numFmtId="0" fontId="11" fillId="11" borderId="10" xfId="0" applyFont="1" applyFill="1" applyBorder="1" applyAlignment="1">
      <alignment horizontal="left" vertical="center" wrapText="1"/>
    </xf>
    <xf numFmtId="0" fontId="11" fillId="11" borderId="5" xfId="0" applyFont="1" applyFill="1" applyBorder="1" applyAlignment="1">
      <alignment horizontal="center"/>
    </xf>
    <xf numFmtId="0" fontId="11" fillId="11" borderId="0" xfId="0" applyFont="1" applyFill="1" applyAlignment="1">
      <alignment horizontal="center"/>
    </xf>
    <xf numFmtId="0" fontId="11" fillId="11" borderId="12" xfId="0" applyFont="1" applyFill="1" applyBorder="1" applyAlignment="1">
      <alignment horizontal="left" vertical="center" wrapText="1"/>
    </xf>
    <xf numFmtId="165" fontId="10" fillId="0" borderId="3" xfId="0" applyNumberFormat="1" applyFont="1" applyBorder="1" applyAlignment="1">
      <alignment horizontal="left" wrapText="1"/>
    </xf>
    <xf numFmtId="165" fontId="10" fillId="0" borderId="4" xfId="0" applyNumberFormat="1" applyFont="1" applyBorder="1" applyAlignment="1">
      <alignment horizontal="left" wrapText="1"/>
    </xf>
    <xf numFmtId="0" fontId="28" fillId="7" borderId="2" xfId="0" applyFont="1" applyFill="1" applyBorder="1" applyAlignment="1">
      <alignment horizontal="center"/>
    </xf>
    <xf numFmtId="0" fontId="28" fillId="7" borderId="3" xfId="0" applyFont="1" applyFill="1" applyBorder="1" applyAlignment="1">
      <alignment horizontal="center"/>
    </xf>
    <xf numFmtId="0" fontId="28" fillId="7" borderId="4" xfId="0" applyFont="1" applyFill="1" applyBorder="1" applyAlignment="1">
      <alignment horizontal="center"/>
    </xf>
    <xf numFmtId="0" fontId="11" fillId="6" borderId="9" xfId="0" applyFont="1" applyFill="1" applyBorder="1" applyAlignment="1">
      <alignment horizontal="center"/>
    </xf>
    <xf numFmtId="0" fontId="11" fillId="6" borderId="10" xfId="0" applyFont="1" applyFill="1" applyBorder="1" applyAlignment="1">
      <alignment horizontal="center"/>
    </xf>
    <xf numFmtId="0" fontId="6" fillId="0" borderId="0" xfId="0" applyFont="1" applyAlignment="1">
      <alignment horizontal="left" vertical="center" wrapText="1"/>
    </xf>
    <xf numFmtId="0" fontId="10" fillId="0" borderId="0" xfId="0" applyFont="1" applyAlignment="1">
      <alignment horizontal="left" vertical="center"/>
    </xf>
    <xf numFmtId="0" fontId="11" fillId="11" borderId="9" xfId="0" applyFont="1" applyFill="1" applyBorder="1" applyAlignment="1">
      <alignment horizontal="center"/>
    </xf>
    <xf numFmtId="0" fontId="11" fillId="11" borderId="10" xfId="0" applyFont="1" applyFill="1" applyBorder="1" applyAlignment="1">
      <alignment horizontal="center"/>
    </xf>
    <xf numFmtId="0" fontId="17" fillId="7" borderId="1" xfId="0" applyFont="1" applyFill="1" applyBorder="1" applyAlignment="1">
      <alignment horizontal="center"/>
    </xf>
    <xf numFmtId="0" fontId="8" fillId="8" borderId="0" xfId="0" applyFont="1" applyFill="1" applyAlignment="1">
      <alignment horizontal="center"/>
    </xf>
    <xf numFmtId="0" fontId="38" fillId="8" borderId="5" xfId="0" applyFont="1" applyFill="1" applyBorder="1" applyAlignment="1">
      <alignment horizontal="left" vertical="center"/>
    </xf>
    <xf numFmtId="0" fontId="38" fillId="8" borderId="0" xfId="0" applyFont="1" applyFill="1" applyAlignment="1">
      <alignment horizontal="left" vertical="center"/>
    </xf>
    <xf numFmtId="0" fontId="17" fillId="4" borderId="5" xfId="0" applyFont="1" applyFill="1" applyBorder="1" applyAlignment="1">
      <alignment horizontal="center"/>
    </xf>
    <xf numFmtId="0" fontId="17" fillId="4" borderId="0" xfId="0" applyFont="1" applyFill="1" applyAlignment="1">
      <alignment horizontal="center"/>
    </xf>
    <xf numFmtId="0" fontId="37" fillId="6" borderId="0" xfId="0" applyFont="1" applyFill="1" applyAlignment="1">
      <alignment horizontal="center" vertical="center" wrapText="1"/>
    </xf>
  </cellXfs>
  <cellStyles count="3">
    <cellStyle name="Moneda" xfId="2" builtinId="4"/>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7:C10" totalsRowShown="0" headerRowDxfId="11" dataDxfId="10">
  <tableColumns count="2">
    <tableColumn id="1" xr3:uid="{00000000-0010-0000-0000-000001000000}" name="Categoría de CU" dataDxfId="9"/>
    <tableColumn id="2" xr3:uid="{00000000-0010-0000-0000-000002000000}" name="Descripción" dataDxfId="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6:C29" totalsRowShown="0" headerRowDxfId="7" dataDxfId="6">
  <tableColumns count="2">
    <tableColumn id="1" xr3:uid="{00000000-0010-0000-0100-000001000000}" name="Factor Técnico" dataDxfId="5"/>
    <tableColumn id="2" xr3:uid="{00000000-0010-0000-0100-000002000000}" name="Descripción" dataDxf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B35:C43" totalsRowShown="0" headerRowDxfId="3" dataDxfId="2">
  <tableColumns count="2">
    <tableColumn id="1" xr3:uid="{00000000-0010-0000-0200-000001000000}" name="Factor _x000a_Técnico" dataDxfId="1"/>
    <tableColumn id="2" xr3:uid="{00000000-0010-0000-0200-000002000000}"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D29"/>
  <sheetViews>
    <sheetView showGridLines="0" tabSelected="1" zoomScale="85" zoomScaleNormal="85" workbookViewId="0">
      <selection activeCell="B5" sqref="B5"/>
    </sheetView>
  </sheetViews>
  <sheetFormatPr defaultColWidth="11.42578125" defaultRowHeight="10.15"/>
  <cols>
    <col min="1" max="1" width="21.42578125" style="1" customWidth="1"/>
    <col min="2" max="2" width="10.85546875" style="1" customWidth="1"/>
    <col min="3" max="3" width="33" style="1" customWidth="1"/>
    <col min="4" max="4" width="25.5703125" style="1" bestFit="1" customWidth="1"/>
    <col min="5" max="16384" width="11.42578125" style="1"/>
  </cols>
  <sheetData>
    <row r="1" spans="1:4" s="67" customFormat="1" ht="37.5" customHeight="1">
      <c r="A1" s="68"/>
      <c r="B1" s="66"/>
    </row>
    <row r="2" spans="1:4" s="27" customFormat="1" ht="28.9">
      <c r="A2" s="31" t="s">
        <v>0</v>
      </c>
      <c r="B2" s="32"/>
      <c r="C2" s="32"/>
      <c r="D2" s="26"/>
    </row>
    <row r="3" spans="1:4">
      <c r="A3" s="2"/>
      <c r="B3" s="2"/>
      <c r="C3" s="3"/>
      <c r="D3" s="3"/>
    </row>
    <row r="4" spans="1:4" s="4" customFormat="1" ht="13.9">
      <c r="A4" s="122" t="s">
        <v>1</v>
      </c>
      <c r="B4" s="5" t="s">
        <v>2</v>
      </c>
      <c r="C4" s="6"/>
      <c r="D4" s="6"/>
    </row>
    <row r="5" spans="1:4" s="4" customFormat="1" ht="13.9">
      <c r="A5" s="122" t="s">
        <v>3</v>
      </c>
      <c r="B5" s="4" t="s">
        <v>4</v>
      </c>
      <c r="C5" s="6"/>
      <c r="D5" s="6"/>
    </row>
    <row r="6" spans="1:4" s="4" customFormat="1" ht="6" customHeight="1">
      <c r="A6" s="6"/>
      <c r="C6" s="6"/>
      <c r="D6" s="6"/>
    </row>
    <row r="7" spans="1:4" s="28" customFormat="1" ht="21">
      <c r="A7" s="188" t="s">
        <v>5</v>
      </c>
      <c r="B7" s="189"/>
      <c r="C7" s="189"/>
      <c r="D7" s="189"/>
    </row>
    <row r="8" spans="1:4" s="29" customFormat="1" ht="21">
      <c r="A8" s="30" t="s">
        <v>6</v>
      </c>
      <c r="B8" s="30" t="s">
        <v>7</v>
      </c>
      <c r="C8" s="30" t="s">
        <v>8</v>
      </c>
      <c r="D8" s="30" t="s">
        <v>9</v>
      </c>
    </row>
    <row r="9" spans="1:4" s="4" customFormat="1" ht="13.9">
      <c r="A9" s="7"/>
      <c r="B9" s="8"/>
      <c r="C9" s="9"/>
      <c r="D9" s="10"/>
    </row>
    <row r="10" spans="1:4" s="4" customFormat="1" ht="13.9">
      <c r="A10" s="7"/>
      <c r="B10" s="8"/>
      <c r="C10" s="9"/>
      <c r="D10" s="10"/>
    </row>
    <row r="11" spans="1:4" s="4" customFormat="1" ht="13.9">
      <c r="A11" s="7"/>
      <c r="B11" s="8"/>
      <c r="C11" s="9"/>
      <c r="D11" s="10"/>
    </row>
    <row r="12" spans="1:4" s="4" customFormat="1" ht="13.9">
      <c r="A12" s="7"/>
      <c r="B12" s="8"/>
      <c r="C12" s="9"/>
      <c r="D12" s="10"/>
    </row>
    <row r="13" spans="1:4" s="4" customFormat="1" ht="13.9">
      <c r="A13" s="7"/>
      <c r="B13" s="8"/>
      <c r="C13" s="9"/>
      <c r="D13" s="10"/>
    </row>
    <row r="14" spans="1:4" s="4" customFormat="1" ht="13.9">
      <c r="A14" s="7"/>
      <c r="B14" s="8"/>
      <c r="C14" s="9"/>
      <c r="D14" s="10"/>
    </row>
    <row r="15" spans="1:4" s="4" customFormat="1" ht="13.9">
      <c r="A15" s="7"/>
      <c r="B15" s="8"/>
      <c r="C15" s="9"/>
      <c r="D15" s="10"/>
    </row>
    <row r="16" spans="1:4" s="4" customFormat="1" ht="13.9">
      <c r="A16" s="7"/>
      <c r="B16" s="8"/>
      <c r="C16" s="9"/>
      <c r="D16" s="10"/>
    </row>
    <row r="17" spans="1:4" s="4" customFormat="1" ht="13.9">
      <c r="A17" s="7"/>
      <c r="B17" s="8"/>
      <c r="C17" s="9"/>
      <c r="D17" s="10"/>
    </row>
    <row r="18" spans="1:4" s="4" customFormat="1" ht="13.9">
      <c r="A18" s="7"/>
      <c r="B18" s="8"/>
      <c r="C18" s="9"/>
      <c r="D18" s="10"/>
    </row>
    <row r="19" spans="1:4" s="4" customFormat="1" ht="13.9">
      <c r="A19" s="7"/>
      <c r="B19" s="8"/>
      <c r="C19" s="9"/>
      <c r="D19" s="10"/>
    </row>
    <row r="20" spans="1:4" s="4" customFormat="1" ht="13.9">
      <c r="A20" s="7"/>
      <c r="B20" s="8"/>
      <c r="C20" s="9"/>
      <c r="D20" s="10"/>
    </row>
    <row r="21" spans="1:4" s="4" customFormat="1" ht="13.9">
      <c r="A21" s="7"/>
      <c r="B21" s="8"/>
      <c r="C21" s="9"/>
      <c r="D21" s="10"/>
    </row>
    <row r="22" spans="1:4" s="4" customFormat="1" ht="13.9">
      <c r="A22" s="7"/>
      <c r="B22" s="8"/>
      <c r="C22" s="9"/>
      <c r="D22" s="10"/>
    </row>
    <row r="23" spans="1:4" s="4" customFormat="1" ht="13.9">
      <c r="A23" s="7"/>
      <c r="B23" s="8"/>
      <c r="C23" s="9"/>
      <c r="D23" s="10"/>
    </row>
    <row r="24" spans="1:4" s="4" customFormat="1" ht="13.9">
      <c r="A24" s="7"/>
      <c r="B24" s="8"/>
      <c r="C24" s="9"/>
      <c r="D24" s="10"/>
    </row>
    <row r="25" spans="1:4" s="4" customFormat="1" ht="13.9">
      <c r="A25" s="7"/>
      <c r="B25" s="8"/>
      <c r="C25" s="9"/>
      <c r="D25" s="10"/>
    </row>
    <row r="26" spans="1:4" s="4" customFormat="1" ht="13.9">
      <c r="A26" s="7"/>
      <c r="B26" s="8"/>
      <c r="C26" s="9"/>
      <c r="D26" s="10"/>
    </row>
    <row r="27" spans="1:4" s="4" customFormat="1" ht="13.9">
      <c r="A27" s="7"/>
      <c r="B27" s="8"/>
      <c r="C27" s="9"/>
      <c r="D27" s="10"/>
    </row>
    <row r="28" spans="1:4" s="4" customFormat="1" ht="13.9">
      <c r="A28" s="7"/>
      <c r="B28" s="8"/>
      <c r="C28" s="9"/>
      <c r="D28" s="10"/>
    </row>
    <row r="29" spans="1:4" s="4" customFormat="1" ht="13.9">
      <c r="A29" s="7"/>
      <c r="B29" s="8"/>
      <c r="C29" s="9"/>
      <c r="D29" s="10"/>
    </row>
  </sheetData>
  <mergeCells count="1">
    <mergeCell ref="A7:D7"/>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
  <sheetViews>
    <sheetView showGridLines="0" topLeftCell="A31" zoomScale="126" zoomScaleNormal="85" workbookViewId="0">
      <selection activeCell="C50" sqref="C50"/>
    </sheetView>
  </sheetViews>
  <sheetFormatPr defaultColWidth="11.42578125" defaultRowHeight="14.45"/>
  <cols>
    <col min="1" max="1" width="1.7109375" style="11" customWidth="1"/>
    <col min="2" max="2" width="25.85546875" style="11" customWidth="1"/>
    <col min="3" max="3" width="62" style="11" customWidth="1"/>
    <col min="4" max="16384" width="11.42578125" style="11"/>
  </cols>
  <sheetData>
    <row r="1" spans="1:17" ht="32.25" customHeight="1"/>
    <row r="2" spans="1:17" s="33" customFormat="1" ht="25.9">
      <c r="A2" s="71"/>
      <c r="B2" s="190" t="s">
        <v>10</v>
      </c>
      <c r="C2" s="190"/>
      <c r="D2" s="191" t="s">
        <v>11</v>
      </c>
      <c r="E2" s="191"/>
      <c r="F2" s="191"/>
      <c r="G2" s="191"/>
      <c r="H2" s="119"/>
      <c r="I2" s="119"/>
      <c r="J2" s="119"/>
      <c r="K2" s="119"/>
      <c r="L2" s="73"/>
      <c r="M2" s="73"/>
      <c r="N2" s="73"/>
      <c r="O2" s="73"/>
      <c r="P2" s="73"/>
      <c r="Q2" s="73"/>
    </row>
    <row r="4" spans="1:17" s="33" customFormat="1" ht="25.9">
      <c r="A4" s="71"/>
      <c r="B4" s="72" t="s">
        <v>12</v>
      </c>
      <c r="C4" s="71"/>
      <c r="D4" s="71"/>
      <c r="E4" s="71"/>
      <c r="F4" s="71"/>
      <c r="G4" s="73"/>
      <c r="H4" s="73"/>
      <c r="I4" s="73"/>
      <c r="J4" s="73"/>
      <c r="K4" s="73"/>
      <c r="L4" s="73"/>
      <c r="M4" s="73"/>
      <c r="N4" s="73"/>
      <c r="O4" s="73"/>
      <c r="P4" s="73"/>
      <c r="Q4" s="73"/>
    </row>
    <row r="5" spans="1:17">
      <c r="B5" s="11" t="s">
        <v>13</v>
      </c>
    </row>
    <row r="7" spans="1:17" ht="23.45">
      <c r="B7" s="38" t="s">
        <v>14</v>
      </c>
      <c r="C7" s="38" t="s">
        <v>8</v>
      </c>
    </row>
    <row r="8" spans="1:17" ht="72">
      <c r="B8" s="37" t="s">
        <v>15</v>
      </c>
      <c r="C8" s="36" t="s">
        <v>16</v>
      </c>
    </row>
    <row r="9" spans="1:17" ht="72">
      <c r="B9" s="37" t="s">
        <v>17</v>
      </c>
      <c r="C9" s="36" t="s">
        <v>18</v>
      </c>
    </row>
    <row r="10" spans="1:17" ht="72">
      <c r="B10" s="37" t="s">
        <v>19</v>
      </c>
      <c r="C10" s="36" t="s">
        <v>20</v>
      </c>
    </row>
    <row r="12" spans="1:17" s="33" customFormat="1" ht="25.9">
      <c r="A12" s="71"/>
      <c r="B12" s="72" t="s">
        <v>21</v>
      </c>
      <c r="C12" s="71"/>
      <c r="D12" s="71"/>
      <c r="E12" s="71"/>
      <c r="F12" s="71"/>
      <c r="G12" s="73"/>
      <c r="H12" s="73"/>
      <c r="I12" s="73"/>
      <c r="J12" s="73"/>
      <c r="K12" s="73"/>
      <c r="L12" s="73"/>
      <c r="M12" s="73"/>
      <c r="N12" s="73"/>
      <c r="O12" s="73"/>
      <c r="P12" s="73"/>
      <c r="Q12" s="73"/>
    </row>
    <row r="13" spans="1:17">
      <c r="B13" s="11" t="s">
        <v>22</v>
      </c>
    </row>
    <row r="14" spans="1:17">
      <c r="B14" s="11" t="s">
        <v>23</v>
      </c>
    </row>
    <row r="16" spans="1:17" ht="24" thickBot="1">
      <c r="B16" s="38" t="s">
        <v>24</v>
      </c>
      <c r="C16" s="39" t="s">
        <v>8</v>
      </c>
    </row>
    <row r="17" spans="1:17">
      <c r="B17" s="49" t="s">
        <v>25</v>
      </c>
      <c r="C17" s="42" t="s">
        <v>26</v>
      </c>
    </row>
    <row r="18" spans="1:17">
      <c r="B18" s="48" t="s">
        <v>27</v>
      </c>
      <c r="C18" s="43" t="s">
        <v>28</v>
      </c>
    </row>
    <row r="19" spans="1:17">
      <c r="B19" s="48" t="s">
        <v>29</v>
      </c>
      <c r="C19" s="43" t="s">
        <v>30</v>
      </c>
    </row>
    <row r="20" spans="1:17">
      <c r="A20" s="19"/>
      <c r="B20" s="35" t="s">
        <v>31</v>
      </c>
      <c r="C20" s="50" t="s">
        <v>32</v>
      </c>
    </row>
    <row r="21" spans="1:17">
      <c r="A21" s="51"/>
      <c r="B21" s="35" t="s">
        <v>33</v>
      </c>
      <c r="C21" s="47" t="s">
        <v>34</v>
      </c>
    </row>
    <row r="22" spans="1:17">
      <c r="A22" s="19"/>
      <c r="B22" s="35" t="s">
        <v>35</v>
      </c>
      <c r="C22" s="50" t="s">
        <v>36</v>
      </c>
    </row>
    <row r="23" spans="1:17">
      <c r="A23" s="19"/>
      <c r="B23" s="35" t="s">
        <v>37</v>
      </c>
      <c r="C23" s="47" t="s">
        <v>38</v>
      </c>
    </row>
    <row r="24" spans="1:17">
      <c r="A24" s="19"/>
      <c r="B24" s="35" t="s">
        <v>39</v>
      </c>
      <c r="C24" s="50" t="s">
        <v>40</v>
      </c>
    </row>
    <row r="25" spans="1:17">
      <c r="A25" s="19"/>
      <c r="B25" s="35" t="s">
        <v>41</v>
      </c>
      <c r="C25" s="47" t="s">
        <v>42</v>
      </c>
    </row>
    <row r="26" spans="1:17">
      <c r="A26" s="19"/>
      <c r="B26" s="35" t="s">
        <v>43</v>
      </c>
      <c r="C26" s="41" t="s">
        <v>44</v>
      </c>
    </row>
    <row r="27" spans="1:17">
      <c r="A27" s="19"/>
      <c r="B27" s="34" t="s">
        <v>45</v>
      </c>
      <c r="C27" s="41" t="s">
        <v>46</v>
      </c>
    </row>
    <row r="28" spans="1:17">
      <c r="B28" s="45" t="s">
        <v>47</v>
      </c>
      <c r="C28" s="41" t="s">
        <v>48</v>
      </c>
    </row>
    <row r="29" spans="1:17" ht="15" thickBot="1">
      <c r="B29" s="46" t="s">
        <v>49</v>
      </c>
      <c r="C29" s="52" t="s">
        <v>50</v>
      </c>
    </row>
    <row r="31" spans="1:17" s="33" customFormat="1" ht="25.9">
      <c r="A31" s="71"/>
      <c r="B31" s="72" t="s">
        <v>51</v>
      </c>
      <c r="C31" s="71"/>
      <c r="D31" s="71"/>
      <c r="E31" s="71"/>
      <c r="F31" s="71"/>
      <c r="G31" s="73"/>
      <c r="H31" s="73"/>
      <c r="I31" s="73"/>
      <c r="J31" s="73"/>
      <c r="K31" s="73"/>
      <c r="L31" s="73"/>
      <c r="M31" s="73"/>
      <c r="N31" s="73"/>
      <c r="O31" s="73"/>
      <c r="P31" s="73"/>
      <c r="Q31" s="73"/>
    </row>
    <row r="32" spans="1:17">
      <c r="B32" s="11" t="s">
        <v>52</v>
      </c>
    </row>
    <row r="33" spans="2:3">
      <c r="B33" s="11" t="s">
        <v>23</v>
      </c>
    </row>
    <row r="35" spans="2:3" ht="47.45" thickBot="1">
      <c r="B35" s="53" t="s">
        <v>53</v>
      </c>
      <c r="C35" s="39" t="s">
        <v>8</v>
      </c>
    </row>
    <row r="36" spans="2:3">
      <c r="B36" s="49" t="s">
        <v>54</v>
      </c>
      <c r="C36" s="54" t="s">
        <v>55</v>
      </c>
    </row>
    <row r="37" spans="2:3">
      <c r="B37" s="37" t="s">
        <v>56</v>
      </c>
      <c r="C37" s="41" t="s">
        <v>57</v>
      </c>
    </row>
    <row r="38" spans="2:3">
      <c r="B38" s="44" t="s">
        <v>58</v>
      </c>
      <c r="C38" s="43" t="s">
        <v>59</v>
      </c>
    </row>
    <row r="39" spans="2:3">
      <c r="B39" s="48" t="s">
        <v>60</v>
      </c>
      <c r="C39" s="55" t="s">
        <v>61</v>
      </c>
    </row>
    <row r="40" spans="2:3">
      <c r="B40" s="37" t="s">
        <v>62</v>
      </c>
      <c r="C40" s="41" t="s">
        <v>63</v>
      </c>
    </row>
    <row r="41" spans="2:3">
      <c r="B41" s="44" t="s">
        <v>64</v>
      </c>
      <c r="C41" s="40" t="s">
        <v>65</v>
      </c>
    </row>
    <row r="42" spans="2:3">
      <c r="B42" s="44" t="s">
        <v>66</v>
      </c>
      <c r="C42" s="40" t="s">
        <v>67</v>
      </c>
    </row>
    <row r="43" spans="2:3" ht="15" thickBot="1">
      <c r="B43" s="57" t="s">
        <v>68</v>
      </c>
      <c r="C43" s="56" t="s">
        <v>69</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2"/>
  <sheetViews>
    <sheetView showGridLines="0" zoomScale="113" zoomScaleNormal="70" workbookViewId="0">
      <selection activeCell="E21" sqref="E21"/>
    </sheetView>
  </sheetViews>
  <sheetFormatPr defaultColWidth="11.42578125" defaultRowHeight="14.45"/>
  <cols>
    <col min="1" max="1" width="5.28515625" style="11" customWidth="1"/>
    <col min="2" max="2" width="17" style="11" customWidth="1"/>
    <col min="3" max="3" width="59.7109375" style="11" customWidth="1"/>
    <col min="4" max="4" width="13.28515625" style="11" customWidth="1"/>
    <col min="5" max="5" width="10.140625" style="11" customWidth="1"/>
    <col min="6" max="6" width="11.85546875" style="11" customWidth="1"/>
    <col min="7" max="7" width="46.140625" style="11" customWidth="1"/>
    <col min="8" max="8" width="6.7109375" style="11" bestFit="1" customWidth="1"/>
    <col min="9" max="16384" width="11.42578125" style="11"/>
  </cols>
  <sheetData>
    <row r="2" spans="2:8" ht="18">
      <c r="B2" s="69" t="s">
        <v>23</v>
      </c>
    </row>
    <row r="3" spans="2:8" ht="33" customHeight="1">
      <c r="B3" s="210" t="s">
        <v>70</v>
      </c>
      <c r="C3" s="210"/>
      <c r="D3" s="210"/>
      <c r="E3" s="210"/>
      <c r="F3" s="210"/>
      <c r="G3" s="210"/>
      <c r="H3" s="210"/>
    </row>
    <row r="4" spans="2:8">
      <c r="B4" s="211" t="s">
        <v>71</v>
      </c>
      <c r="C4" s="211"/>
      <c r="D4" s="211"/>
      <c r="E4" s="211"/>
      <c r="F4" s="211"/>
      <c r="G4" s="211"/>
      <c r="H4" s="211"/>
    </row>
    <row r="5" spans="2:8">
      <c r="B5" s="120"/>
    </row>
    <row r="8" spans="2:8" ht="23.45">
      <c r="B8" s="205" t="s">
        <v>72</v>
      </c>
      <c r="C8" s="206"/>
      <c r="D8" s="206"/>
      <c r="E8" s="206"/>
      <c r="F8" s="206"/>
      <c r="G8" s="206"/>
      <c r="H8" s="207"/>
    </row>
    <row r="9" spans="2:8" ht="18">
      <c r="B9" s="99"/>
      <c r="C9" s="100"/>
      <c r="D9" s="100"/>
      <c r="E9" s="100"/>
      <c r="F9" s="100"/>
      <c r="G9" s="100" t="s">
        <v>73</v>
      </c>
      <c r="H9" s="108">
        <f>0.6+(0.01*SUM(F11:F23))</f>
        <v>0.94</v>
      </c>
    </row>
    <row r="10" spans="2:8" ht="28.9">
      <c r="B10" s="101" t="s">
        <v>53</v>
      </c>
      <c r="C10" s="102" t="s">
        <v>8</v>
      </c>
      <c r="D10" s="103" t="s">
        <v>74</v>
      </c>
      <c r="E10" s="103" t="s">
        <v>75</v>
      </c>
      <c r="F10" s="101" t="s">
        <v>76</v>
      </c>
      <c r="G10" s="208" t="s">
        <v>77</v>
      </c>
      <c r="H10" s="209"/>
    </row>
    <row r="11" spans="2:8">
      <c r="B11" s="14" t="s">
        <v>25</v>
      </c>
      <c r="C11" s="15" t="s">
        <v>26</v>
      </c>
      <c r="D11" s="96">
        <v>2</v>
      </c>
      <c r="E11" s="147">
        <v>1</v>
      </c>
      <c r="F11" s="96">
        <f t="shared" ref="F11:F23" si="0">E11*D11</f>
        <v>2</v>
      </c>
      <c r="G11" s="203" t="s">
        <v>78</v>
      </c>
      <c r="H11" s="204"/>
    </row>
    <row r="12" spans="2:8">
      <c r="B12" s="16" t="s">
        <v>27</v>
      </c>
      <c r="C12" s="11" t="s">
        <v>28</v>
      </c>
      <c r="D12" s="97">
        <v>2</v>
      </c>
      <c r="E12" s="148">
        <v>4</v>
      </c>
      <c r="F12" s="97">
        <f t="shared" si="0"/>
        <v>8</v>
      </c>
      <c r="G12" s="194" t="s">
        <v>79</v>
      </c>
      <c r="H12" s="195"/>
    </row>
    <row r="13" spans="2:8">
      <c r="B13" s="16" t="s">
        <v>29</v>
      </c>
      <c r="C13" s="11" t="s">
        <v>30</v>
      </c>
      <c r="D13" s="97">
        <v>1</v>
      </c>
      <c r="E13" s="148">
        <v>4</v>
      </c>
      <c r="F13" s="97">
        <f t="shared" si="0"/>
        <v>4</v>
      </c>
      <c r="G13" s="194" t="s">
        <v>80</v>
      </c>
      <c r="H13" s="195"/>
    </row>
    <row r="14" spans="2:8">
      <c r="B14" s="16" t="s">
        <v>31</v>
      </c>
      <c r="C14" s="11" t="s">
        <v>32</v>
      </c>
      <c r="D14" s="97">
        <v>1</v>
      </c>
      <c r="E14" s="148">
        <v>2</v>
      </c>
      <c r="F14" s="97">
        <f t="shared" si="0"/>
        <v>2</v>
      </c>
      <c r="G14" s="194" t="s">
        <v>81</v>
      </c>
      <c r="H14" s="195"/>
    </row>
    <row r="15" spans="2:8">
      <c r="B15" s="16" t="s">
        <v>33</v>
      </c>
      <c r="C15" s="11" t="s">
        <v>34</v>
      </c>
      <c r="D15" s="97">
        <v>1</v>
      </c>
      <c r="E15" s="148">
        <v>2</v>
      </c>
      <c r="F15" s="97">
        <f t="shared" si="0"/>
        <v>2</v>
      </c>
      <c r="G15" s="194" t="s">
        <v>82</v>
      </c>
      <c r="H15" s="195"/>
    </row>
    <row r="16" spans="2:8">
      <c r="B16" s="16" t="s">
        <v>35</v>
      </c>
      <c r="C16" s="11" t="s">
        <v>36</v>
      </c>
      <c r="D16" s="97">
        <v>0.5</v>
      </c>
      <c r="E16" s="148">
        <v>2</v>
      </c>
      <c r="F16" s="97">
        <f t="shared" si="0"/>
        <v>1</v>
      </c>
      <c r="G16" s="11" t="s">
        <v>83</v>
      </c>
      <c r="H16" s="19"/>
    </row>
    <row r="17" spans="2:8">
      <c r="B17" s="16" t="s">
        <v>37</v>
      </c>
      <c r="C17" s="11" t="s">
        <v>38</v>
      </c>
      <c r="D17" s="97">
        <v>0.5</v>
      </c>
      <c r="E17" s="148">
        <v>2</v>
      </c>
      <c r="F17" s="97">
        <f t="shared" si="0"/>
        <v>1</v>
      </c>
      <c r="G17" s="194" t="s">
        <v>84</v>
      </c>
      <c r="H17" s="195"/>
    </row>
    <row r="18" spans="2:8">
      <c r="B18" s="16" t="s">
        <v>39</v>
      </c>
      <c r="C18" s="11" t="s">
        <v>40</v>
      </c>
      <c r="D18" s="97">
        <v>2</v>
      </c>
      <c r="E18" s="148">
        <v>2</v>
      </c>
      <c r="F18" s="97">
        <f t="shared" si="0"/>
        <v>4</v>
      </c>
      <c r="G18" s="11" t="s">
        <v>85</v>
      </c>
      <c r="H18" s="19"/>
    </row>
    <row r="19" spans="2:8">
      <c r="B19" s="16" t="s">
        <v>41</v>
      </c>
      <c r="C19" s="11" t="s">
        <v>42</v>
      </c>
      <c r="D19" s="97">
        <v>1</v>
      </c>
      <c r="E19" s="148">
        <v>2</v>
      </c>
      <c r="F19" s="97">
        <f t="shared" si="0"/>
        <v>2</v>
      </c>
      <c r="G19" s="194" t="s">
        <v>86</v>
      </c>
      <c r="H19" s="195"/>
    </row>
    <row r="20" spans="2:8">
      <c r="B20" s="16" t="s">
        <v>43</v>
      </c>
      <c r="C20" s="11" t="s">
        <v>44</v>
      </c>
      <c r="D20" s="97">
        <v>1</v>
      </c>
      <c r="E20" s="148">
        <v>2</v>
      </c>
      <c r="F20" s="97">
        <f t="shared" si="0"/>
        <v>2</v>
      </c>
      <c r="G20" s="194" t="s">
        <v>87</v>
      </c>
      <c r="H20" s="195"/>
    </row>
    <row r="21" spans="2:8">
      <c r="B21" s="16" t="s">
        <v>45</v>
      </c>
      <c r="C21" s="11" t="s">
        <v>46</v>
      </c>
      <c r="D21" s="97">
        <v>1</v>
      </c>
      <c r="E21" s="148">
        <v>2</v>
      </c>
      <c r="F21" s="97">
        <f t="shared" si="0"/>
        <v>2</v>
      </c>
      <c r="G21" s="194" t="s">
        <v>88</v>
      </c>
      <c r="H21" s="195"/>
    </row>
    <row r="22" spans="2:8">
      <c r="B22" s="16" t="s">
        <v>47</v>
      </c>
      <c r="C22" s="11" t="s">
        <v>48</v>
      </c>
      <c r="D22" s="97">
        <v>1</v>
      </c>
      <c r="E22" s="148">
        <v>2</v>
      </c>
      <c r="F22" s="97">
        <f t="shared" si="0"/>
        <v>2</v>
      </c>
      <c r="G22" s="194" t="s">
        <v>89</v>
      </c>
      <c r="H22" s="195"/>
    </row>
    <row r="23" spans="2:8">
      <c r="B23" s="17" t="s">
        <v>49</v>
      </c>
      <c r="C23" s="18" t="s">
        <v>50</v>
      </c>
      <c r="D23" s="98">
        <v>1</v>
      </c>
      <c r="E23" s="149">
        <v>2</v>
      </c>
      <c r="F23" s="98">
        <f t="shared" si="0"/>
        <v>2</v>
      </c>
      <c r="G23" s="194" t="s">
        <v>90</v>
      </c>
      <c r="H23" s="195"/>
    </row>
    <row r="24" spans="2:8">
      <c r="B24" s="104"/>
      <c r="C24" s="105"/>
      <c r="D24" s="105"/>
      <c r="E24" s="105" t="s">
        <v>91</v>
      </c>
      <c r="F24" s="106">
        <f>SUM(F11:F23)</f>
        <v>34</v>
      </c>
      <c r="G24" s="105"/>
      <c r="H24" s="107"/>
    </row>
    <row r="27" spans="2:8" ht="23.45">
      <c r="B27" s="205" t="s">
        <v>92</v>
      </c>
      <c r="C27" s="206"/>
      <c r="D27" s="206"/>
      <c r="E27" s="206"/>
      <c r="F27" s="206"/>
      <c r="G27" s="206"/>
      <c r="H27" s="207"/>
    </row>
    <row r="28" spans="2:8" ht="18">
      <c r="B28" s="100"/>
      <c r="C28" s="100"/>
      <c r="D28" s="100"/>
      <c r="E28" s="100"/>
      <c r="F28" s="100"/>
      <c r="G28" s="100" t="s">
        <v>93</v>
      </c>
      <c r="H28" s="100">
        <f>1.4+(-0.03*SUM(F30:F37))</f>
        <v>0.72499999999999998</v>
      </c>
    </row>
    <row r="29" spans="2:8" ht="28.9">
      <c r="B29" s="123" t="s">
        <v>94</v>
      </c>
      <c r="C29" s="124" t="s">
        <v>8</v>
      </c>
      <c r="D29" s="125" t="s">
        <v>74</v>
      </c>
      <c r="E29" s="125" t="s">
        <v>75</v>
      </c>
      <c r="F29" s="123" t="s">
        <v>76</v>
      </c>
      <c r="G29" s="212" t="s">
        <v>77</v>
      </c>
      <c r="H29" s="213"/>
    </row>
    <row r="30" spans="2:8">
      <c r="B30" s="14" t="s">
        <v>54</v>
      </c>
      <c r="C30" s="121" t="s">
        <v>55</v>
      </c>
      <c r="D30" s="126">
        <v>1.5</v>
      </c>
      <c r="E30" s="147">
        <v>3</v>
      </c>
      <c r="F30" s="126">
        <f t="shared" ref="F30:F37" si="1">E30*D30</f>
        <v>4.5</v>
      </c>
      <c r="G30" s="203"/>
      <c r="H30" s="204"/>
    </row>
    <row r="31" spans="2:8">
      <c r="B31" s="16" t="s">
        <v>56</v>
      </c>
      <c r="C31" s="11" t="s">
        <v>57</v>
      </c>
      <c r="D31" s="127">
        <v>0.5</v>
      </c>
      <c r="E31" s="148">
        <v>1</v>
      </c>
      <c r="F31" s="127">
        <f t="shared" si="1"/>
        <v>0.5</v>
      </c>
      <c r="G31" s="194"/>
      <c r="H31" s="195"/>
    </row>
    <row r="32" spans="2:8">
      <c r="B32" s="16" t="s">
        <v>58</v>
      </c>
      <c r="C32" s="11" t="s">
        <v>59</v>
      </c>
      <c r="D32" s="127">
        <v>1</v>
      </c>
      <c r="E32" s="148">
        <v>3</v>
      </c>
      <c r="F32" s="127">
        <f t="shared" si="1"/>
        <v>3</v>
      </c>
      <c r="G32" s="194"/>
      <c r="H32" s="195"/>
    </row>
    <row r="33" spans="2:8">
      <c r="B33" s="16" t="s">
        <v>60</v>
      </c>
      <c r="C33" s="11" t="s">
        <v>61</v>
      </c>
      <c r="D33" s="127">
        <v>0.5</v>
      </c>
      <c r="E33" s="148">
        <v>3</v>
      </c>
      <c r="F33" s="127">
        <f t="shared" si="1"/>
        <v>1.5</v>
      </c>
      <c r="G33" s="194"/>
      <c r="H33" s="195"/>
    </row>
    <row r="34" spans="2:8">
      <c r="B34" s="16" t="s">
        <v>62</v>
      </c>
      <c r="C34" s="11" t="s">
        <v>63</v>
      </c>
      <c r="D34" s="127">
        <v>1</v>
      </c>
      <c r="E34" s="148">
        <v>3</v>
      </c>
      <c r="F34" s="127">
        <f t="shared" si="1"/>
        <v>3</v>
      </c>
      <c r="G34" s="194"/>
      <c r="H34" s="195"/>
    </row>
    <row r="35" spans="2:8">
      <c r="B35" s="16" t="s">
        <v>64</v>
      </c>
      <c r="C35" s="11" t="s">
        <v>65</v>
      </c>
      <c r="D35" s="127">
        <v>2</v>
      </c>
      <c r="E35" s="148">
        <v>2</v>
      </c>
      <c r="F35" s="127">
        <f t="shared" si="1"/>
        <v>4</v>
      </c>
      <c r="H35" s="19"/>
    </row>
    <row r="36" spans="2:8">
      <c r="B36" s="16" t="s">
        <v>66</v>
      </c>
      <c r="C36" s="11" t="s">
        <v>67</v>
      </c>
      <c r="D36" s="127">
        <v>-1</v>
      </c>
      <c r="E36" s="148">
        <v>0</v>
      </c>
      <c r="F36" s="127">
        <f t="shared" si="1"/>
        <v>0</v>
      </c>
      <c r="G36" s="194"/>
      <c r="H36" s="195"/>
    </row>
    <row r="37" spans="2:8">
      <c r="B37" s="16" t="s">
        <v>68</v>
      </c>
      <c r="C37" s="11" t="s">
        <v>69</v>
      </c>
      <c r="D37" s="127">
        <v>2</v>
      </c>
      <c r="E37" s="148">
        <v>3</v>
      </c>
      <c r="F37" s="127">
        <f t="shared" si="1"/>
        <v>6</v>
      </c>
      <c r="H37" s="19"/>
    </row>
    <row r="38" spans="2:8">
      <c r="B38" s="128"/>
      <c r="C38" s="129"/>
      <c r="D38" s="130"/>
      <c r="E38" s="129" t="s">
        <v>95</v>
      </c>
      <c r="F38" s="131">
        <f>SUM(F30:F37)</f>
        <v>22.5</v>
      </c>
      <c r="G38" s="130"/>
      <c r="H38" s="132"/>
    </row>
    <row r="40" spans="2:8">
      <c r="B40" s="196" t="s">
        <v>96</v>
      </c>
      <c r="C40" s="197"/>
      <c r="F40" s="200" t="s">
        <v>97</v>
      </c>
      <c r="G40" s="201"/>
      <c r="H40" s="201"/>
    </row>
    <row r="41" spans="2:8" ht="60" customHeight="1">
      <c r="B41" s="198" t="s">
        <v>98</v>
      </c>
      <c r="C41" s="199"/>
      <c r="F41" s="198" t="s">
        <v>99</v>
      </c>
      <c r="G41" s="202"/>
      <c r="H41" s="202"/>
    </row>
    <row r="42" spans="2:8" ht="43.15">
      <c r="B42" s="133" t="s">
        <v>100</v>
      </c>
      <c r="C42" s="152">
        <v>4</v>
      </c>
      <c r="F42" s="134" t="s">
        <v>101</v>
      </c>
      <c r="G42" s="192">
        <v>4</v>
      </c>
      <c r="H42" s="193"/>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xr:uid="{00000000-0002-0000-0200-000000000000}">
      <formula1>"0,1,2,3,4,5"</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40"/>
  <sheetViews>
    <sheetView showGridLines="0" topLeftCell="A15" zoomScaleNormal="100" workbookViewId="0">
      <selection activeCell="D11" sqref="D11"/>
    </sheetView>
  </sheetViews>
  <sheetFormatPr defaultColWidth="11.42578125" defaultRowHeight="14.45"/>
  <cols>
    <col min="1" max="1" width="2.42578125" style="11" customWidth="1"/>
    <col min="2" max="2" width="4.7109375" style="13" customWidth="1"/>
    <col min="3" max="3" width="70.5703125" style="11" bestFit="1" customWidth="1"/>
    <col min="4" max="4" width="11" style="11" customWidth="1"/>
    <col min="5" max="5" width="7.42578125" style="13" customWidth="1"/>
    <col min="6" max="6" width="10.7109375" style="13" customWidth="1"/>
    <col min="7" max="7" width="15.7109375" style="13" bestFit="1" customWidth="1"/>
    <col min="8" max="8" width="11.42578125" style="11"/>
    <col min="9" max="9" width="12.140625" style="11" bestFit="1" customWidth="1"/>
    <col min="10" max="16384" width="11.42578125" style="11"/>
  </cols>
  <sheetData>
    <row r="1" spans="2:7" ht="33.75" customHeight="1"/>
    <row r="2" spans="2:7" ht="25.9">
      <c r="B2" s="214" t="s">
        <v>102</v>
      </c>
      <c r="C2" s="214"/>
      <c r="D2" s="214"/>
      <c r="E2" s="214"/>
      <c r="F2" s="214"/>
      <c r="G2" s="214"/>
    </row>
    <row r="3" spans="2:7" ht="18">
      <c r="B3" s="109"/>
      <c r="C3" s="110"/>
      <c r="D3" s="111"/>
      <c r="E3" s="111"/>
      <c r="F3" s="111" t="s">
        <v>103</v>
      </c>
      <c r="G3" s="112">
        <f>SUM(G5:G30)*'Factor de complejidad Téc y Amb'!H9*'Factor de complejidad Téc y Amb'!H28</f>
        <v>197.63499999999996</v>
      </c>
    </row>
    <row r="4" spans="2:7">
      <c r="B4" s="109" t="s">
        <v>104</v>
      </c>
      <c r="C4" s="113" t="s">
        <v>105</v>
      </c>
      <c r="D4" s="109" t="s">
        <v>106</v>
      </c>
      <c r="E4" s="109" t="s">
        <v>107</v>
      </c>
      <c r="F4" s="109" t="s">
        <v>108</v>
      </c>
      <c r="G4" s="109" t="s">
        <v>109</v>
      </c>
    </row>
    <row r="5" spans="2:7">
      <c r="B5" s="12">
        <v>1</v>
      </c>
      <c r="C5" s="21" t="s">
        <v>110</v>
      </c>
      <c r="D5" s="22" t="s">
        <v>15</v>
      </c>
      <c r="E5" s="23" t="s">
        <v>111</v>
      </c>
      <c r="F5" s="58">
        <f>IF(D5="Simple",10,IF(D5="Promedio",15,IF(D5="Complejo",20,0)))</f>
        <v>10</v>
      </c>
      <c r="G5" s="58">
        <f t="shared" ref="G5:G31" si="0">IF(E5="Si",IF(D5="Simple",5,IF(D5="Promedio",5,IF(D5="Complejo",10,5))),F5)</f>
        <v>10</v>
      </c>
    </row>
    <row r="6" spans="2:7">
      <c r="B6" s="12">
        <v>2</v>
      </c>
      <c r="C6" s="21" t="s">
        <v>112</v>
      </c>
      <c r="D6" s="22" t="s">
        <v>15</v>
      </c>
      <c r="E6" s="23" t="s">
        <v>111</v>
      </c>
      <c r="F6" s="58">
        <f>IF(D6="Simple",10,IF(D6="Promedio",15,IF(D6="Complejo",20,0)))</f>
        <v>10</v>
      </c>
      <c r="G6" s="58">
        <f t="shared" si="0"/>
        <v>10</v>
      </c>
    </row>
    <row r="7" spans="2:7">
      <c r="B7" s="12">
        <v>3</v>
      </c>
      <c r="C7" s="21" t="s">
        <v>113</v>
      </c>
      <c r="D7" s="22" t="s">
        <v>15</v>
      </c>
      <c r="E7" s="23" t="s">
        <v>111</v>
      </c>
      <c r="F7" s="58">
        <f t="shared" ref="F7:F31" si="1">IF(D7="Simple",10,IF(D7="Promedio",15,IF(D7="Complejo",20,0)))</f>
        <v>10</v>
      </c>
      <c r="G7" s="58">
        <f t="shared" si="0"/>
        <v>10</v>
      </c>
    </row>
    <row r="8" spans="2:7">
      <c r="B8" s="12">
        <v>4</v>
      </c>
      <c r="C8" s="21" t="s">
        <v>114</v>
      </c>
      <c r="D8" s="22" t="s">
        <v>15</v>
      </c>
      <c r="E8" s="23" t="s">
        <v>111</v>
      </c>
      <c r="F8" s="58">
        <f t="shared" si="1"/>
        <v>10</v>
      </c>
      <c r="G8" s="58">
        <f t="shared" si="0"/>
        <v>10</v>
      </c>
    </row>
    <row r="9" spans="2:7">
      <c r="B9" s="12">
        <v>5</v>
      </c>
      <c r="C9" s="21" t="s">
        <v>115</v>
      </c>
      <c r="D9" s="22" t="s">
        <v>15</v>
      </c>
      <c r="E9" s="23" t="s">
        <v>111</v>
      </c>
      <c r="F9" s="58">
        <f t="shared" si="1"/>
        <v>10</v>
      </c>
      <c r="G9" s="58">
        <f t="shared" si="0"/>
        <v>10</v>
      </c>
    </row>
    <row r="10" spans="2:7">
      <c r="B10" s="12">
        <v>6</v>
      </c>
      <c r="C10" s="21" t="s">
        <v>116</v>
      </c>
      <c r="D10" s="22" t="s">
        <v>17</v>
      </c>
      <c r="E10" s="23" t="s">
        <v>111</v>
      </c>
      <c r="F10" s="58">
        <f t="shared" si="1"/>
        <v>15</v>
      </c>
      <c r="G10" s="58">
        <f t="shared" si="0"/>
        <v>15</v>
      </c>
    </row>
    <row r="11" spans="2:7" ht="15">
      <c r="B11" s="12">
        <v>7</v>
      </c>
      <c r="C11" s="21" t="s">
        <v>117</v>
      </c>
      <c r="D11" s="187" t="s">
        <v>17</v>
      </c>
      <c r="E11" s="23" t="s">
        <v>111</v>
      </c>
      <c r="F11" s="58">
        <f t="shared" si="1"/>
        <v>15</v>
      </c>
      <c r="G11" s="58">
        <f t="shared" si="0"/>
        <v>15</v>
      </c>
    </row>
    <row r="12" spans="2:7">
      <c r="B12" s="12">
        <v>8</v>
      </c>
      <c r="C12" s="21" t="s">
        <v>118</v>
      </c>
      <c r="D12" s="22" t="s">
        <v>15</v>
      </c>
      <c r="E12" s="23" t="s">
        <v>111</v>
      </c>
      <c r="F12" s="58">
        <f t="shared" si="1"/>
        <v>10</v>
      </c>
      <c r="G12" s="58">
        <f t="shared" si="0"/>
        <v>10</v>
      </c>
    </row>
    <row r="13" spans="2:7">
      <c r="B13" s="12">
        <v>9</v>
      </c>
      <c r="C13" s="21" t="s">
        <v>119</v>
      </c>
      <c r="D13" s="22" t="s">
        <v>19</v>
      </c>
      <c r="E13" s="23" t="s">
        <v>111</v>
      </c>
      <c r="F13" s="58">
        <f t="shared" si="1"/>
        <v>20</v>
      </c>
      <c r="G13" s="58">
        <f t="shared" si="0"/>
        <v>20</v>
      </c>
    </row>
    <row r="14" spans="2:7">
      <c r="B14" s="12">
        <v>10</v>
      </c>
      <c r="C14" s="21" t="s">
        <v>120</v>
      </c>
      <c r="D14" s="22" t="s">
        <v>15</v>
      </c>
      <c r="E14" s="23" t="s">
        <v>111</v>
      </c>
      <c r="F14" s="58">
        <f t="shared" si="1"/>
        <v>10</v>
      </c>
      <c r="G14" s="58">
        <f t="shared" si="0"/>
        <v>10</v>
      </c>
    </row>
    <row r="15" spans="2:7">
      <c r="B15" s="12">
        <v>11</v>
      </c>
      <c r="C15" s="21" t="s">
        <v>121</v>
      </c>
      <c r="D15" s="22" t="s">
        <v>15</v>
      </c>
      <c r="E15" s="23" t="s">
        <v>111</v>
      </c>
      <c r="F15" s="58">
        <f t="shared" si="1"/>
        <v>10</v>
      </c>
      <c r="G15" s="58">
        <f t="shared" si="0"/>
        <v>10</v>
      </c>
    </row>
    <row r="16" spans="2:7">
      <c r="B16" s="12">
        <v>12</v>
      </c>
      <c r="C16" s="21" t="s">
        <v>122</v>
      </c>
      <c r="D16" s="22" t="s">
        <v>15</v>
      </c>
      <c r="E16" s="23" t="s">
        <v>111</v>
      </c>
      <c r="F16" s="58">
        <f t="shared" si="1"/>
        <v>10</v>
      </c>
      <c r="G16" s="58">
        <f t="shared" si="0"/>
        <v>10</v>
      </c>
    </row>
    <row r="17" spans="2:7">
      <c r="B17" s="12">
        <f>B16+1</f>
        <v>13</v>
      </c>
      <c r="C17" s="21" t="s">
        <v>123</v>
      </c>
      <c r="D17" s="22" t="s">
        <v>15</v>
      </c>
      <c r="E17" s="23" t="s">
        <v>111</v>
      </c>
      <c r="F17" s="58">
        <f t="shared" si="1"/>
        <v>10</v>
      </c>
      <c r="G17" s="58">
        <f t="shared" si="0"/>
        <v>10</v>
      </c>
    </row>
    <row r="18" spans="2:7">
      <c r="B18" s="12">
        <f t="shared" ref="B18:B31" si="2">B17+1</f>
        <v>14</v>
      </c>
      <c r="C18" s="21" t="s">
        <v>124</v>
      </c>
      <c r="D18" s="22" t="s">
        <v>15</v>
      </c>
      <c r="E18" s="23" t="s">
        <v>111</v>
      </c>
      <c r="F18" s="58">
        <f t="shared" si="1"/>
        <v>10</v>
      </c>
      <c r="G18" s="58">
        <f t="shared" si="0"/>
        <v>10</v>
      </c>
    </row>
    <row r="19" spans="2:7">
      <c r="B19" s="12">
        <f t="shared" si="2"/>
        <v>15</v>
      </c>
      <c r="C19" s="21" t="s">
        <v>125</v>
      </c>
      <c r="D19" s="22" t="s">
        <v>15</v>
      </c>
      <c r="E19" s="23" t="s">
        <v>111</v>
      </c>
      <c r="F19" s="58">
        <f t="shared" si="1"/>
        <v>10</v>
      </c>
      <c r="G19" s="58">
        <f t="shared" si="0"/>
        <v>10</v>
      </c>
    </row>
    <row r="20" spans="2:7">
      <c r="B20" s="12">
        <f t="shared" si="2"/>
        <v>16</v>
      </c>
      <c r="C20" s="21" t="s">
        <v>126</v>
      </c>
      <c r="D20" s="22" t="s">
        <v>15</v>
      </c>
      <c r="E20" s="23" t="s">
        <v>111</v>
      </c>
      <c r="F20" s="58">
        <f t="shared" si="1"/>
        <v>10</v>
      </c>
      <c r="G20" s="58">
        <f t="shared" si="0"/>
        <v>10</v>
      </c>
    </row>
    <row r="21" spans="2:7">
      <c r="B21" s="12">
        <f t="shared" si="2"/>
        <v>17</v>
      </c>
      <c r="C21" s="21" t="s">
        <v>127</v>
      </c>
      <c r="D21" s="22" t="s">
        <v>15</v>
      </c>
      <c r="E21" s="23" t="s">
        <v>111</v>
      </c>
      <c r="F21" s="58">
        <f t="shared" si="1"/>
        <v>10</v>
      </c>
      <c r="G21" s="58">
        <f t="shared" si="0"/>
        <v>10</v>
      </c>
    </row>
    <row r="22" spans="2:7">
      <c r="B22" s="12">
        <f t="shared" si="2"/>
        <v>18</v>
      </c>
      <c r="C22" s="21" t="s">
        <v>128</v>
      </c>
      <c r="D22" s="22" t="s">
        <v>15</v>
      </c>
      <c r="E22" s="23" t="s">
        <v>111</v>
      </c>
      <c r="F22" s="58">
        <f t="shared" si="1"/>
        <v>10</v>
      </c>
      <c r="G22" s="58">
        <f t="shared" si="0"/>
        <v>10</v>
      </c>
    </row>
    <row r="23" spans="2:7">
      <c r="B23" s="12">
        <f t="shared" si="2"/>
        <v>19</v>
      </c>
      <c r="C23" s="21" t="s">
        <v>129</v>
      </c>
      <c r="D23" s="22" t="s">
        <v>15</v>
      </c>
      <c r="E23" s="23" t="s">
        <v>111</v>
      </c>
      <c r="F23" s="58">
        <f t="shared" si="1"/>
        <v>10</v>
      </c>
      <c r="G23" s="58">
        <f t="shared" si="0"/>
        <v>10</v>
      </c>
    </row>
    <row r="24" spans="2:7">
      <c r="B24" s="12">
        <f t="shared" si="2"/>
        <v>20</v>
      </c>
      <c r="C24" s="21" t="s">
        <v>130</v>
      </c>
      <c r="D24" s="22" t="s">
        <v>17</v>
      </c>
      <c r="E24" s="23" t="s">
        <v>111</v>
      </c>
      <c r="F24" s="58">
        <f t="shared" si="1"/>
        <v>15</v>
      </c>
      <c r="G24" s="58">
        <f t="shared" si="0"/>
        <v>15</v>
      </c>
    </row>
    <row r="25" spans="2:7">
      <c r="B25" s="12">
        <f t="shared" si="2"/>
        <v>21</v>
      </c>
      <c r="C25" s="21" t="s">
        <v>131</v>
      </c>
      <c r="D25" s="22" t="s">
        <v>17</v>
      </c>
      <c r="E25" s="23" t="s">
        <v>111</v>
      </c>
      <c r="F25" s="58">
        <f t="shared" si="1"/>
        <v>15</v>
      </c>
      <c r="G25" s="58">
        <f t="shared" si="0"/>
        <v>15</v>
      </c>
    </row>
    <row r="26" spans="2:7">
      <c r="B26" s="12">
        <f t="shared" si="2"/>
        <v>22</v>
      </c>
      <c r="C26" s="21" t="s">
        <v>132</v>
      </c>
      <c r="D26" s="22" t="s">
        <v>15</v>
      </c>
      <c r="E26" s="23" t="s">
        <v>111</v>
      </c>
      <c r="F26" s="58">
        <f t="shared" si="1"/>
        <v>10</v>
      </c>
      <c r="G26" s="58">
        <f t="shared" si="0"/>
        <v>10</v>
      </c>
    </row>
    <row r="27" spans="2:7">
      <c r="B27" s="12">
        <f t="shared" si="2"/>
        <v>23</v>
      </c>
      <c r="C27" s="21" t="s">
        <v>133</v>
      </c>
      <c r="D27" s="22" t="s">
        <v>15</v>
      </c>
      <c r="E27" s="23" t="s">
        <v>111</v>
      </c>
      <c r="F27" s="58">
        <f t="shared" si="1"/>
        <v>10</v>
      </c>
      <c r="G27" s="58">
        <f t="shared" si="0"/>
        <v>10</v>
      </c>
    </row>
    <row r="28" spans="2:7">
      <c r="B28" s="12">
        <f t="shared" si="2"/>
        <v>24</v>
      </c>
      <c r="C28" s="21" t="s">
        <v>134</v>
      </c>
      <c r="D28" s="22" t="s">
        <v>15</v>
      </c>
      <c r="E28" s="23" t="s">
        <v>111</v>
      </c>
      <c r="F28" s="58">
        <f t="shared" si="1"/>
        <v>10</v>
      </c>
      <c r="G28" s="58">
        <f t="shared" si="0"/>
        <v>10</v>
      </c>
    </row>
    <row r="29" spans="2:7">
      <c r="B29" s="12">
        <f t="shared" si="2"/>
        <v>25</v>
      </c>
      <c r="C29" s="21" t="s">
        <v>135</v>
      </c>
      <c r="D29" s="22" t="s">
        <v>15</v>
      </c>
      <c r="E29" s="23" t="s">
        <v>111</v>
      </c>
      <c r="F29" s="58">
        <f t="shared" si="1"/>
        <v>10</v>
      </c>
      <c r="G29" s="58">
        <f t="shared" si="0"/>
        <v>10</v>
      </c>
    </row>
    <row r="30" spans="2:7">
      <c r="B30" s="12">
        <f t="shared" si="2"/>
        <v>26</v>
      </c>
      <c r="C30" s="21" t="s">
        <v>136</v>
      </c>
      <c r="D30" s="22" t="s">
        <v>15</v>
      </c>
      <c r="E30" s="23" t="s">
        <v>111</v>
      </c>
      <c r="F30" s="58">
        <f t="shared" si="1"/>
        <v>10</v>
      </c>
      <c r="G30" s="58">
        <f t="shared" si="0"/>
        <v>10</v>
      </c>
    </row>
    <row r="31" spans="2:7">
      <c r="B31" s="12">
        <f t="shared" si="2"/>
        <v>27</v>
      </c>
      <c r="C31" s="186" t="s">
        <v>137</v>
      </c>
      <c r="D31" s="22" t="s">
        <v>15</v>
      </c>
      <c r="E31" s="23" t="s">
        <v>111</v>
      </c>
      <c r="F31" s="58">
        <f t="shared" si="1"/>
        <v>10</v>
      </c>
      <c r="G31" s="58">
        <f t="shared" si="0"/>
        <v>10</v>
      </c>
    </row>
    <row r="34" ht="15"/>
    <row r="35" ht="15"/>
    <row r="36" ht="15"/>
    <row r="37" ht="15"/>
    <row r="38" ht="15"/>
    <row r="39" ht="15"/>
    <row r="40" ht="15"/>
  </sheetData>
  <mergeCells count="1">
    <mergeCell ref="B2:G2"/>
  </mergeCells>
  <phoneticPr fontId="0" type="noConversion"/>
  <dataValidations count="2">
    <dataValidation type="list" allowBlank="1" showInputMessage="1" showErrorMessage="1" sqref="D5:D31" xr:uid="{00000000-0002-0000-0300-000000000000}">
      <formula1>"Simple,Promedio,Complejo"</formula1>
    </dataValidation>
    <dataValidation type="list" allowBlank="1" showInputMessage="1" showErrorMessage="1" sqref="E5:E31" xr:uid="{00000000-0002-0000-0300-000001000000}">
      <formula1>"Si,No"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3"/>
  <sheetViews>
    <sheetView showGridLines="0" topLeftCell="G9" zoomScale="85" zoomScaleNormal="85" workbookViewId="0">
      <selection activeCell="G10" sqref="G10"/>
    </sheetView>
  </sheetViews>
  <sheetFormatPr defaultColWidth="11.42578125" defaultRowHeight="14.45"/>
  <cols>
    <col min="1" max="1" width="3.140625" style="11" customWidth="1"/>
    <col min="2" max="2" width="7.28515625" style="13" bestFit="1" customWidth="1"/>
    <col min="3" max="3" width="60.5703125" style="11" customWidth="1"/>
    <col min="4" max="4" width="10.28515625" style="13" bestFit="1" customWidth="1"/>
    <col min="5" max="5" width="26.7109375" style="13" customWidth="1"/>
    <col min="6" max="6" width="22.42578125" style="13" bestFit="1" customWidth="1"/>
    <col min="7" max="7" width="42.7109375" style="11" bestFit="1" customWidth="1"/>
    <col min="8" max="8" width="19" style="11" customWidth="1"/>
    <col min="9" max="9" width="27.28515625" style="11" bestFit="1" customWidth="1"/>
    <col min="10" max="11" width="12" style="11" bestFit="1" customWidth="1"/>
    <col min="12" max="16384" width="11.42578125" style="11"/>
  </cols>
  <sheetData>
    <row r="1" spans="2:14" ht="36" customHeight="1">
      <c r="B1" s="24"/>
      <c r="C1" s="24"/>
      <c r="D1" s="24"/>
      <c r="E1" s="11"/>
      <c r="F1" s="11"/>
      <c r="G1" s="120"/>
      <c r="H1" s="120"/>
      <c r="I1" s="120"/>
      <c r="J1" s="24"/>
      <c r="K1" s="24"/>
      <c r="L1" s="24"/>
      <c r="M1" s="24"/>
      <c r="N1" s="25"/>
    </row>
    <row r="2" spans="2:14" ht="15.6">
      <c r="B2" s="24"/>
      <c r="C2" s="138" t="s">
        <v>138</v>
      </c>
      <c r="D2" s="150">
        <v>6</v>
      </c>
      <c r="E2" s="215" t="s">
        <v>139</v>
      </c>
      <c r="F2" s="215"/>
      <c r="G2" s="120"/>
      <c r="H2" s="120"/>
      <c r="I2" s="120"/>
      <c r="J2" s="24"/>
      <c r="K2" s="24"/>
      <c r="L2" s="24"/>
      <c r="M2" s="24"/>
      <c r="N2" s="25"/>
    </row>
    <row r="3" spans="2:14">
      <c r="B3" s="24"/>
      <c r="C3" s="138" t="s">
        <v>140</v>
      </c>
      <c r="D3" s="144">
        <v>5</v>
      </c>
      <c r="E3" s="138" t="s">
        <v>141</v>
      </c>
      <c r="F3" s="151">
        <f>ROUNDUP(E7/D2,0)</f>
        <v>198</v>
      </c>
      <c r="G3" s="120"/>
      <c r="H3" s="120"/>
      <c r="I3" s="120"/>
      <c r="J3" s="24"/>
      <c r="K3" s="24"/>
      <c r="L3" s="24"/>
      <c r="M3" s="24"/>
      <c r="N3" s="25"/>
    </row>
    <row r="4" spans="2:14" ht="15" customHeight="1">
      <c r="B4" s="24"/>
      <c r="C4" s="138" t="s">
        <v>142</v>
      </c>
      <c r="D4" s="144">
        <f>'Factor de complejidad Téc y Amb'!C42</f>
        <v>4</v>
      </c>
      <c r="E4" s="138" t="s">
        <v>143</v>
      </c>
      <c r="F4" s="150">
        <f>F3/D3</f>
        <v>39.6</v>
      </c>
      <c r="G4" s="120"/>
      <c r="H4" s="159"/>
      <c r="I4" s="120"/>
      <c r="J4" s="24"/>
      <c r="K4" s="24"/>
      <c r="L4" s="24"/>
      <c r="M4" s="24"/>
      <c r="N4" s="25"/>
    </row>
    <row r="5" spans="2:14" ht="15" customHeight="1">
      <c r="B5" s="24"/>
      <c r="C5" s="138" t="s">
        <v>144</v>
      </c>
      <c r="D5" s="145">
        <f>'Estimación de Tamaño UCP'!G3</f>
        <v>197.63499999999996</v>
      </c>
      <c r="E5" s="138" t="s">
        <v>145</v>
      </c>
      <c r="F5" s="150">
        <f>F4/4</f>
        <v>9.9</v>
      </c>
      <c r="G5" s="120"/>
      <c r="H5" s="120"/>
      <c r="I5" s="120"/>
      <c r="J5" s="24"/>
      <c r="K5" s="24"/>
      <c r="L5" s="24"/>
      <c r="M5" s="24"/>
      <c r="N5" s="25"/>
    </row>
    <row r="6" spans="2:14" ht="25.9">
      <c r="B6" s="218" t="s">
        <v>146</v>
      </c>
      <c r="C6" s="219"/>
      <c r="D6" s="219"/>
      <c r="E6" s="219"/>
      <c r="F6" s="219"/>
      <c r="G6" s="219"/>
      <c r="H6" s="219"/>
      <c r="I6" s="219"/>
    </row>
    <row r="7" spans="2:14" ht="21">
      <c r="B7" s="59"/>
      <c r="C7" s="60"/>
      <c r="D7" s="60"/>
      <c r="E7" s="114">
        <f>SUM(E9+E15+E27+E37+E43+E31)</f>
        <v>1185.8099999999997</v>
      </c>
      <c r="F7" s="169" t="s">
        <v>147</v>
      </c>
      <c r="G7" s="59"/>
      <c r="H7" s="59"/>
      <c r="I7" s="59"/>
    </row>
    <row r="8" spans="2:14" ht="15.6">
      <c r="B8" s="61" t="s">
        <v>104</v>
      </c>
      <c r="C8" s="62" t="s">
        <v>148</v>
      </c>
      <c r="D8" s="61" t="s">
        <v>149</v>
      </c>
      <c r="E8" s="163" t="s">
        <v>150</v>
      </c>
      <c r="F8" s="61" t="s">
        <v>151</v>
      </c>
      <c r="G8" s="115" t="s">
        <v>152</v>
      </c>
      <c r="H8" s="116"/>
      <c r="I8" s="141" t="s">
        <v>153</v>
      </c>
    </row>
    <row r="9" spans="2:14" ht="15.6">
      <c r="B9" s="74">
        <v>1</v>
      </c>
      <c r="C9" s="77" t="s">
        <v>154</v>
      </c>
      <c r="D9" s="154">
        <v>0.05</v>
      </c>
      <c r="E9" s="164">
        <f>$E$31*D9</f>
        <v>39.526999999999994</v>
      </c>
      <c r="F9" s="88">
        <v>1</v>
      </c>
      <c r="G9" s="146" t="s">
        <v>155</v>
      </c>
      <c r="H9" s="172"/>
      <c r="I9" s="172">
        <f>SUM(I10:I14)</f>
        <v>3379.2345081967205</v>
      </c>
    </row>
    <row r="10" spans="2:14" ht="15.6">
      <c r="B10" s="63">
        <v>1.1000000000000001</v>
      </c>
      <c r="C10" s="142" t="s">
        <v>156</v>
      </c>
      <c r="D10" s="160">
        <v>0.1</v>
      </c>
      <c r="E10" s="165">
        <f>$E$9*D10</f>
        <v>3.9526999999999997</v>
      </c>
      <c r="F10" s="63">
        <v>1</v>
      </c>
      <c r="G10" s="117" t="s">
        <v>157</v>
      </c>
      <c r="H10" s="170">
        <f>VLOOKUP(G10,Recursos!$B$3:$E$10,4,0)</f>
        <v>57.991803278688522</v>
      </c>
      <c r="I10" s="171">
        <f t="shared" ref="I10:I14" si="0">E10*H10*F10</f>
        <v>229.22420081967209</v>
      </c>
    </row>
    <row r="11" spans="2:14" ht="15.6">
      <c r="B11" s="63">
        <v>1.2</v>
      </c>
      <c r="C11" s="142" t="s">
        <v>158</v>
      </c>
      <c r="D11" s="160">
        <v>0.3</v>
      </c>
      <c r="E11" s="165">
        <f t="shared" ref="E11" si="1">$E$9*D11</f>
        <v>11.858099999999999</v>
      </c>
      <c r="F11" s="63">
        <v>1</v>
      </c>
      <c r="G11" s="117" t="s">
        <v>159</v>
      </c>
      <c r="H11" s="170">
        <f>VLOOKUP(G11,Recursos!$B$3:$E$10,4,0)</f>
        <v>82.991803278688522</v>
      </c>
      <c r="I11" s="171">
        <f t="shared" si="0"/>
        <v>984.12510245901626</v>
      </c>
    </row>
    <row r="12" spans="2:14" ht="15.6">
      <c r="B12" s="63">
        <v>1.3</v>
      </c>
      <c r="C12" s="142" t="s">
        <v>160</v>
      </c>
      <c r="D12" s="160">
        <v>0.4</v>
      </c>
      <c r="E12" s="165">
        <f t="shared" ref="E12:E14" si="2">$E$9*D12</f>
        <v>15.810799999999999</v>
      </c>
      <c r="F12" s="63">
        <v>1</v>
      </c>
      <c r="G12" s="117" t="s">
        <v>159</v>
      </c>
      <c r="H12" s="170">
        <f>VLOOKUP(G12,Recursos!$B$3:$E$10,4,0)</f>
        <v>82.991803278688522</v>
      </c>
      <c r="I12" s="171">
        <f t="shared" si="0"/>
        <v>1312.1668032786883</v>
      </c>
    </row>
    <row r="13" spans="2:14" ht="15.6">
      <c r="B13" s="153">
        <v>1.4</v>
      </c>
      <c r="C13" s="142" t="s">
        <v>161</v>
      </c>
      <c r="D13" s="160">
        <v>0.1</v>
      </c>
      <c r="E13" s="165">
        <f t="shared" si="2"/>
        <v>3.9526999999999997</v>
      </c>
      <c r="F13" s="63">
        <v>1</v>
      </c>
      <c r="G13" s="117" t="s">
        <v>159</v>
      </c>
      <c r="H13" s="170">
        <f>VLOOKUP(G13,Recursos!$B$3:$E$10,4,0)</f>
        <v>82.991803278688522</v>
      </c>
      <c r="I13" s="171">
        <f t="shared" si="0"/>
        <v>328.04170081967209</v>
      </c>
    </row>
    <row r="14" spans="2:14" ht="15.6">
      <c r="B14" s="153">
        <v>1.5</v>
      </c>
      <c r="C14" s="142" t="s">
        <v>162</v>
      </c>
      <c r="D14" s="160">
        <v>0.1</v>
      </c>
      <c r="E14" s="165">
        <f t="shared" si="2"/>
        <v>3.9526999999999997</v>
      </c>
      <c r="F14" s="63">
        <v>1</v>
      </c>
      <c r="G14" s="117" t="s">
        <v>163</v>
      </c>
      <c r="H14" s="170">
        <f>VLOOKUP(G14,Recursos!$B$3:$E$10,4,0)</f>
        <v>132.99180327868854</v>
      </c>
      <c r="I14" s="171">
        <f t="shared" si="0"/>
        <v>525.67670081967208</v>
      </c>
    </row>
    <row r="15" spans="2:14" ht="15.6">
      <c r="B15" s="74">
        <v>2</v>
      </c>
      <c r="C15" s="77" t="s">
        <v>164</v>
      </c>
      <c r="D15" s="154">
        <v>0.15</v>
      </c>
      <c r="E15" s="164">
        <f>$E$31*D15</f>
        <v>118.58099999999997</v>
      </c>
      <c r="F15" s="88">
        <v>1</v>
      </c>
      <c r="G15" s="146" t="s">
        <v>165</v>
      </c>
      <c r="H15" s="172"/>
      <c r="I15" s="172">
        <f>SUM(I16:I26)</f>
        <v>16801.809928278682</v>
      </c>
    </row>
    <row r="16" spans="2:14" ht="15.6">
      <c r="B16" s="63">
        <v>2.1</v>
      </c>
      <c r="C16" s="142" t="s">
        <v>166</v>
      </c>
      <c r="D16" s="161">
        <v>0.15</v>
      </c>
      <c r="E16" s="165">
        <f>$E$15*D16</f>
        <v>17.787149999999997</v>
      </c>
      <c r="F16" s="63">
        <v>1</v>
      </c>
      <c r="G16" s="117" t="s">
        <v>163</v>
      </c>
      <c r="H16" s="170">
        <f>VLOOKUP(G16,Recursos!$B$3:$E$10,4,0)</f>
        <v>132.99180327868854</v>
      </c>
      <c r="I16" s="171">
        <f t="shared" ref="I16:I26" si="3">E16*H16*F16</f>
        <v>2365.5451536885244</v>
      </c>
    </row>
    <row r="17" spans="2:9" ht="15.6">
      <c r="B17" s="63">
        <v>2.2000000000000002</v>
      </c>
      <c r="C17" s="142" t="s">
        <v>167</v>
      </c>
      <c r="D17" s="161">
        <v>0.15</v>
      </c>
      <c r="E17" s="165">
        <f>$E$15*D17</f>
        <v>17.787149999999997</v>
      </c>
      <c r="F17" s="63">
        <v>1</v>
      </c>
      <c r="G17" s="117" t="s">
        <v>163</v>
      </c>
      <c r="H17" s="170">
        <f>VLOOKUP(G17,Recursos!$B$3:$E$10,4,0)</f>
        <v>132.99180327868854</v>
      </c>
      <c r="I17" s="171">
        <f t="shared" si="3"/>
        <v>2365.5451536885244</v>
      </c>
    </row>
    <row r="18" spans="2:9" ht="15.6">
      <c r="B18" s="63">
        <v>2.2999999999999998</v>
      </c>
      <c r="C18" s="142" t="s">
        <v>168</v>
      </c>
      <c r="D18" s="161">
        <v>0.15</v>
      </c>
      <c r="E18" s="165">
        <f t="shared" ref="E18:E22" si="4">$E$15*D18</f>
        <v>17.787149999999997</v>
      </c>
      <c r="F18" s="63">
        <v>1</v>
      </c>
      <c r="G18" s="117" t="s">
        <v>163</v>
      </c>
      <c r="H18" s="170">
        <f>VLOOKUP(G18,Recursos!$B$3:$E$10,4,0)</f>
        <v>132.99180327868854</v>
      </c>
      <c r="I18" s="171">
        <f t="shared" si="3"/>
        <v>2365.5451536885244</v>
      </c>
    </row>
    <row r="19" spans="2:9" ht="15.6">
      <c r="B19" s="63">
        <v>2.4</v>
      </c>
      <c r="C19" s="142" t="s">
        <v>169</v>
      </c>
      <c r="D19" s="161">
        <v>0.05</v>
      </c>
      <c r="E19" s="165">
        <f t="shared" si="4"/>
        <v>5.9290499999999993</v>
      </c>
      <c r="F19" s="63">
        <v>1</v>
      </c>
      <c r="G19" s="117" t="s">
        <v>163</v>
      </c>
      <c r="H19" s="170">
        <f>VLOOKUP(G19,Recursos!$B$3:$E$10,4,0)</f>
        <v>132.99180327868854</v>
      </c>
      <c r="I19" s="171">
        <f t="shared" ref="I19:I20" si="5">E19*H19*F19</f>
        <v>788.51505122950812</v>
      </c>
    </row>
    <row r="20" spans="2:9" ht="15.6">
      <c r="B20" s="63">
        <v>2.5</v>
      </c>
      <c r="C20" s="142" t="s">
        <v>170</v>
      </c>
      <c r="D20" s="161">
        <v>0.1</v>
      </c>
      <c r="E20" s="165">
        <f t="shared" si="4"/>
        <v>11.858099999999999</v>
      </c>
      <c r="F20" s="63">
        <v>1</v>
      </c>
      <c r="G20" s="117" t="s">
        <v>163</v>
      </c>
      <c r="H20" s="170">
        <f>VLOOKUP(G20,Recursos!$B$3:$E$10,4,0)</f>
        <v>132.99180327868854</v>
      </c>
      <c r="I20" s="171">
        <f t="shared" si="5"/>
        <v>1577.0301024590162</v>
      </c>
    </row>
    <row r="21" spans="2:9" ht="15.6">
      <c r="B21" s="63">
        <v>2.6</v>
      </c>
      <c r="C21" s="142" t="s">
        <v>171</v>
      </c>
      <c r="D21" s="161">
        <v>0.05</v>
      </c>
      <c r="E21" s="165">
        <f t="shared" si="4"/>
        <v>5.9290499999999993</v>
      </c>
      <c r="F21" s="63">
        <v>1</v>
      </c>
      <c r="G21" s="117" t="s">
        <v>163</v>
      </c>
      <c r="H21" s="170">
        <f>VLOOKUP(G21,Recursos!$B$3:$E$10,4,0)</f>
        <v>132.99180327868854</v>
      </c>
      <c r="I21" s="171">
        <f t="shared" si="3"/>
        <v>788.51505122950812</v>
      </c>
    </row>
    <row r="22" spans="2:9" ht="15.6">
      <c r="B22" s="63">
        <v>2.7</v>
      </c>
      <c r="C22" s="142" t="s">
        <v>172</v>
      </c>
      <c r="D22" s="161">
        <v>0.1</v>
      </c>
      <c r="E22" s="165">
        <f t="shared" si="4"/>
        <v>11.858099999999999</v>
      </c>
      <c r="F22" s="63">
        <v>1</v>
      </c>
      <c r="G22" s="117" t="s">
        <v>159</v>
      </c>
      <c r="H22" s="170">
        <f>VLOOKUP(G22,Recursos!$B$3:$E$10,4,0)</f>
        <v>82.991803278688522</v>
      </c>
      <c r="I22" s="171">
        <f t="shared" si="3"/>
        <v>984.12510245901626</v>
      </c>
    </row>
    <row r="23" spans="2:9" ht="15.6">
      <c r="B23" s="63">
        <v>2.8</v>
      </c>
      <c r="C23" s="142" t="s">
        <v>173</v>
      </c>
      <c r="D23" s="161">
        <v>0.1</v>
      </c>
      <c r="E23" s="165">
        <f t="shared" ref="E23:E26" si="6">$E$15*D23</f>
        <v>11.858099999999999</v>
      </c>
      <c r="F23" s="63">
        <v>1</v>
      </c>
      <c r="G23" s="117" t="s">
        <v>163</v>
      </c>
      <c r="H23" s="170">
        <f>VLOOKUP(G23,Recursos!$B$3:$E$10,4,0)</f>
        <v>132.99180327868854</v>
      </c>
      <c r="I23" s="171">
        <f t="shared" si="3"/>
        <v>1577.0301024590162</v>
      </c>
    </row>
    <row r="24" spans="2:9" ht="15.6">
      <c r="B24" s="63">
        <v>2.9</v>
      </c>
      <c r="C24" s="142" t="s">
        <v>174</v>
      </c>
      <c r="D24" s="161">
        <v>0.05</v>
      </c>
      <c r="E24" s="165">
        <f t="shared" si="6"/>
        <v>5.9290499999999993</v>
      </c>
      <c r="F24" s="63">
        <v>1</v>
      </c>
      <c r="G24" s="117" t="s">
        <v>163</v>
      </c>
      <c r="H24" s="170">
        <f>VLOOKUP(G24,Recursos!$B$3:$E$10,4,0)</f>
        <v>132.99180327868854</v>
      </c>
      <c r="I24" s="171">
        <f t="shared" si="3"/>
        <v>788.51505122950812</v>
      </c>
    </row>
    <row r="25" spans="2:9" ht="15.6">
      <c r="B25" s="65">
        <v>2.1</v>
      </c>
      <c r="C25" s="142" t="s">
        <v>175</v>
      </c>
      <c r="D25" s="161">
        <v>0.05</v>
      </c>
      <c r="E25" s="165">
        <f t="shared" si="6"/>
        <v>5.9290499999999993</v>
      </c>
      <c r="F25" s="63">
        <v>1</v>
      </c>
      <c r="G25" s="117" t="s">
        <v>163</v>
      </c>
      <c r="H25" s="170">
        <f>VLOOKUP(G25,Recursos!$B$3:$E$10,4,0)</f>
        <v>132.99180327868854</v>
      </c>
      <c r="I25" s="171">
        <f t="shared" si="3"/>
        <v>788.51505122950812</v>
      </c>
    </row>
    <row r="26" spans="2:9" ht="15.6">
      <c r="B26" s="65">
        <v>2.11</v>
      </c>
      <c r="C26" s="142" t="s">
        <v>176</v>
      </c>
      <c r="D26" s="161">
        <v>0.05</v>
      </c>
      <c r="E26" s="165">
        <f t="shared" si="6"/>
        <v>5.9290499999999993</v>
      </c>
      <c r="F26" s="63">
        <v>4</v>
      </c>
      <c r="G26" s="117" t="s">
        <v>177</v>
      </c>
      <c r="H26" s="170">
        <f>VLOOKUP(G26,Recursos!$B$3:$E$10,4,0)</f>
        <v>101.74180327868852</v>
      </c>
      <c r="I26" s="171">
        <f t="shared" si="3"/>
        <v>2412.9289549180326</v>
      </c>
    </row>
    <row r="27" spans="2:9" ht="15.6">
      <c r="B27" s="74">
        <v>3</v>
      </c>
      <c r="C27" s="77" t="s">
        <v>178</v>
      </c>
      <c r="D27" s="154">
        <v>0.1</v>
      </c>
      <c r="E27" s="164">
        <f>$E$31*D27</f>
        <v>79.053999999999988</v>
      </c>
      <c r="F27" s="88">
        <v>1</v>
      </c>
      <c r="G27" s="146" t="s">
        <v>179</v>
      </c>
      <c r="H27" s="172"/>
      <c r="I27" s="172">
        <f>SUM(I28:I36)</f>
        <v>336957.95524590154</v>
      </c>
    </row>
    <row r="28" spans="2:9" ht="15.6">
      <c r="B28" s="63">
        <v>3.1</v>
      </c>
      <c r="C28" s="142" t="s">
        <v>180</v>
      </c>
      <c r="D28" s="161">
        <v>0.1</v>
      </c>
      <c r="E28" s="165">
        <f>$E$27*D28</f>
        <v>7.9053999999999993</v>
      </c>
      <c r="F28" s="76">
        <v>1</v>
      </c>
      <c r="G28" s="117" t="s">
        <v>159</v>
      </c>
      <c r="H28" s="170">
        <f>VLOOKUP(G28,Recursos!$B$3:$E$10,4,0)</f>
        <v>82.991803278688522</v>
      </c>
      <c r="I28" s="171">
        <f t="shared" ref="I28:I36" si="7">E28*H28*F28</f>
        <v>656.08340163934417</v>
      </c>
    </row>
    <row r="29" spans="2:9" ht="15.6">
      <c r="B29" s="63">
        <v>3.2</v>
      </c>
      <c r="C29" s="142" t="s">
        <v>181</v>
      </c>
      <c r="D29" s="161">
        <v>0.1</v>
      </c>
      <c r="E29" s="165">
        <f>$E$27*D29</f>
        <v>7.9053999999999993</v>
      </c>
      <c r="F29" s="76">
        <v>1</v>
      </c>
      <c r="G29" s="117" t="s">
        <v>182</v>
      </c>
      <c r="H29" s="170">
        <f>VLOOKUP(G29,Recursos!$B$3:$E$10,4,0)</f>
        <v>39.241803278688522</v>
      </c>
      <c r="I29" s="171">
        <f t="shared" si="7"/>
        <v>310.22215163934419</v>
      </c>
    </row>
    <row r="30" spans="2:9" ht="15.6">
      <c r="B30" s="63">
        <v>3.5</v>
      </c>
      <c r="C30" s="142" t="s">
        <v>183</v>
      </c>
      <c r="D30" s="161">
        <v>0.05</v>
      </c>
      <c r="E30" s="165">
        <f>$E$27*D30</f>
        <v>3.9526999999999997</v>
      </c>
      <c r="F30" s="76">
        <v>1</v>
      </c>
      <c r="G30" s="117" t="s">
        <v>163</v>
      </c>
      <c r="H30" s="170">
        <f>VLOOKUP(G30,Recursos!$B$3:$E$10,4,0)</f>
        <v>132.99180327868854</v>
      </c>
      <c r="I30" s="171">
        <f t="shared" si="7"/>
        <v>525.67670081967208</v>
      </c>
    </row>
    <row r="31" spans="2:9" s="137" customFormat="1" ht="15.6">
      <c r="B31" s="63">
        <v>3.6</v>
      </c>
      <c r="C31" s="143" t="s">
        <v>184</v>
      </c>
      <c r="D31" s="161"/>
      <c r="E31" s="168">
        <f>D4*D5</f>
        <v>790.53999999999985</v>
      </c>
      <c r="F31" s="76">
        <v>4</v>
      </c>
      <c r="G31" s="117" t="s">
        <v>177</v>
      </c>
      <c r="H31" s="170">
        <f>VLOOKUP(G31,Recursos!$B$3:$E$10,4,0)</f>
        <v>101.74180327868852</v>
      </c>
      <c r="I31" s="171">
        <f t="shared" si="7"/>
        <v>321723.86065573763</v>
      </c>
    </row>
    <row r="32" spans="2:9" ht="15.6">
      <c r="B32" s="63">
        <v>3.7</v>
      </c>
      <c r="C32" s="142" t="s">
        <v>185</v>
      </c>
      <c r="D32" s="161">
        <v>0.15</v>
      </c>
      <c r="E32" s="165">
        <f>$E$27*D32</f>
        <v>11.858099999999999</v>
      </c>
      <c r="F32" s="76">
        <v>4</v>
      </c>
      <c r="G32" s="117" t="s">
        <v>177</v>
      </c>
      <c r="H32" s="170">
        <f>VLOOKUP(G32,Recursos!$B$3:$E$10,4,0)</f>
        <v>101.74180327868852</v>
      </c>
      <c r="I32" s="171">
        <f t="shared" si="7"/>
        <v>4825.8579098360651</v>
      </c>
    </row>
    <row r="33" spans="2:11" ht="15.6">
      <c r="B33" s="63">
        <v>3.9</v>
      </c>
      <c r="C33" s="142" t="s">
        <v>186</v>
      </c>
      <c r="D33" s="161">
        <v>0.15</v>
      </c>
      <c r="E33" s="165">
        <f>$E$27*D33</f>
        <v>11.858099999999999</v>
      </c>
      <c r="F33" s="76">
        <v>4</v>
      </c>
      <c r="G33" s="117" t="s">
        <v>177</v>
      </c>
      <c r="H33" s="170">
        <f>VLOOKUP(G33,Recursos!$B$3:$E$10,4,0)</f>
        <v>101.74180327868852</v>
      </c>
      <c r="I33" s="171">
        <f t="shared" si="7"/>
        <v>4825.8579098360651</v>
      </c>
    </row>
    <row r="34" spans="2:11" ht="15.6">
      <c r="B34" s="65">
        <v>3.1</v>
      </c>
      <c r="C34" s="142" t="s">
        <v>187</v>
      </c>
      <c r="D34" s="161">
        <v>0.2</v>
      </c>
      <c r="E34" s="165">
        <f>$E$27*D34</f>
        <v>15.810799999999999</v>
      </c>
      <c r="F34" s="76">
        <v>2</v>
      </c>
      <c r="G34" s="117" t="s">
        <v>182</v>
      </c>
      <c r="H34" s="170">
        <f>VLOOKUP(G34,Recursos!$B$3:$E$10,4,0)</f>
        <v>39.241803278688522</v>
      </c>
      <c r="I34" s="171">
        <f t="shared" si="7"/>
        <v>1240.8886065573768</v>
      </c>
    </row>
    <row r="35" spans="2:11" ht="15.6">
      <c r="B35" s="65">
        <v>3.11</v>
      </c>
      <c r="C35" s="142" t="s">
        <v>188</v>
      </c>
      <c r="D35" s="161">
        <v>0.2</v>
      </c>
      <c r="E35" s="165">
        <f>$E$27*D35</f>
        <v>15.810799999999999</v>
      </c>
      <c r="F35" s="76">
        <v>2</v>
      </c>
      <c r="G35" s="117" t="s">
        <v>182</v>
      </c>
      <c r="H35" s="170">
        <f>VLOOKUP(G35,Recursos!$B$3:$E$10,4,0)</f>
        <v>39.241803278688522</v>
      </c>
      <c r="I35" s="171">
        <f t="shared" si="7"/>
        <v>1240.8886065573768</v>
      </c>
    </row>
    <row r="36" spans="2:11" ht="15.6">
      <c r="B36" s="65">
        <v>3.12</v>
      </c>
      <c r="C36" s="142" t="s">
        <v>189</v>
      </c>
      <c r="D36" s="161">
        <v>0.05</v>
      </c>
      <c r="E36" s="165">
        <f>$E$27*D36</f>
        <v>3.9526999999999997</v>
      </c>
      <c r="F36" s="76">
        <v>4</v>
      </c>
      <c r="G36" s="117" t="s">
        <v>177</v>
      </c>
      <c r="H36" s="170">
        <f>VLOOKUP(G36,Recursos!$B$3:$E$10,4,0)</f>
        <v>101.74180327868852</v>
      </c>
      <c r="I36" s="171">
        <f t="shared" si="7"/>
        <v>1608.6193032786884</v>
      </c>
    </row>
    <row r="37" spans="2:11" ht="15.6">
      <c r="B37" s="74">
        <v>4</v>
      </c>
      <c r="C37" s="77" t="s">
        <v>190</v>
      </c>
      <c r="D37" s="154">
        <v>0.1</v>
      </c>
      <c r="E37" s="164">
        <f>$E$31*D37</f>
        <v>79.053999999999988</v>
      </c>
      <c r="F37" s="88">
        <v>1</v>
      </c>
      <c r="G37" s="146" t="s">
        <v>191</v>
      </c>
      <c r="H37" s="172"/>
      <c r="I37" s="172">
        <f>SUM(I38:I42)</f>
        <v>11628.065819672131</v>
      </c>
    </row>
    <row r="38" spans="2:11" ht="15.6">
      <c r="B38" s="63">
        <v>4.0999999999999996</v>
      </c>
      <c r="C38" s="64" t="s">
        <v>192</v>
      </c>
      <c r="D38" s="161">
        <v>0.03</v>
      </c>
      <c r="E38" s="165">
        <f>$E$37*D38</f>
        <v>2.3716199999999996</v>
      </c>
      <c r="F38" s="76">
        <v>1</v>
      </c>
      <c r="G38" s="117" t="s">
        <v>163</v>
      </c>
      <c r="H38" s="170">
        <f>VLOOKUP(G38,Recursos!$B$3:$E$10,4,0)</f>
        <v>132.99180327868854</v>
      </c>
      <c r="I38" s="171">
        <f>E38*H38*F38</f>
        <v>315.40602049180325</v>
      </c>
    </row>
    <row r="39" spans="2:11" ht="15.6">
      <c r="B39" s="63">
        <v>4.2</v>
      </c>
      <c r="C39" s="64" t="s">
        <v>193</v>
      </c>
      <c r="D39" s="161">
        <v>0.15</v>
      </c>
      <c r="E39" s="165">
        <f t="shared" ref="E39:E42" si="8">$E$37*D39</f>
        <v>11.858099999999999</v>
      </c>
      <c r="F39" s="76">
        <v>1</v>
      </c>
      <c r="G39" s="117" t="s">
        <v>163</v>
      </c>
      <c r="H39" s="170">
        <f>VLOOKUP(G39,Recursos!$B$3:$E$10,4,0)</f>
        <v>132.99180327868854</v>
      </c>
      <c r="I39" s="171">
        <f>E39*H39*F39</f>
        <v>1577.0301024590162</v>
      </c>
    </row>
    <row r="40" spans="2:11" ht="15.6">
      <c r="B40" s="63">
        <v>4.3</v>
      </c>
      <c r="C40" s="64" t="s">
        <v>194</v>
      </c>
      <c r="D40" s="161">
        <v>0.2</v>
      </c>
      <c r="E40" s="165">
        <f t="shared" si="8"/>
        <v>15.810799999999999</v>
      </c>
      <c r="F40" s="76">
        <v>2</v>
      </c>
      <c r="G40" s="117" t="s">
        <v>177</v>
      </c>
      <c r="H40" s="170">
        <f>VLOOKUP(G40,Recursos!$B$3:$E$10,4,0)</f>
        <v>101.74180327868852</v>
      </c>
      <c r="I40" s="171">
        <f>E40*H40*F40</f>
        <v>3217.2386065573769</v>
      </c>
    </row>
    <row r="41" spans="2:11" ht="15.6">
      <c r="B41" s="63">
        <v>4.4000000000000004</v>
      </c>
      <c r="C41" s="64" t="s">
        <v>195</v>
      </c>
      <c r="D41" s="161">
        <v>0.02</v>
      </c>
      <c r="E41" s="165">
        <f t="shared" si="8"/>
        <v>1.5810799999999998</v>
      </c>
      <c r="F41" s="76">
        <v>1</v>
      </c>
      <c r="G41" s="117" t="s">
        <v>163</v>
      </c>
      <c r="H41" s="170">
        <f>VLOOKUP(G41,Recursos!$B$3:$E$10,4,0)</f>
        <v>132.99180327868854</v>
      </c>
      <c r="I41" s="171">
        <f t="shared" ref="I41:I42" si="9">E41*H41*F41</f>
        <v>210.27068032786886</v>
      </c>
    </row>
    <row r="42" spans="2:11" ht="15.6">
      <c r="B42" s="63">
        <v>4.5</v>
      </c>
      <c r="C42" s="64" t="s">
        <v>196</v>
      </c>
      <c r="D42" s="161">
        <v>0.6</v>
      </c>
      <c r="E42" s="165">
        <f t="shared" si="8"/>
        <v>47.432399999999994</v>
      </c>
      <c r="F42" s="76">
        <v>1</v>
      </c>
      <c r="G42" s="117" t="s">
        <v>163</v>
      </c>
      <c r="H42" s="170">
        <f>VLOOKUP(G42,Recursos!$B$3:$E$10,4,0)</f>
        <v>132.99180327868854</v>
      </c>
      <c r="I42" s="171">
        <f t="shared" si="9"/>
        <v>6308.1204098360649</v>
      </c>
    </row>
    <row r="43" spans="2:11" ht="15.6">
      <c r="B43" s="74">
        <v>5</v>
      </c>
      <c r="C43" s="77" t="s">
        <v>197</v>
      </c>
      <c r="D43" s="154">
        <v>0.1</v>
      </c>
      <c r="E43" s="164">
        <f>$E$31*D43</f>
        <v>79.053999999999988</v>
      </c>
      <c r="F43" s="88">
        <v>1</v>
      </c>
      <c r="G43" s="216" t="s">
        <v>198</v>
      </c>
      <c r="H43" s="217" t="s">
        <v>23</v>
      </c>
      <c r="I43" s="172">
        <f>SUM(I44:I47)</f>
        <v>6289.0858913934417</v>
      </c>
    </row>
    <row r="44" spans="2:11" ht="15.6">
      <c r="B44" s="140">
        <v>5.0999999999999996</v>
      </c>
      <c r="C44" s="142" t="s">
        <v>199</v>
      </c>
      <c r="D44" s="161">
        <v>0.15</v>
      </c>
      <c r="E44" s="166">
        <f>$E$43*D44</f>
        <v>11.858099999999999</v>
      </c>
      <c r="F44" s="155">
        <v>1</v>
      </c>
      <c r="G44" s="117" t="s">
        <v>200</v>
      </c>
      <c r="H44" s="173">
        <f>VLOOKUP(G44,Recursos!$B$3:$E$10,4,0)</f>
        <v>51.741803278688522</v>
      </c>
      <c r="I44" s="174">
        <f>E44*H44*F44</f>
        <v>613.55947745901631</v>
      </c>
    </row>
    <row r="45" spans="2:11" ht="15.6">
      <c r="B45" s="63">
        <v>5.2</v>
      </c>
      <c r="C45" s="142" t="s">
        <v>201</v>
      </c>
      <c r="D45" s="161">
        <v>0.25</v>
      </c>
      <c r="E45" s="166">
        <f t="shared" ref="E45:E47" si="10">$E$43*D45</f>
        <v>19.763499999999997</v>
      </c>
      <c r="F45" s="155">
        <v>1</v>
      </c>
      <c r="G45" s="117" t="s">
        <v>202</v>
      </c>
      <c r="H45" s="173">
        <f>VLOOKUP(G45,Recursos!$B$3:$E$10,4,0)</f>
        <v>57.991803278688522</v>
      </c>
      <c r="I45" s="174">
        <f>E45*H45*F45</f>
        <v>1146.1210040983603</v>
      </c>
    </row>
    <row r="46" spans="2:11" ht="15.6">
      <c r="B46" s="63">
        <v>5.3</v>
      </c>
      <c r="C46" s="142" t="s">
        <v>203</v>
      </c>
      <c r="D46" s="161">
        <v>0.3</v>
      </c>
      <c r="E46" s="166">
        <f t="shared" si="10"/>
        <v>23.716199999999997</v>
      </c>
      <c r="F46" s="155">
        <v>1</v>
      </c>
      <c r="G46" s="117" t="s">
        <v>204</v>
      </c>
      <c r="H46" s="173">
        <f>VLOOKUP(G46,Recursos!$B$3:$E$10,4,0)</f>
        <v>57.991803278688522</v>
      </c>
      <c r="I46" s="174">
        <f>E46*H46*F46</f>
        <v>1375.3452049180326</v>
      </c>
    </row>
    <row r="47" spans="2:11" ht="15.6">
      <c r="B47" s="139">
        <v>5.4</v>
      </c>
      <c r="C47" s="158" t="s">
        <v>205</v>
      </c>
      <c r="D47" s="162">
        <v>0.3</v>
      </c>
      <c r="E47" s="167">
        <f t="shared" si="10"/>
        <v>23.716199999999997</v>
      </c>
      <c r="F47" s="156">
        <v>1</v>
      </c>
      <c r="G47" s="157" t="s">
        <v>163</v>
      </c>
      <c r="H47" s="175">
        <f>VLOOKUP(G47,Recursos!$B$3:$E$10,4,0)</f>
        <v>132.99180327868854</v>
      </c>
      <c r="I47" s="176">
        <f>E47*H47*F47</f>
        <v>3154.0602049180325</v>
      </c>
    </row>
    <row r="48" spans="2:11" ht="63" customHeight="1">
      <c r="G48" s="220" t="s">
        <v>206</v>
      </c>
      <c r="H48" s="220"/>
      <c r="I48" s="177">
        <f>SUM(I43+I37+I27+I15+I9)</f>
        <v>375056.15139344247</v>
      </c>
      <c r="J48" s="89"/>
      <c r="K48" s="89"/>
    </row>
    <row r="49" spans="3:9" ht="18">
      <c r="C49" s="75"/>
      <c r="G49" s="179">
        <v>0.5</v>
      </c>
      <c r="H49" s="180" t="s">
        <v>207</v>
      </c>
      <c r="I49" s="181">
        <f>I48*G49</f>
        <v>187528.07569672124</v>
      </c>
    </row>
    <row r="50" spans="3:9" ht="18">
      <c r="C50" s="135"/>
      <c r="G50" s="182">
        <v>0.16</v>
      </c>
      <c r="H50" s="183" t="s">
        <v>208</v>
      </c>
      <c r="I50" s="184">
        <f>(SUM(I48:I49))*G50</f>
        <v>90013.476334426203</v>
      </c>
    </row>
    <row r="51" spans="3:9" ht="21" customHeight="1">
      <c r="G51" s="118" t="s">
        <v>23</v>
      </c>
      <c r="H51" s="185" t="s">
        <v>209</v>
      </c>
      <c r="I51" s="178">
        <f>SUM(I48:I50)</f>
        <v>652597.70342458994</v>
      </c>
    </row>
    <row r="52" spans="3:9">
      <c r="C52" s="20"/>
      <c r="G52" s="70" t="s">
        <v>23</v>
      </c>
    </row>
    <row r="53" spans="3:9">
      <c r="G53" s="70" t="s">
        <v>23</v>
      </c>
    </row>
  </sheetData>
  <mergeCells count="4">
    <mergeCell ref="E2:F2"/>
    <mergeCell ref="G43:H43"/>
    <mergeCell ref="B6:I6"/>
    <mergeCell ref="G48:H48"/>
  </mergeCells>
  <phoneticPr fontId="0" type="noConversion"/>
  <dataValidations count="1">
    <dataValidation type="whole" allowBlank="1" showInputMessage="1" showErrorMessage="1" sqref="F44:F47 F38:F42 F10:F14 F28:F36 F16:F26" xr:uid="{00000000-0002-0000-0400-000000000000}">
      <formula1>1</formula1>
      <formula2>10</formula2>
    </dataValidation>
  </dataValidations>
  <pageMargins left="0.78740157480314965" right="0.78740157480314965" top="0.39370078740157483" bottom="0.39370078740157483" header="0" footer="0"/>
  <pageSetup paperSize="9" orientation="landscape" r:id="rId1"/>
  <headerFooter alignWithMargins="0"/>
  <ignoredErrors>
    <ignoredError sqref="I27 I37 I43 I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Recursos!$B$3:$B$10</xm:f>
          </x14:formula1>
          <xm:sqref>G44:G47 G38:G42 G10:G14 G28:G36 G16:G26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2"/>
  <sheetViews>
    <sheetView topLeftCell="C1" zoomScaleNormal="100" workbookViewId="0">
      <selection activeCell="C24" sqref="C24"/>
    </sheetView>
  </sheetViews>
  <sheetFormatPr defaultColWidth="11.42578125" defaultRowHeight="13.15"/>
  <cols>
    <col min="2" max="2" width="28.85546875" bestFit="1" customWidth="1"/>
    <col min="3" max="3" width="22.7109375" bestFit="1" customWidth="1"/>
    <col min="4" max="4" width="18" bestFit="1" customWidth="1"/>
    <col min="5" max="5" width="22.42578125" bestFit="1" customWidth="1"/>
  </cols>
  <sheetData>
    <row r="1" spans="2:5" ht="36.75" customHeight="1" thickBot="1"/>
    <row r="2" spans="2:5">
      <c r="B2" s="80" t="s">
        <v>210</v>
      </c>
      <c r="C2" s="84" t="s">
        <v>211</v>
      </c>
      <c r="D2" s="81" t="s">
        <v>212</v>
      </c>
      <c r="E2" s="84" t="s">
        <v>213</v>
      </c>
    </row>
    <row r="3" spans="2:5">
      <c r="B3" s="82" t="s">
        <v>163</v>
      </c>
      <c r="C3" s="90">
        <v>20000</v>
      </c>
      <c r="D3" s="91">
        <f>C3/20/8</f>
        <v>125</v>
      </c>
      <c r="E3" s="90">
        <f>SUM(D3+E$22)</f>
        <v>132.99180327868854</v>
      </c>
    </row>
    <row r="4" spans="2:5">
      <c r="B4" s="82" t="s">
        <v>159</v>
      </c>
      <c r="C4" s="90">
        <v>12000</v>
      </c>
      <c r="D4" s="91">
        <f t="shared" ref="D4:D9" si="0">C4/20/8</f>
        <v>75</v>
      </c>
      <c r="E4" s="90">
        <f t="shared" ref="E4:E8" si="1">SUM(D4+E$22)</f>
        <v>82.991803278688522</v>
      </c>
    </row>
    <row r="5" spans="2:5">
      <c r="B5" s="82" t="s">
        <v>157</v>
      </c>
      <c r="C5" s="90">
        <v>8000</v>
      </c>
      <c r="D5" s="91">
        <f t="shared" si="0"/>
        <v>50</v>
      </c>
      <c r="E5" s="90">
        <f t="shared" si="1"/>
        <v>57.991803278688522</v>
      </c>
    </row>
    <row r="6" spans="2:5">
      <c r="B6" s="82" t="s">
        <v>182</v>
      </c>
      <c r="C6" s="90">
        <v>5000</v>
      </c>
      <c r="D6" s="91">
        <f t="shared" si="0"/>
        <v>31.25</v>
      </c>
      <c r="E6" s="90">
        <f t="shared" si="1"/>
        <v>39.241803278688522</v>
      </c>
    </row>
    <row r="7" spans="2:5">
      <c r="B7" s="82" t="s">
        <v>177</v>
      </c>
      <c r="C7" s="90">
        <v>15000</v>
      </c>
      <c r="D7" s="91">
        <f t="shared" si="0"/>
        <v>93.75</v>
      </c>
      <c r="E7" s="90">
        <f t="shared" si="1"/>
        <v>101.74180327868852</v>
      </c>
    </row>
    <row r="8" spans="2:5">
      <c r="B8" s="82" t="s">
        <v>202</v>
      </c>
      <c r="C8" s="90">
        <v>8000</v>
      </c>
      <c r="D8" s="91">
        <f t="shared" si="0"/>
        <v>50</v>
      </c>
      <c r="E8" s="90">
        <f t="shared" si="1"/>
        <v>57.991803278688522</v>
      </c>
    </row>
    <row r="9" spans="2:5">
      <c r="B9" s="82" t="s">
        <v>200</v>
      </c>
      <c r="C9" s="90">
        <v>7000</v>
      </c>
      <c r="D9" s="91">
        <f t="shared" si="0"/>
        <v>43.75</v>
      </c>
      <c r="E9" s="90">
        <f t="shared" ref="E9:E10" si="2">SUM(D9+E$22)</f>
        <v>51.741803278688522</v>
      </c>
    </row>
    <row r="10" spans="2:5" ht="13.9" thickBot="1">
      <c r="B10" s="83" t="s">
        <v>204</v>
      </c>
      <c r="C10" s="92">
        <v>8000</v>
      </c>
      <c r="D10" s="136">
        <f>C10/20/8</f>
        <v>50</v>
      </c>
      <c r="E10" s="92">
        <f t="shared" si="2"/>
        <v>57.991803278688522</v>
      </c>
    </row>
    <row r="11" spans="2:5" ht="13.9" thickBot="1"/>
    <row r="12" spans="2:5" ht="13.9" thickBot="1">
      <c r="B12" s="85" t="s">
        <v>214</v>
      </c>
      <c r="C12" s="86" t="s">
        <v>153</v>
      </c>
    </row>
    <row r="13" spans="2:5">
      <c r="B13" s="82" t="s">
        <v>215</v>
      </c>
      <c r="C13" s="93">
        <v>1800</v>
      </c>
    </row>
    <row r="14" spans="2:5">
      <c r="B14" s="82" t="s">
        <v>216</v>
      </c>
      <c r="C14" s="93">
        <v>500</v>
      </c>
    </row>
    <row r="15" spans="2:5">
      <c r="B15" s="82" t="s">
        <v>217</v>
      </c>
      <c r="C15" s="93">
        <v>500</v>
      </c>
    </row>
    <row r="16" spans="2:5">
      <c r="B16" s="82" t="s">
        <v>218</v>
      </c>
      <c r="C16" s="93">
        <v>12000</v>
      </c>
    </row>
    <row r="17" spans="2:5">
      <c r="B17" s="82" t="s">
        <v>219</v>
      </c>
      <c r="C17" s="93">
        <v>1800</v>
      </c>
    </row>
    <row r="18" spans="2:5">
      <c r="B18" s="82" t="s">
        <v>220</v>
      </c>
      <c r="C18" s="93">
        <v>450</v>
      </c>
    </row>
    <row r="19" spans="2:5" ht="13.9" thickBot="1">
      <c r="B19" s="82" t="s">
        <v>221</v>
      </c>
      <c r="C19" s="93">
        <v>500</v>
      </c>
    </row>
    <row r="20" spans="2:5" ht="13.9" thickBot="1">
      <c r="B20" s="87" t="s">
        <v>222</v>
      </c>
      <c r="C20" s="94">
        <f>SUM(C13:C19)</f>
        <v>17550</v>
      </c>
    </row>
    <row r="21" spans="2:5" ht="13.9" thickBot="1"/>
    <row r="22" spans="2:5" ht="13.9" thickBot="1">
      <c r="B22" s="78" t="s">
        <v>223</v>
      </c>
      <c r="C22" s="79">
        <v>9</v>
      </c>
      <c r="D22" s="78" t="s">
        <v>224</v>
      </c>
      <c r="E22" s="95">
        <f>((C20/C22)/30.5/8)</f>
        <v>7.9918032786885247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2CCC30F-9541-4791-B45A-F1653D3E0DD1}"/>
</file>

<file path=customXml/itemProps2.xml><?xml version="1.0" encoding="utf-8"?>
<ds:datastoreItem xmlns:ds="http://schemas.openxmlformats.org/officeDocument/2006/customXml" ds:itemID="{41BF059D-5B27-49EC-990E-9B2C61BF22F9}"/>
</file>

<file path=customXml/itemProps3.xml><?xml version="1.0" encoding="utf-8"?>
<ds:datastoreItem xmlns:ds="http://schemas.openxmlformats.org/officeDocument/2006/customXml" ds:itemID="{F8B212FF-E148-4D8E-AE09-6003AD42D48C}"/>
</file>

<file path=customXml/itemProps4.xml><?xml version="1.0" encoding="utf-8"?>
<ds:datastoreItem xmlns:ds="http://schemas.openxmlformats.org/officeDocument/2006/customXml" ds:itemID="{B31A9657-F60B-4F85-99EC-12093FFD5B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dc:creator>
  <cp:keywords/>
  <dc:description/>
  <cp:lastModifiedBy/>
  <cp:revision/>
  <dcterms:created xsi:type="dcterms:W3CDTF">2001-07-30T17:19:04Z</dcterms:created>
  <dcterms:modified xsi:type="dcterms:W3CDTF">2024-02-28T03:37:57Z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