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nergisa-my.sharepoint.com/personal/miguel_nigro_energisa_com_br/Documents/Documentos/Faculdade/TCC/"/>
    </mc:Choice>
  </mc:AlternateContent>
  <xr:revisionPtr revIDLastSave="454" documentId="13_ncr:1_{5480620E-FD69-4539-88E4-D12F723396A1}" xr6:coauthVersionLast="47" xr6:coauthVersionMax="47" xr10:uidLastSave="{8129C3DC-B8F8-41D2-A03A-83E4904A64E3}"/>
  <bookViews>
    <workbookView xWindow="-120" yWindow="-120" windowWidth="29040" windowHeight="15720" activeTab="3" xr2:uid="{27A91880-CF76-4DE3-9A41-04B48A543D4B}"/>
  </bookViews>
  <sheets>
    <sheet name="Dados_Projeto" sheetId="6" r:id="rId1"/>
    <sheet name="Estudo_Drive" sheetId="8" r:id="rId2"/>
    <sheet name="Estudo_Mosfet" sheetId="5" r:id="rId3"/>
    <sheet name="Calculo_FlyBack_Simples" sheetId="18" r:id="rId4"/>
    <sheet name="Planilha1" sheetId="21" r:id="rId5"/>
    <sheet name="Estudo_OptoAcoplador" sheetId="1" r:id="rId6"/>
    <sheet name="Controle_Malha_Aberta" sheetId="20" state="hidden" r:id="rId7"/>
    <sheet name="Anal_Tubes" sheetId="19" r:id="rId8"/>
    <sheet name="Calculo_Flyback" sheetId="11" state="hidden" r:id="rId9"/>
    <sheet name="Calculo_Flyback_MCLYMAN" sheetId="17" state="hidden" r:id="rId10"/>
    <sheet name="Toroide_Iron_Powder" sheetId="16" state="hidden" r:id="rId11"/>
    <sheet name="AWG" sheetId="15" state="hidden" r:id="rId12"/>
    <sheet name="Formulas_Daniel_HART" sheetId="9" r:id="rId13"/>
    <sheet name="Capacitores_Comerciais" sheetId="10" r:id="rId14"/>
    <sheet name="Estudo_Drive_Bagunça" sheetId="7" state="hidden" r:id="rId15"/>
    <sheet name="Resistores_Comerciais" sheetId="2" r:id="rId16"/>
    <sheet name="Imagens" sheetId="3" state="hidden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0" i="18" l="1"/>
  <c r="I7" i="18"/>
  <c r="M5" i="18"/>
  <c r="M7" i="18" s="1"/>
  <c r="H9" i="6" s="1"/>
  <c r="I12" i="18"/>
  <c r="I13" i="18" s="1"/>
  <c r="I11" i="18"/>
  <c r="Q28" i="18" s="1"/>
  <c r="I4" i="18"/>
  <c r="H23" i="9"/>
  <c r="M4" i="18"/>
  <c r="C5" i="18"/>
  <c r="C7" i="18"/>
  <c r="R28" i="18"/>
  <c r="T18" i="18"/>
  <c r="T19" i="18" s="1"/>
  <c r="T21" i="18" s="1"/>
  <c r="M30" i="18"/>
  <c r="E6" i="1"/>
  <c r="E11" i="1" s="1"/>
  <c r="E21" i="1" s="1"/>
  <c r="E22" i="1" s="1"/>
  <c r="S2" i="8"/>
  <c r="C1" i="8"/>
  <c r="H8" i="6"/>
  <c r="I15" i="18"/>
  <c r="I16" i="18" s="1"/>
  <c r="I20" i="18" s="1"/>
  <c r="I17" i="18"/>
  <c r="I18" i="18"/>
  <c r="D5" i="6"/>
  <c r="G25" i="5" s="1"/>
  <c r="D6" i="6"/>
  <c r="L34" i="18" l="1"/>
  <c r="L35" i="18" s="1"/>
  <c r="L36" i="18"/>
  <c r="I5" i="18"/>
  <c r="N5" i="18"/>
  <c r="N7" i="18" s="1"/>
  <c r="M8" i="18"/>
  <c r="M12" i="18" s="1"/>
  <c r="C9" i="18"/>
  <c r="M6" i="18"/>
  <c r="M9" i="18" s="1"/>
  <c r="C8" i="18"/>
  <c r="S7" i="8"/>
  <c r="S8" i="8" s="1"/>
  <c r="I9" i="18"/>
  <c r="I10" i="18" s="1"/>
  <c r="I21" i="18"/>
  <c r="I6" i="18"/>
  <c r="D10" i="6"/>
  <c r="N10" i="19"/>
  <c r="O10" i="19" s="1"/>
  <c r="P10" i="19" s="1"/>
  <c r="M13" i="18" l="1"/>
  <c r="M10" i="18"/>
  <c r="M15" i="18" s="1"/>
  <c r="D12" i="10"/>
  <c r="D24" i="10"/>
  <c r="D36" i="10"/>
  <c r="D48" i="10"/>
  <c r="D60" i="10"/>
  <c r="D72" i="10"/>
  <c r="D84" i="10"/>
  <c r="D2" i="10"/>
  <c r="D65" i="10"/>
  <c r="D13" i="10"/>
  <c r="D25" i="10"/>
  <c r="D37" i="10"/>
  <c r="D49" i="10"/>
  <c r="D61" i="10"/>
  <c r="D73" i="10"/>
  <c r="D85" i="10"/>
  <c r="D26" i="10"/>
  <c r="D38" i="10"/>
  <c r="D50" i="10"/>
  <c r="D62" i="10"/>
  <c r="D74" i="10"/>
  <c r="D86" i="10"/>
  <c r="D14" i="10"/>
  <c r="D95" i="10"/>
  <c r="D3" i="10"/>
  <c r="D15" i="10"/>
  <c r="D27" i="10"/>
  <c r="D39" i="10"/>
  <c r="D51" i="10"/>
  <c r="D63" i="10"/>
  <c r="D75" i="10"/>
  <c r="D87" i="10"/>
  <c r="D4" i="10"/>
  <c r="D16" i="10"/>
  <c r="D28" i="10"/>
  <c r="D40" i="10"/>
  <c r="D52" i="10"/>
  <c r="D64" i="10"/>
  <c r="D76" i="10"/>
  <c r="D88" i="10"/>
  <c r="D5" i="10"/>
  <c r="D17" i="10"/>
  <c r="D29" i="10"/>
  <c r="D41" i="10"/>
  <c r="D53" i="10"/>
  <c r="D77" i="10"/>
  <c r="D89" i="10"/>
  <c r="D94" i="10"/>
  <c r="D11" i="10"/>
  <c r="D83" i="10"/>
  <c r="D6" i="10"/>
  <c r="D18" i="10"/>
  <c r="D30" i="10"/>
  <c r="D42" i="10"/>
  <c r="D54" i="10"/>
  <c r="D66" i="10"/>
  <c r="D78" i="10"/>
  <c r="D90" i="10"/>
  <c r="D7" i="10"/>
  <c r="D19" i="10"/>
  <c r="D31" i="10"/>
  <c r="D43" i="10"/>
  <c r="D55" i="10"/>
  <c r="D67" i="10"/>
  <c r="D79" i="10"/>
  <c r="D91" i="10"/>
  <c r="D8" i="10"/>
  <c r="D20" i="10"/>
  <c r="D32" i="10"/>
  <c r="D44" i="10"/>
  <c r="D56" i="10"/>
  <c r="D68" i="10"/>
  <c r="D80" i="10"/>
  <c r="D92" i="10"/>
  <c r="D9" i="10"/>
  <c r="D21" i="10"/>
  <c r="D33" i="10"/>
  <c r="D45" i="10"/>
  <c r="D57" i="10"/>
  <c r="D69" i="10"/>
  <c r="D81" i="10"/>
  <c r="D93" i="10"/>
  <c r="D10" i="10"/>
  <c r="D22" i="10"/>
  <c r="D34" i="10"/>
  <c r="D46" i="10"/>
  <c r="D58" i="10"/>
  <c r="D70" i="10"/>
  <c r="D82" i="10"/>
  <c r="D23" i="10"/>
  <c r="D35" i="10"/>
  <c r="D47" i="10"/>
  <c r="D59" i="10"/>
  <c r="D71" i="10"/>
  <c r="R5" i="19"/>
  <c r="R35" i="19"/>
  <c r="R29" i="19"/>
  <c r="R17" i="19"/>
  <c r="R25" i="19"/>
  <c r="R13" i="19"/>
  <c r="R45" i="19"/>
  <c r="R40" i="19"/>
  <c r="R32" i="19"/>
  <c r="R28" i="19"/>
  <c r="R20" i="19"/>
  <c r="R16" i="19"/>
  <c r="R9" i="19"/>
  <c r="R39" i="19"/>
  <c r="R43" i="19"/>
  <c r="R42" i="19"/>
  <c r="R27" i="19"/>
  <c r="R31" i="19"/>
  <c r="R15" i="19"/>
  <c r="R18" i="19"/>
  <c r="R23" i="19"/>
  <c r="R7" i="19"/>
  <c r="R6" i="19"/>
  <c r="R26" i="19"/>
  <c r="R11" i="19"/>
  <c r="R34" i="19"/>
  <c r="R37" i="19"/>
  <c r="R22" i="19"/>
  <c r="R10" i="19"/>
  <c r="R44" i="19"/>
  <c r="R4" i="19"/>
  <c r="R33" i="19"/>
  <c r="R36" i="19"/>
  <c r="R21" i="19"/>
  <c r="R24" i="19"/>
  <c r="R8" i="19"/>
  <c r="R12" i="19"/>
  <c r="R47" i="19"/>
  <c r="R30" i="19"/>
  <c r="R19" i="19"/>
  <c r="R38" i="19"/>
  <c r="R46" i="19"/>
  <c r="R41" i="19"/>
  <c r="R14" i="19"/>
  <c r="N18" i="19"/>
  <c r="N33" i="19"/>
  <c r="O33" i="19" s="1"/>
  <c r="P33" i="19" s="1"/>
  <c r="N32" i="19"/>
  <c r="N19" i="19"/>
  <c r="O19" i="19" s="1"/>
  <c r="P19" i="19" s="1"/>
  <c r="N17" i="19"/>
  <c r="O17" i="19" s="1"/>
  <c r="P17" i="19" s="1"/>
  <c r="N37" i="19"/>
  <c r="O37" i="19" s="1"/>
  <c r="P37" i="19" s="1"/>
  <c r="N13" i="19"/>
  <c r="N31" i="19"/>
  <c r="N16" i="19"/>
  <c r="N45" i="19"/>
  <c r="O45" i="19" s="1"/>
  <c r="P45" i="19" s="1"/>
  <c r="N30" i="19"/>
  <c r="N15" i="19"/>
  <c r="N44" i="19"/>
  <c r="O44" i="19" s="1"/>
  <c r="P44" i="19" s="1"/>
  <c r="N29" i="19"/>
  <c r="O29" i="19" s="1"/>
  <c r="P29" i="19" s="1"/>
  <c r="N14" i="19"/>
  <c r="N43" i="19"/>
  <c r="O43" i="19" s="1"/>
  <c r="P43" i="19" s="1"/>
  <c r="N28" i="19"/>
  <c r="O28" i="19" s="1"/>
  <c r="P28" i="19" s="1"/>
  <c r="N42" i="19"/>
  <c r="O42" i="19" s="1"/>
  <c r="P42" i="19" s="1"/>
  <c r="N27" i="19"/>
  <c r="N9" i="19"/>
  <c r="O9" i="19" s="1"/>
  <c r="P9" i="19" s="1"/>
  <c r="N41" i="19"/>
  <c r="O41" i="19" s="1"/>
  <c r="P41" i="19" s="1"/>
  <c r="N26" i="19"/>
  <c r="N8" i="19"/>
  <c r="O8" i="19" s="1"/>
  <c r="P8" i="19" s="1"/>
  <c r="N40" i="19"/>
  <c r="N25" i="19"/>
  <c r="N7" i="19"/>
  <c r="O7" i="19" s="1"/>
  <c r="P7" i="19" s="1"/>
  <c r="N39" i="19"/>
  <c r="N21" i="19"/>
  <c r="O21" i="19" s="1"/>
  <c r="P21" i="19" s="1"/>
  <c r="N5" i="19"/>
  <c r="O5" i="19" s="1"/>
  <c r="P5" i="19" s="1"/>
  <c r="N38" i="19"/>
  <c r="N20" i="19"/>
  <c r="O20" i="19" s="1"/>
  <c r="P20" i="19" s="1"/>
  <c r="N6" i="19"/>
  <c r="O6" i="19" s="1"/>
  <c r="P6" i="19" s="1"/>
  <c r="N47" i="19"/>
  <c r="O47" i="19" s="1"/>
  <c r="P47" i="19" s="1"/>
  <c r="N35" i="19"/>
  <c r="O35" i="19" s="1"/>
  <c r="P35" i="19" s="1"/>
  <c r="N23" i="19"/>
  <c r="O23" i="19" s="1"/>
  <c r="P23" i="19" s="1"/>
  <c r="N11" i="19"/>
  <c r="O11" i="19" s="1"/>
  <c r="P11" i="19" s="1"/>
  <c r="N4" i="19"/>
  <c r="O4" i="19" s="1"/>
  <c r="P4" i="19" s="1"/>
  <c r="N36" i="19"/>
  <c r="O36" i="19" s="1"/>
  <c r="P36" i="19" s="1"/>
  <c r="N24" i="19"/>
  <c r="O24" i="19" s="1"/>
  <c r="P24" i="19" s="1"/>
  <c r="N12" i="19"/>
  <c r="O12" i="19" s="1"/>
  <c r="P12" i="19" s="1"/>
  <c r="N46" i="19"/>
  <c r="O46" i="19" s="1"/>
  <c r="P46" i="19" s="1"/>
  <c r="N34" i="19"/>
  <c r="O34" i="19" s="1"/>
  <c r="P34" i="19" s="1"/>
  <c r="N22" i="19"/>
  <c r="O22" i="19" s="1"/>
  <c r="P22" i="19" s="1"/>
  <c r="M17" i="18" l="1"/>
  <c r="Q15" i="18" s="1"/>
  <c r="S24" i="19"/>
  <c r="S47" i="19"/>
  <c r="S35" i="19"/>
  <c r="S45" i="19"/>
  <c r="S37" i="19"/>
  <c r="S8" i="19"/>
  <c r="S22" i="19"/>
  <c r="S20" i="19"/>
  <c r="S6" i="19"/>
  <c r="S34" i="19"/>
  <c r="S12" i="19"/>
  <c r="S5" i="19"/>
  <c r="Q10" i="19"/>
  <c r="S9" i="19"/>
  <c r="S21" i="19"/>
  <c r="S43" i="19"/>
  <c r="S36" i="19"/>
  <c r="Q4" i="19"/>
  <c r="S4" i="19"/>
  <c r="S29" i="19"/>
  <c r="Q11" i="19"/>
  <c r="S11" i="19"/>
  <c r="S44" i="19"/>
  <c r="S46" i="19"/>
  <c r="S42" i="19"/>
  <c r="S7" i="19"/>
  <c r="S23" i="19"/>
  <c r="S10" i="19"/>
  <c r="Q37" i="19"/>
  <c r="Q22" i="19"/>
  <c r="Q12" i="19"/>
  <c r="Q6" i="19"/>
  <c r="Q21" i="19"/>
  <c r="Q29" i="19"/>
  <c r="Q44" i="19"/>
  <c r="Q43" i="19"/>
  <c r="Q7" i="19"/>
  <c r="Q35" i="19"/>
  <c r="Q47" i="19"/>
  <c r="Q8" i="19"/>
  <c r="Q34" i="19"/>
  <c r="Q46" i="19"/>
  <c r="Q9" i="19"/>
  <c r="Q20" i="19"/>
  <c r="Q24" i="19"/>
  <c r="Q42" i="19"/>
  <c r="Q36" i="19"/>
  <c r="Q5" i="19"/>
  <c r="Q45" i="19"/>
  <c r="O26" i="19"/>
  <c r="P26" i="19" s="1"/>
  <c r="O18" i="19"/>
  <c r="P18" i="19" s="1"/>
  <c r="S19" i="19" s="1"/>
  <c r="O32" i="19"/>
  <c r="P32" i="19" s="1"/>
  <c r="S33" i="19" s="1"/>
  <c r="O16" i="19"/>
  <c r="P16" i="19" s="1"/>
  <c r="O40" i="19"/>
  <c r="P40" i="19" s="1"/>
  <c r="O30" i="19"/>
  <c r="P30" i="19" s="1"/>
  <c r="O14" i="19"/>
  <c r="P14" i="19" s="1"/>
  <c r="O31" i="19"/>
  <c r="P31" i="19" s="1"/>
  <c r="O15" i="19"/>
  <c r="P15" i="19" s="1"/>
  <c r="O27" i="19"/>
  <c r="P27" i="19" s="1"/>
  <c r="S28" i="19" s="1"/>
  <c r="O39" i="19"/>
  <c r="P39" i="19" s="1"/>
  <c r="O38" i="19"/>
  <c r="P38" i="19" s="1"/>
  <c r="O25" i="19"/>
  <c r="P25" i="19" s="1"/>
  <c r="S25" i="19" s="1"/>
  <c r="O13" i="19"/>
  <c r="P13" i="19" s="1"/>
  <c r="S15" i="19" l="1"/>
  <c r="S31" i="19"/>
  <c r="S26" i="19"/>
  <c r="Q38" i="19"/>
  <c r="S38" i="19"/>
  <c r="Q33" i="19"/>
  <c r="S32" i="19"/>
  <c r="Q13" i="19"/>
  <c r="S13" i="19"/>
  <c r="S18" i="19"/>
  <c r="S14" i="19"/>
  <c r="Q17" i="19"/>
  <c r="S16" i="19"/>
  <c r="Q30" i="19"/>
  <c r="S30" i="19"/>
  <c r="S17" i="19"/>
  <c r="S39" i="19"/>
  <c r="Q28" i="19"/>
  <c r="S27" i="19"/>
  <c r="S40" i="19"/>
  <c r="S41" i="19"/>
  <c r="Q15" i="19"/>
  <c r="Q31" i="19"/>
  <c r="Q19" i="19"/>
  <c r="Q14" i="19"/>
  <c r="Q39" i="19"/>
  <c r="Q40" i="19"/>
  <c r="Q16" i="19"/>
  <c r="Q32" i="19"/>
  <c r="Q41" i="19"/>
  <c r="Q11" i="18"/>
  <c r="M27" i="18" s="1"/>
  <c r="D33" i="6" l="1"/>
  <c r="H4" i="6"/>
  <c r="H21" i="6"/>
  <c r="H22" i="6" s="1"/>
  <c r="H16" i="6"/>
  <c r="H17" i="6" s="1"/>
  <c r="C4" i="11"/>
  <c r="W36" i="11"/>
  <c r="C44" i="11"/>
  <c r="F38" i="11"/>
  <c r="C5" i="11"/>
  <c r="C6" i="11"/>
  <c r="C38" i="11" s="1"/>
  <c r="C9" i="11"/>
  <c r="C11" i="11"/>
  <c r="C39" i="11"/>
  <c r="C18" i="11"/>
  <c r="C21" i="11"/>
  <c r="C22" i="11"/>
  <c r="C25" i="11"/>
  <c r="C42" i="11" s="1"/>
  <c r="C26" i="11"/>
  <c r="C28" i="11"/>
  <c r="C29" i="11"/>
  <c r="O7" i="11"/>
  <c r="O8" i="11"/>
  <c r="O9" i="11"/>
  <c r="O10" i="11"/>
  <c r="O11" i="11"/>
  <c r="O12" i="11"/>
  <c r="O26" i="11" s="1"/>
  <c r="O13" i="11"/>
  <c r="O14" i="11"/>
  <c r="K31" i="11" s="1"/>
  <c r="O15" i="11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4" i="20"/>
  <c r="F4" i="20"/>
  <c r="E4" i="20"/>
  <c r="D5" i="20" s="1"/>
  <c r="D4" i="20"/>
  <c r="B3" i="20"/>
  <c r="B4" i="20" s="1"/>
  <c r="K2" i="20"/>
  <c r="K4" i="20"/>
  <c r="K5" i="20"/>
  <c r="Q13" i="18"/>
  <c r="K25" i="17"/>
  <c r="G11" i="11"/>
  <c r="AB6" i="15"/>
  <c r="G16" i="5"/>
  <c r="O16" i="5"/>
  <c r="C2" i="8" s="1"/>
  <c r="C3" i="8" s="1"/>
  <c r="G15" i="5"/>
  <c r="H20" i="5"/>
  <c r="K29" i="11"/>
  <c r="C8" i="8"/>
  <c r="C5" i="8"/>
  <c r="D18" i="6"/>
  <c r="H2" i="6"/>
  <c r="K29" i="17"/>
  <c r="W22" i="17"/>
  <c r="G30" i="17"/>
  <c r="G31" i="17" s="1"/>
  <c r="O23" i="17"/>
  <c r="K31" i="17"/>
  <c r="K26" i="17"/>
  <c r="K5" i="17"/>
  <c r="G17" i="17"/>
  <c r="S17" i="17"/>
  <c r="S18" i="17" s="1"/>
  <c r="S5" i="17"/>
  <c r="S6" i="17" s="1"/>
  <c r="G4" i="17"/>
  <c r="G5" i="17" s="1"/>
  <c r="G6" i="17" s="1"/>
  <c r="R7" i="15" s="1"/>
  <c r="O6" i="15"/>
  <c r="F21" i="16"/>
  <c r="E21" i="16"/>
  <c r="F20" i="16"/>
  <c r="E20" i="16"/>
  <c r="F19" i="16"/>
  <c r="E19" i="16"/>
  <c r="F18" i="16"/>
  <c r="E18" i="16"/>
  <c r="F17" i="16"/>
  <c r="E17" i="16"/>
  <c r="F16" i="16"/>
  <c r="E16" i="16"/>
  <c r="F15" i="16"/>
  <c r="E15" i="16"/>
  <c r="F14" i="16"/>
  <c r="E14" i="16"/>
  <c r="F13" i="16"/>
  <c r="E13" i="16"/>
  <c r="F12" i="16"/>
  <c r="E12" i="16"/>
  <c r="F11" i="16"/>
  <c r="E11" i="16"/>
  <c r="F10" i="16"/>
  <c r="E10" i="16"/>
  <c r="F9" i="16"/>
  <c r="E9" i="16"/>
  <c r="F8" i="16"/>
  <c r="E8" i="16"/>
  <c r="F7" i="16"/>
  <c r="E7" i="16"/>
  <c r="F6" i="16"/>
  <c r="E6" i="16"/>
  <c r="F5" i="16"/>
  <c r="E5" i="16"/>
  <c r="F4" i="16"/>
  <c r="E4" i="16"/>
  <c r="F3" i="16"/>
  <c r="E3" i="16"/>
  <c r="F2" i="16"/>
  <c r="E2" i="16"/>
  <c r="O22" i="15"/>
  <c r="T22" i="15"/>
  <c r="AC22" i="15" s="1"/>
  <c r="T40" i="15"/>
  <c r="AC40" i="15" s="1"/>
  <c r="O40" i="15"/>
  <c r="T39" i="15"/>
  <c r="AC39" i="15" s="1"/>
  <c r="O39" i="15"/>
  <c r="T38" i="15"/>
  <c r="AC38" i="15" s="1"/>
  <c r="O38" i="15"/>
  <c r="T37" i="15"/>
  <c r="AC37" i="15" s="1"/>
  <c r="O37" i="15"/>
  <c r="T36" i="15"/>
  <c r="AB36" i="15" s="1"/>
  <c r="O36" i="15"/>
  <c r="T35" i="15"/>
  <c r="AB35" i="15" s="1"/>
  <c r="O35" i="15"/>
  <c r="T34" i="15"/>
  <c r="AC34" i="15" s="1"/>
  <c r="O34" i="15"/>
  <c r="T33" i="15"/>
  <c r="AC33" i="15" s="1"/>
  <c r="O33" i="15"/>
  <c r="T32" i="15"/>
  <c r="AC32" i="15" s="1"/>
  <c r="O32" i="15"/>
  <c r="T31" i="15"/>
  <c r="AC31" i="15" s="1"/>
  <c r="O31" i="15"/>
  <c r="T30" i="15"/>
  <c r="AB30" i="15" s="1"/>
  <c r="O30" i="15"/>
  <c r="T29" i="15"/>
  <c r="AB29" i="15" s="1"/>
  <c r="O29" i="15"/>
  <c r="T28" i="15"/>
  <c r="AB28" i="15" s="1"/>
  <c r="O28" i="15"/>
  <c r="T27" i="15"/>
  <c r="AC27" i="15" s="1"/>
  <c r="O27" i="15"/>
  <c r="T26" i="15"/>
  <c r="AC26" i="15" s="1"/>
  <c r="O26" i="15"/>
  <c r="T25" i="15"/>
  <c r="AB25" i="15" s="1"/>
  <c r="O25" i="15"/>
  <c r="T24" i="15"/>
  <c r="AB24" i="15" s="1"/>
  <c r="O24" i="15"/>
  <c r="T23" i="15"/>
  <c r="AC23" i="15" s="1"/>
  <c r="O23" i="15"/>
  <c r="T21" i="15"/>
  <c r="AC21" i="15" s="1"/>
  <c r="O21" i="15"/>
  <c r="T20" i="15"/>
  <c r="AC20" i="15" s="1"/>
  <c r="O20" i="15"/>
  <c r="T19" i="15"/>
  <c r="AC19" i="15" s="1"/>
  <c r="O19" i="15"/>
  <c r="T18" i="15"/>
  <c r="AC18" i="15" s="1"/>
  <c r="O18" i="15"/>
  <c r="T17" i="15"/>
  <c r="AB17" i="15" s="1"/>
  <c r="O17" i="15"/>
  <c r="T16" i="15"/>
  <c r="AB16" i="15" s="1"/>
  <c r="O16" i="15"/>
  <c r="T15" i="15"/>
  <c r="AB15" i="15" s="1"/>
  <c r="O15" i="15"/>
  <c r="T14" i="15"/>
  <c r="AC14" i="15" s="1"/>
  <c r="O14" i="15"/>
  <c r="T13" i="15"/>
  <c r="AB13" i="15" s="1"/>
  <c r="O13" i="15"/>
  <c r="T12" i="15"/>
  <c r="AC12" i="15" s="1"/>
  <c r="O12" i="15"/>
  <c r="T11" i="15"/>
  <c r="AC11" i="15" s="1"/>
  <c r="O11" i="15"/>
  <c r="T10" i="15"/>
  <c r="AC10" i="15" s="1"/>
  <c r="O10" i="15"/>
  <c r="T9" i="15"/>
  <c r="AC9" i="15" s="1"/>
  <c r="O9" i="15"/>
  <c r="T8" i="15"/>
  <c r="AC8" i="15" s="1"/>
  <c r="O8" i="15"/>
  <c r="T7" i="15"/>
  <c r="AB7" i="15" s="1"/>
  <c r="O7" i="15"/>
  <c r="T6" i="15"/>
  <c r="C4" i="8" l="1"/>
  <c r="C14" i="11"/>
  <c r="C15" i="11" s="1"/>
  <c r="G17" i="11"/>
  <c r="G18" i="11" s="1"/>
  <c r="W38" i="11" s="1"/>
  <c r="G19" i="11"/>
  <c r="C19" i="11"/>
  <c r="C31" i="11"/>
  <c r="B5" i="20"/>
  <c r="C4" i="20"/>
  <c r="Q12" i="18"/>
  <c r="C6" i="8"/>
  <c r="C12" i="8"/>
  <c r="W24" i="11"/>
  <c r="S7" i="15"/>
  <c r="R15" i="15"/>
  <c r="S15" i="15" s="1"/>
  <c r="R6" i="15"/>
  <c r="S6" i="15" s="1"/>
  <c r="R40" i="15"/>
  <c r="S40" i="15" s="1"/>
  <c r="R17" i="15"/>
  <c r="S17" i="15" s="1"/>
  <c r="R16" i="15"/>
  <c r="S16" i="15" s="1"/>
  <c r="R14" i="15"/>
  <c r="S14" i="15" s="1"/>
  <c r="R39" i="15"/>
  <c r="S39" i="15" s="1"/>
  <c r="R38" i="15"/>
  <c r="S38" i="15" s="1"/>
  <c r="R30" i="15"/>
  <c r="S30" i="15" s="1"/>
  <c r="R29" i="15"/>
  <c r="S29" i="15" s="1"/>
  <c r="R28" i="15"/>
  <c r="S28" i="15" s="1"/>
  <c r="R27" i="15"/>
  <c r="S27" i="15" s="1"/>
  <c r="R26" i="15"/>
  <c r="S26" i="15" s="1"/>
  <c r="R18" i="15"/>
  <c r="S18" i="15" s="1"/>
  <c r="R37" i="15"/>
  <c r="S37" i="15" s="1"/>
  <c r="R25" i="15"/>
  <c r="S25" i="15" s="1"/>
  <c r="R13" i="15"/>
  <c r="S13" i="15" s="1"/>
  <c r="R36" i="15"/>
  <c r="S36" i="15" s="1"/>
  <c r="R24" i="15"/>
  <c r="S24" i="15" s="1"/>
  <c r="R12" i="15"/>
  <c r="S12" i="15" s="1"/>
  <c r="R35" i="15"/>
  <c r="S35" i="15" s="1"/>
  <c r="R23" i="15"/>
  <c r="S23" i="15" s="1"/>
  <c r="R11" i="15"/>
  <c r="S11" i="15" s="1"/>
  <c r="R34" i="15"/>
  <c r="S34" i="15" s="1"/>
  <c r="R22" i="15"/>
  <c r="S22" i="15" s="1"/>
  <c r="R10" i="15"/>
  <c r="S10" i="15" s="1"/>
  <c r="R33" i="15"/>
  <c r="S33" i="15" s="1"/>
  <c r="R21" i="15"/>
  <c r="S21" i="15" s="1"/>
  <c r="R9" i="15"/>
  <c r="S9" i="15" s="1"/>
  <c r="R32" i="15"/>
  <c r="S32" i="15" s="1"/>
  <c r="R20" i="15"/>
  <c r="S20" i="15" s="1"/>
  <c r="R8" i="15"/>
  <c r="S8" i="15" s="1"/>
  <c r="R31" i="15"/>
  <c r="S31" i="15" s="1"/>
  <c r="R19" i="15"/>
  <c r="S19" i="15" s="1"/>
  <c r="G25" i="17"/>
  <c r="W18" i="17" s="1"/>
  <c r="C30" i="17"/>
  <c r="AC25" i="15"/>
  <c r="AB37" i="15"/>
  <c r="AC16" i="15"/>
  <c r="AB11" i="15"/>
  <c r="AC30" i="15"/>
  <c r="AC6" i="15"/>
  <c r="AC28" i="15"/>
  <c r="AC13" i="15"/>
  <c r="AB23" i="15"/>
  <c r="AC35" i="15"/>
  <c r="AB18" i="15"/>
  <c r="AB20" i="15"/>
  <c r="AB32" i="15"/>
  <c r="AB39" i="15"/>
  <c r="AB10" i="15"/>
  <c r="AC15" i="15"/>
  <c r="AB22" i="15"/>
  <c r="AB12" i="15"/>
  <c r="AB19" i="15"/>
  <c r="AC24" i="15"/>
  <c r="AB31" i="15"/>
  <c r="AC36" i="15"/>
  <c r="AC7" i="15"/>
  <c r="AB14" i="15"/>
  <c r="AB26" i="15"/>
  <c r="AB38" i="15"/>
  <c r="AB9" i="15"/>
  <c r="AB21" i="15"/>
  <c r="AB33" i="15"/>
  <c r="AB40" i="15"/>
  <c r="AB34" i="15"/>
  <c r="AC17" i="15"/>
  <c r="AC29" i="15"/>
  <c r="AB8" i="15"/>
  <c r="AB27" i="15"/>
  <c r="C20" i="11" l="1"/>
  <c r="C10" i="11" s="1"/>
  <c r="G20" i="11"/>
  <c r="G21" i="11" s="1"/>
  <c r="C33" i="11"/>
  <c r="C32" i="11"/>
  <c r="E5" i="20"/>
  <c r="D6" i="20" s="1"/>
  <c r="C5" i="20"/>
  <c r="B6" i="20"/>
  <c r="Q4" i="18"/>
  <c r="Q5" i="18" s="1"/>
  <c r="Q6" i="18" s="1"/>
  <c r="C7" i="8"/>
  <c r="C9" i="8" s="1"/>
  <c r="C24" i="8"/>
  <c r="C13" i="8"/>
  <c r="G10" i="17"/>
  <c r="G8" i="17"/>
  <c r="G9" i="17"/>
  <c r="G11" i="17" s="1"/>
  <c r="K6" i="17"/>
  <c r="C32" i="17"/>
  <c r="C31" i="17"/>
  <c r="K21" i="17" s="1"/>
  <c r="K22" i="17" s="1"/>
  <c r="K7" i="17"/>
  <c r="G18" i="17" s="1"/>
  <c r="P6" i="15" l="1"/>
  <c r="P7" i="15"/>
  <c r="Q7" i="15" s="1"/>
  <c r="P8" i="15"/>
  <c r="Q8" i="15" s="1"/>
  <c r="P9" i="15"/>
  <c r="Q9" i="15" s="1"/>
  <c r="P10" i="15"/>
  <c r="Q10" i="15" s="1"/>
  <c r="P11" i="15"/>
  <c r="Q11" i="15" s="1"/>
  <c r="P12" i="15"/>
  <c r="Q12" i="15" s="1"/>
  <c r="P13" i="15"/>
  <c r="Q13" i="15" s="1"/>
  <c r="P14" i="15"/>
  <c r="Q14" i="15" s="1"/>
  <c r="P15" i="15"/>
  <c r="Q15" i="15" s="1"/>
  <c r="P16" i="15"/>
  <c r="Q16" i="15" s="1"/>
  <c r="P17" i="15"/>
  <c r="Q17" i="15" s="1"/>
  <c r="P18" i="15"/>
  <c r="Q18" i="15" s="1"/>
  <c r="P19" i="15"/>
  <c r="Q19" i="15" s="1"/>
  <c r="P20" i="15"/>
  <c r="Q20" i="15" s="1"/>
  <c r="P21" i="15"/>
  <c r="Q21" i="15" s="1"/>
  <c r="P22" i="15"/>
  <c r="Q22" i="15" s="1"/>
  <c r="P23" i="15"/>
  <c r="Q23" i="15" s="1"/>
  <c r="P24" i="15"/>
  <c r="Q24" i="15" s="1"/>
  <c r="P25" i="15"/>
  <c r="Q25" i="15" s="1"/>
  <c r="P26" i="15"/>
  <c r="Q26" i="15" s="1"/>
  <c r="P27" i="15"/>
  <c r="Q27" i="15" s="1"/>
  <c r="P28" i="15"/>
  <c r="Q28" i="15" s="1"/>
  <c r="P29" i="15"/>
  <c r="Q29" i="15" s="1"/>
  <c r="P30" i="15"/>
  <c r="Q30" i="15" s="1"/>
  <c r="P31" i="15"/>
  <c r="Q31" i="15" s="1"/>
  <c r="P32" i="15"/>
  <c r="Q32" i="15" s="1"/>
  <c r="P33" i="15"/>
  <c r="Q33" i="15" s="1"/>
  <c r="P34" i="15"/>
  <c r="Q34" i="15" s="1"/>
  <c r="P35" i="15"/>
  <c r="Q35" i="15" s="1"/>
  <c r="P36" i="15"/>
  <c r="Q36" i="15" s="1"/>
  <c r="P37" i="15"/>
  <c r="Q37" i="15" s="1"/>
  <c r="P38" i="15"/>
  <c r="Q38" i="15" s="1"/>
  <c r="P39" i="15"/>
  <c r="Q39" i="15" s="1"/>
  <c r="P40" i="15"/>
  <c r="Q40" i="15" s="1"/>
  <c r="C8" i="11"/>
  <c r="C7" i="11" s="1"/>
  <c r="K8" i="11"/>
  <c r="C41" i="11" s="1"/>
  <c r="G22" i="11"/>
  <c r="G29" i="11" s="1"/>
  <c r="G30" i="11" s="1"/>
  <c r="G31" i="11" s="1"/>
  <c r="G23" i="11"/>
  <c r="F26" i="11" s="1"/>
  <c r="G24" i="11"/>
  <c r="C34" i="11"/>
  <c r="F5" i="20"/>
  <c r="E6" i="20" s="1"/>
  <c r="D7" i="20" s="1"/>
  <c r="C6" i="20"/>
  <c r="B7" i="20"/>
  <c r="C14" i="8"/>
  <c r="C15" i="8" s="1"/>
  <c r="C25" i="8"/>
  <c r="C29" i="8"/>
  <c r="C31" i="8" s="1"/>
  <c r="C32" i="8" s="1"/>
  <c r="C34" i="8" s="1"/>
  <c r="G13" i="17"/>
  <c r="K28" i="17"/>
  <c r="G12" i="17"/>
  <c r="C33" i="17"/>
  <c r="G19" i="17"/>
  <c r="G20" i="17"/>
  <c r="K20" i="17"/>
  <c r="K11" i="17"/>
  <c r="K18" i="17"/>
  <c r="K19" i="17" s="1"/>
  <c r="F6" i="20" l="1"/>
  <c r="E7" i="20" s="1"/>
  <c r="D8" i="20" s="1"/>
  <c r="B8" i="20"/>
  <c r="C7" i="20"/>
  <c r="C16" i="8"/>
  <c r="C17" i="8" s="1"/>
  <c r="C10" i="8"/>
  <c r="C30" i="8"/>
  <c r="C26" i="8"/>
  <c r="G26" i="17"/>
  <c r="F22" i="17"/>
  <c r="F7" i="20" l="1"/>
  <c r="E8" i="20" s="1"/>
  <c r="D9" i="20" s="1"/>
  <c r="C8" i="20"/>
  <c r="F8" i="20" s="1"/>
  <c r="E9" i="20" s="1"/>
  <c r="D10" i="20" s="1"/>
  <c r="B9" i="20"/>
  <c r="C35" i="8"/>
  <c r="G27" i="17"/>
  <c r="F33" i="17" s="1"/>
  <c r="G28" i="17"/>
  <c r="W21" i="17" s="1"/>
  <c r="W23" i="17" s="1"/>
  <c r="W24" i="17" s="1"/>
  <c r="G29" i="17"/>
  <c r="K8" i="17" s="1"/>
  <c r="C9" i="20" l="1"/>
  <c r="F9" i="20" s="1"/>
  <c r="E10" i="20" s="1"/>
  <c r="D11" i="20" s="1"/>
  <c r="B10" i="20"/>
  <c r="C27" i="8"/>
  <c r="K10" i="17"/>
  <c r="W19" i="17"/>
  <c r="W20" i="17" s="1"/>
  <c r="K9" i="17"/>
  <c r="K12" i="17"/>
  <c r="K13" i="17" s="1"/>
  <c r="C10" i="20" l="1"/>
  <c r="F10" i="20" s="1"/>
  <c r="E11" i="20" s="1"/>
  <c r="D12" i="20" s="1"/>
  <c r="B11" i="20"/>
  <c r="G4" i="11"/>
  <c r="H42" i="9"/>
  <c r="H18" i="9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L34" i="9"/>
  <c r="L32" i="9"/>
  <c r="L26" i="9"/>
  <c r="L22" i="9"/>
  <c r="L18" i="9" s="1"/>
  <c r="L19" i="9"/>
  <c r="L15" i="9"/>
  <c r="L11" i="9"/>
  <c r="L10" i="9" s="1"/>
  <c r="L4" i="9" s="1"/>
  <c r="L5" i="9" s="1"/>
  <c r="D11" i="9"/>
  <c r="D10" i="9" s="1"/>
  <c r="H10" i="9"/>
  <c r="H4" i="9" s="1"/>
  <c r="H5" i="9" s="1"/>
  <c r="H12" i="9"/>
  <c r="H34" i="9"/>
  <c r="H32" i="9"/>
  <c r="H26" i="9"/>
  <c r="H19" i="9"/>
  <c r="H15" i="9"/>
  <c r="D34" i="9"/>
  <c r="D26" i="9"/>
  <c r="D32" i="9"/>
  <c r="D19" i="9"/>
  <c r="D22" i="9"/>
  <c r="D18" i="9" s="1"/>
  <c r="D15" i="9"/>
  <c r="D33" i="9" s="1"/>
  <c r="O18" i="5"/>
  <c r="O19" i="5" s="1"/>
  <c r="O20" i="5" s="1"/>
  <c r="O22" i="5" s="1"/>
  <c r="O23" i="5" s="1"/>
  <c r="O24" i="5" s="1"/>
  <c r="G18" i="5"/>
  <c r="G19" i="5" s="1"/>
  <c r="G20" i="5" s="1"/>
  <c r="D15" i="6"/>
  <c r="K13" i="8"/>
  <c r="K16" i="8"/>
  <c r="K28" i="8" s="1"/>
  <c r="K4" i="8"/>
  <c r="K14" i="8"/>
  <c r="K15" i="8" s="1"/>
  <c r="K5" i="8"/>
  <c r="K6" i="8" s="1"/>
  <c r="AF45" i="7"/>
  <c r="AI44" i="7"/>
  <c r="AI46" i="7" s="1"/>
  <c r="AH46" i="7"/>
  <c r="AF46" i="7"/>
  <c r="AH44" i="7"/>
  <c r="AG44" i="7"/>
  <c r="AG46" i="7" s="1"/>
  <c r="AF44" i="7"/>
  <c r="T40" i="7"/>
  <c r="T35" i="7"/>
  <c r="T36" i="7" s="1"/>
  <c r="AA41" i="7"/>
  <c r="AE35" i="7"/>
  <c r="AE36" i="7" s="1"/>
  <c r="AC35" i="7"/>
  <c r="Y35" i="7"/>
  <c r="AA35" i="7"/>
  <c r="AA36" i="7" s="1"/>
  <c r="W35" i="7"/>
  <c r="W36" i="7" s="1"/>
  <c r="P36" i="7"/>
  <c r="P38" i="7" s="1"/>
  <c r="M33" i="7"/>
  <c r="AB20" i="3"/>
  <c r="AB19" i="3"/>
  <c r="AB13" i="3"/>
  <c r="AB14" i="3" s="1"/>
  <c r="AB10" i="3"/>
  <c r="AB9" i="3"/>
  <c r="AB7" i="3"/>
  <c r="AB6" i="3"/>
  <c r="E19" i="1"/>
  <c r="E23" i="1" s="1"/>
  <c r="O25" i="5"/>
  <c r="N16" i="5"/>
  <c r="P24" i="5"/>
  <c r="N15" i="5"/>
  <c r="F16" i="5"/>
  <c r="F15" i="5"/>
  <c r="K25" i="8"/>
  <c r="K26" i="8" s="1"/>
  <c r="K27" i="8" s="1"/>
  <c r="I10" i="1"/>
  <c r="I13" i="1" s="1"/>
  <c r="I15" i="1" s="1"/>
  <c r="I9" i="1"/>
  <c r="I7" i="1"/>
  <c r="E7" i="1"/>
  <c r="G22" i="5" l="1"/>
  <c r="G23" i="5" s="1"/>
  <c r="G24" i="5" s="1"/>
  <c r="G21" i="5"/>
  <c r="E12" i="1"/>
  <c r="E13" i="1" s="1"/>
  <c r="C19" i="8"/>
  <c r="C21" i="8" s="1"/>
  <c r="C22" i="8" s="1"/>
  <c r="S13" i="8"/>
  <c r="S14" i="8" s="1"/>
  <c r="C11" i="20"/>
  <c r="F11" i="20" s="1"/>
  <c r="E12" i="20" s="1"/>
  <c r="D13" i="20" s="1"/>
  <c r="B12" i="20"/>
  <c r="H24" i="5"/>
  <c r="W20" i="11"/>
  <c r="S19" i="11"/>
  <c r="S20" i="11" s="1"/>
  <c r="O19" i="17"/>
  <c r="S7" i="17" s="1"/>
  <c r="S8" i="17" s="1"/>
  <c r="K27" i="17"/>
  <c r="K30" i="17" s="1"/>
  <c r="K33" i="17" s="1"/>
  <c r="K5" i="11"/>
  <c r="G5" i="11"/>
  <c r="S6" i="11"/>
  <c r="H31" i="9"/>
  <c r="H33" i="9" s="1"/>
  <c r="H35" i="9" s="1"/>
  <c r="H22" i="9"/>
  <c r="D39" i="9"/>
  <c r="D40" i="9" s="1"/>
  <c r="D41" i="9" s="1"/>
  <c r="L39" i="9"/>
  <c r="L40" i="9" s="1"/>
  <c r="L41" i="9" s="1"/>
  <c r="L33" i="9"/>
  <c r="L27" i="9" s="1"/>
  <c r="L31" i="9"/>
  <c r="D31" i="9"/>
  <c r="K29" i="8"/>
  <c r="O25" i="8"/>
  <c r="O13" i="8"/>
  <c r="O14" i="8" s="1"/>
  <c r="O15" i="8" s="1"/>
  <c r="O16" i="8"/>
  <c r="O28" i="8" s="1"/>
  <c r="K17" i="8"/>
  <c r="O21" i="5"/>
  <c r="I12" i="1"/>
  <c r="I14" i="1"/>
  <c r="G26" i="5" l="1"/>
  <c r="C20" i="8"/>
  <c r="E14" i="1"/>
  <c r="E15" i="1" s="1"/>
  <c r="S15" i="8"/>
  <c r="S17" i="8" s="1"/>
  <c r="W25" i="17"/>
  <c r="W26" i="17" s="1"/>
  <c r="C12" i="20"/>
  <c r="F12" i="20" s="1"/>
  <c r="E13" i="20" s="1"/>
  <c r="D14" i="20" s="1"/>
  <c r="B13" i="20"/>
  <c r="S7" i="11"/>
  <c r="O20" i="17"/>
  <c r="O21" i="17" s="1"/>
  <c r="O22" i="17" s="1"/>
  <c r="O24" i="17" s="1"/>
  <c r="K32" i="17"/>
  <c r="S9" i="17"/>
  <c r="S10" i="17" s="1"/>
  <c r="S19" i="17"/>
  <c r="S20" i="17" s="1"/>
  <c r="S21" i="17" s="1"/>
  <c r="S22" i="17" s="1"/>
  <c r="G6" i="11"/>
  <c r="K6" i="11"/>
  <c r="H43" i="9"/>
  <c r="H44" i="9" s="1"/>
  <c r="H45" i="9" s="1"/>
  <c r="H39" i="9" s="1"/>
  <c r="H27" i="9"/>
  <c r="F33" i="9"/>
  <c r="L36" i="9"/>
  <c r="L35" i="9"/>
  <c r="D36" i="9"/>
  <c r="D35" i="9"/>
  <c r="O17" i="8"/>
  <c r="O26" i="8"/>
  <c r="O27" i="8" s="1"/>
  <c r="O29" i="8" s="1"/>
  <c r="O26" i="5"/>
  <c r="M26" i="5"/>
  <c r="C13" i="20" l="1"/>
  <c r="F13" i="20" s="1"/>
  <c r="E14" i="20" s="1"/>
  <c r="D15" i="20" s="1"/>
  <c r="B14" i="20"/>
  <c r="D19" i="6"/>
  <c r="S3" i="8" s="1"/>
  <c r="S4" i="8" s="1"/>
  <c r="E26" i="5"/>
  <c r="K26" i="11"/>
  <c r="J36" i="11" s="1"/>
  <c r="O32" i="17"/>
  <c r="O25" i="17"/>
  <c r="Q6" i="15"/>
  <c r="K21" i="11"/>
  <c r="K7" i="11"/>
  <c r="H46" i="9"/>
  <c r="J27" i="9"/>
  <c r="H29" i="9"/>
  <c r="H36" i="9"/>
  <c r="K30" i="8"/>
  <c r="K7" i="8"/>
  <c r="D20" i="6" l="1"/>
  <c r="W39" i="11"/>
  <c r="W40" i="11" s="1"/>
  <c r="W41" i="11" s="1"/>
  <c r="C40" i="11"/>
  <c r="C14" i="20"/>
  <c r="F14" i="20" s="1"/>
  <c r="E15" i="20" s="1"/>
  <c r="D16" i="20" s="1"/>
  <c r="B15" i="20"/>
  <c r="Q10" i="18"/>
  <c r="Q9" i="18"/>
  <c r="Q8" i="18"/>
  <c r="O26" i="17"/>
  <c r="G8" i="11"/>
  <c r="G10" i="11"/>
  <c r="G9" i="11"/>
  <c r="K22" i="11"/>
  <c r="K36" i="11"/>
  <c r="K11" i="11"/>
  <c r="K20" i="11"/>
  <c r="K18" i="11"/>
  <c r="J45" i="9"/>
  <c r="O18" i="8"/>
  <c r="O30" i="8"/>
  <c r="K18" i="8"/>
  <c r="K31" i="8"/>
  <c r="U3" i="8" l="1"/>
  <c r="S19" i="8"/>
  <c r="S20" i="8" s="1"/>
  <c r="W42" i="11"/>
  <c r="C15" i="20"/>
  <c r="F15" i="20" s="1"/>
  <c r="E16" i="20" s="1"/>
  <c r="D17" i="20" s="1"/>
  <c r="B16" i="20"/>
  <c r="G13" i="11"/>
  <c r="H40" i="9"/>
  <c r="H41" i="9" s="1"/>
  <c r="O28" i="17"/>
  <c r="O29" i="17" s="1"/>
  <c r="O30" i="17" s="1"/>
  <c r="O27" i="17"/>
  <c r="K19" i="8"/>
  <c r="K20" i="8" s="1"/>
  <c r="O19" i="8"/>
  <c r="O20" i="8" s="1"/>
  <c r="O31" i="8"/>
  <c r="O32" i="8" s="1"/>
  <c r="K32" i="8"/>
  <c r="S9" i="8" l="1"/>
  <c r="S10" i="8" s="1"/>
  <c r="S11" i="8" s="1"/>
  <c r="B57" i="2"/>
  <c r="C57" i="2" s="1"/>
  <c r="D57" i="2" s="1"/>
  <c r="B45" i="2"/>
  <c r="C45" i="2" s="1"/>
  <c r="D45" i="2" s="1"/>
  <c r="B35" i="2"/>
  <c r="C35" i="2" s="1"/>
  <c r="D35" i="2" s="1"/>
  <c r="B48" i="2"/>
  <c r="C48" i="2" s="1"/>
  <c r="D48" i="2" s="1"/>
  <c r="B41" i="2"/>
  <c r="C41" i="2" s="1"/>
  <c r="D41" i="2" s="1"/>
  <c r="B9" i="2"/>
  <c r="C9" i="2" s="1"/>
  <c r="D9" i="2" s="1"/>
  <c r="B63" i="2"/>
  <c r="C63" i="2" s="1"/>
  <c r="D63" i="2" s="1"/>
  <c r="B3" i="2"/>
  <c r="C3" i="2" s="1"/>
  <c r="D3" i="2" s="1"/>
  <c r="B20" i="2"/>
  <c r="C20" i="2" s="1"/>
  <c r="D20" i="2" s="1"/>
  <c r="B37" i="2"/>
  <c r="C37" i="2" s="1"/>
  <c r="D37" i="2" s="1"/>
  <c r="B8" i="2"/>
  <c r="C8" i="2" s="1"/>
  <c r="D8" i="2" s="1"/>
  <c r="B24" i="2"/>
  <c r="C24" i="2" s="1"/>
  <c r="D24" i="2" s="1"/>
  <c r="B10" i="2"/>
  <c r="C10" i="2" s="1"/>
  <c r="D10" i="2" s="1"/>
  <c r="B46" i="2"/>
  <c r="C46" i="2" s="1"/>
  <c r="D46" i="2" s="1"/>
  <c r="B15" i="2"/>
  <c r="C15" i="2" s="1"/>
  <c r="D15" i="2" s="1"/>
  <c r="B54" i="2"/>
  <c r="C54" i="2" s="1"/>
  <c r="D54" i="2" s="1"/>
  <c r="B22" i="2"/>
  <c r="C22" i="2" s="1"/>
  <c r="D22" i="2" s="1"/>
  <c r="B47" i="2"/>
  <c r="C47" i="2" s="1"/>
  <c r="D47" i="2" s="1"/>
  <c r="B7" i="2"/>
  <c r="C7" i="2" s="1"/>
  <c r="D7" i="2" s="1"/>
  <c r="B32" i="2"/>
  <c r="C32" i="2" s="1"/>
  <c r="D32" i="2" s="1"/>
  <c r="B6" i="2"/>
  <c r="C6" i="2" s="1"/>
  <c r="D6" i="2" s="1"/>
  <c r="B17" i="2"/>
  <c r="C17" i="2" s="1"/>
  <c r="D17" i="2" s="1"/>
  <c r="B5" i="2"/>
  <c r="C5" i="2" s="1"/>
  <c r="D5" i="2" s="1"/>
  <c r="B61" i="2"/>
  <c r="C61" i="2" s="1"/>
  <c r="D61" i="2" s="1"/>
  <c r="B29" i="2"/>
  <c r="C29" i="2" s="1"/>
  <c r="D29" i="2" s="1"/>
  <c r="B51" i="2"/>
  <c r="C51" i="2" s="1"/>
  <c r="D51" i="2" s="1"/>
  <c r="B42" i="2"/>
  <c r="C42" i="2" s="1"/>
  <c r="D42" i="2" s="1"/>
  <c r="B49" i="2"/>
  <c r="C49" i="2" s="1"/>
  <c r="D49" i="2" s="1"/>
  <c r="B25" i="2"/>
  <c r="C25" i="2" s="1"/>
  <c r="D25" i="2" s="1"/>
  <c r="B36" i="2"/>
  <c r="C36" i="2" s="1"/>
  <c r="D36" i="2" s="1"/>
  <c r="B12" i="2"/>
  <c r="C12" i="2" s="1"/>
  <c r="D12" i="2" s="1"/>
  <c r="B34" i="2"/>
  <c r="C34" i="2" s="1"/>
  <c r="D34" i="2" s="1"/>
  <c r="B11" i="2"/>
  <c r="C11" i="2" s="1"/>
  <c r="D11" i="2" s="1"/>
  <c r="B56" i="2"/>
  <c r="C56" i="2" s="1"/>
  <c r="D56" i="2" s="1"/>
  <c r="B28" i="2"/>
  <c r="C28" i="2" s="1"/>
  <c r="D28" i="2" s="1"/>
  <c r="B31" i="2"/>
  <c r="C31" i="2" s="1"/>
  <c r="D31" i="2" s="1"/>
  <c r="B14" i="2"/>
  <c r="C14" i="2" s="1"/>
  <c r="D14" i="2" s="1"/>
  <c r="B27" i="2"/>
  <c r="C27" i="2" s="1"/>
  <c r="D27" i="2" s="1"/>
  <c r="B58" i="2"/>
  <c r="C58" i="2" s="1"/>
  <c r="D58" i="2" s="1"/>
  <c r="B43" i="2"/>
  <c r="C43" i="2" s="1"/>
  <c r="D43" i="2" s="1"/>
  <c r="B52" i="2"/>
  <c r="C52" i="2" s="1"/>
  <c r="D52" i="2" s="1"/>
  <c r="B55" i="2"/>
  <c r="C55" i="2" s="1"/>
  <c r="D55" i="2" s="1"/>
  <c r="B30" i="2"/>
  <c r="C30" i="2" s="1"/>
  <c r="D30" i="2" s="1"/>
  <c r="B33" i="2"/>
  <c r="C33" i="2" s="1"/>
  <c r="D33" i="2" s="1"/>
  <c r="B44" i="2"/>
  <c r="C44" i="2" s="1"/>
  <c r="D44" i="2" s="1"/>
  <c r="B40" i="2"/>
  <c r="C40" i="2" s="1"/>
  <c r="D40" i="2" s="1"/>
  <c r="B62" i="2"/>
  <c r="C62" i="2" s="1"/>
  <c r="D62" i="2" s="1"/>
  <c r="B50" i="2"/>
  <c r="C50" i="2" s="1"/>
  <c r="D50" i="2" s="1"/>
  <c r="B38" i="2"/>
  <c r="C38" i="2" s="1"/>
  <c r="D38" i="2" s="1"/>
  <c r="B16" i="2"/>
  <c r="C16" i="2" s="1"/>
  <c r="D16" i="2" s="1"/>
  <c r="B18" i="2"/>
  <c r="C18" i="2" s="1"/>
  <c r="D18" i="2" s="1"/>
  <c r="B23" i="2"/>
  <c r="C23" i="2" s="1"/>
  <c r="D23" i="2" s="1"/>
  <c r="B39" i="2"/>
  <c r="C39" i="2" s="1"/>
  <c r="D39" i="2" s="1"/>
  <c r="B26" i="2"/>
  <c r="C26" i="2" s="1"/>
  <c r="D26" i="2" s="1"/>
  <c r="B13" i="2"/>
  <c r="C13" i="2" s="1"/>
  <c r="D13" i="2" s="1"/>
  <c r="B19" i="2"/>
  <c r="C19" i="2" s="1"/>
  <c r="D19" i="2" s="1"/>
  <c r="B2" i="2"/>
  <c r="C2" i="2" s="1"/>
  <c r="D2" i="2" s="1"/>
  <c r="B4" i="2"/>
  <c r="C4" i="2" s="1"/>
  <c r="D4" i="2" s="1"/>
  <c r="B59" i="2"/>
  <c r="C59" i="2" s="1"/>
  <c r="D59" i="2" s="1"/>
  <c r="B21" i="2"/>
  <c r="C21" i="2" s="1"/>
  <c r="D21" i="2" s="1"/>
  <c r="B53" i="2"/>
  <c r="C53" i="2" s="1"/>
  <c r="D53" i="2" s="1"/>
  <c r="B60" i="2"/>
  <c r="C60" i="2" s="1"/>
  <c r="D60" i="2" s="1"/>
  <c r="S23" i="8"/>
  <c r="S27" i="8" s="1"/>
  <c r="S28" i="8" s="1"/>
  <c r="U19" i="8"/>
  <c r="C16" i="20"/>
  <c r="F16" i="20" s="1"/>
  <c r="E17" i="20" s="1"/>
  <c r="D18" i="20" s="1"/>
  <c r="B17" i="20"/>
  <c r="K28" i="11"/>
  <c r="G12" i="11"/>
  <c r="O33" i="17"/>
  <c r="O34" i="17" s="1"/>
  <c r="W10" i="17"/>
  <c r="W11" i="17" s="1"/>
  <c r="W12" i="17" s="1"/>
  <c r="W3" i="17"/>
  <c r="S15" i="17"/>
  <c r="S16" i="17" s="1"/>
  <c r="S23" i="17" s="1"/>
  <c r="S24" i="17" s="1"/>
  <c r="S3" i="17"/>
  <c r="S4" i="17" s="1"/>
  <c r="S11" i="17" s="1"/>
  <c r="S12" i="17" s="1"/>
  <c r="O31" i="17"/>
  <c r="G27" i="5" l="1"/>
  <c r="O27" i="5"/>
  <c r="U27" i="8"/>
  <c r="S24" i="8"/>
  <c r="U23" i="8"/>
  <c r="S5" i="8"/>
  <c r="D24" i="6" s="1"/>
  <c r="E13" i="2"/>
  <c r="F13" i="2" s="1"/>
  <c r="G13" i="2" s="1"/>
  <c r="E60" i="2"/>
  <c r="F60" i="2" s="1"/>
  <c r="G60" i="2" s="1"/>
  <c r="E18" i="2"/>
  <c r="F18" i="2" s="1"/>
  <c r="G18" i="2" s="1"/>
  <c r="E55" i="2"/>
  <c r="F55" i="2" s="1"/>
  <c r="G55" i="2" s="1"/>
  <c r="E58" i="2"/>
  <c r="F58" i="2" s="1"/>
  <c r="G58" i="2" s="1"/>
  <c r="E40" i="2"/>
  <c r="F40" i="2" s="1"/>
  <c r="G40" i="2" s="1"/>
  <c r="E62" i="2"/>
  <c r="F62" i="2" s="1"/>
  <c r="G62" i="2" s="1"/>
  <c r="E6" i="2"/>
  <c r="F6" i="2" s="1"/>
  <c r="G6" i="2" s="1"/>
  <c r="E46" i="2"/>
  <c r="F46" i="2" s="1"/>
  <c r="G46" i="2" s="1"/>
  <c r="E59" i="2"/>
  <c r="F59" i="2" s="1"/>
  <c r="G59" i="2" s="1"/>
  <c r="E49" i="2"/>
  <c r="F49" i="2" s="1"/>
  <c r="G49" i="2" s="1"/>
  <c r="E10" i="2"/>
  <c r="F10" i="2" s="1"/>
  <c r="G10" i="2" s="1"/>
  <c r="E19" i="2"/>
  <c r="F19" i="2" s="1"/>
  <c r="G19" i="2" s="1"/>
  <c r="E38" i="2"/>
  <c r="F38" i="2" s="1"/>
  <c r="G38" i="2" s="1"/>
  <c r="E43" i="2"/>
  <c r="F43" i="2" s="1"/>
  <c r="G43" i="2" s="1"/>
  <c r="E61" i="2"/>
  <c r="F61" i="2" s="1"/>
  <c r="G61" i="2" s="1"/>
  <c r="E52" i="2"/>
  <c r="F52" i="2" s="1"/>
  <c r="G52" i="2" s="1"/>
  <c r="E57" i="2"/>
  <c r="F57" i="2" s="1"/>
  <c r="G57" i="2" s="1"/>
  <c r="E37" i="2"/>
  <c r="F37" i="2" s="1"/>
  <c r="G37" i="2" s="1"/>
  <c r="E39" i="2"/>
  <c r="F39" i="2" s="1"/>
  <c r="G39" i="2" s="1"/>
  <c r="E33" i="2"/>
  <c r="F33" i="2" s="1"/>
  <c r="G33" i="2" s="1"/>
  <c r="E20" i="2"/>
  <c r="F20" i="2" s="1"/>
  <c r="G20" i="2" s="1"/>
  <c r="E26" i="2"/>
  <c r="F26" i="2" s="1"/>
  <c r="G26" i="2" s="1"/>
  <c r="E42" i="2"/>
  <c r="F42" i="2" s="1"/>
  <c r="G42" i="2" s="1"/>
  <c r="E44" i="2"/>
  <c r="F44" i="2" s="1"/>
  <c r="G44" i="2" s="1"/>
  <c r="E41" i="2"/>
  <c r="F41" i="2" s="1"/>
  <c r="G41" i="2" s="1"/>
  <c r="E28" i="2"/>
  <c r="F28" i="2" s="1"/>
  <c r="G28" i="2" s="1"/>
  <c r="E11" i="2"/>
  <c r="F11" i="2" s="1"/>
  <c r="G11" i="2" s="1"/>
  <c r="E30" i="2"/>
  <c r="F30" i="2" s="1"/>
  <c r="G30" i="2" s="1"/>
  <c r="E9" i="2"/>
  <c r="F9" i="2" s="1"/>
  <c r="G9" i="2" s="1"/>
  <c r="E8" i="2"/>
  <c r="F8" i="2" s="1"/>
  <c r="G8" i="2" s="1"/>
  <c r="E56" i="2"/>
  <c r="F56" i="2" s="1"/>
  <c r="G56" i="2" s="1"/>
  <c r="E5" i="2"/>
  <c r="F5" i="2" s="1"/>
  <c r="G5" i="2" s="1"/>
  <c r="E17" i="2"/>
  <c r="F17" i="2" s="1"/>
  <c r="G17" i="2" s="1"/>
  <c r="E48" i="2"/>
  <c r="F48" i="2" s="1"/>
  <c r="G48" i="2" s="1"/>
  <c r="E22" i="2"/>
  <c r="F22" i="2" s="1"/>
  <c r="G22" i="2" s="1"/>
  <c r="E34" i="2"/>
  <c r="F34" i="2" s="1"/>
  <c r="G34" i="2" s="1"/>
  <c r="E45" i="2"/>
  <c r="F45" i="2" s="1"/>
  <c r="G45" i="2" s="1"/>
  <c r="E27" i="2"/>
  <c r="F27" i="2" s="1"/>
  <c r="G27" i="2" s="1"/>
  <c r="E36" i="2"/>
  <c r="F36" i="2" s="1"/>
  <c r="G36" i="2" s="1"/>
  <c r="E47" i="2"/>
  <c r="F47" i="2" s="1"/>
  <c r="G47" i="2" s="1"/>
  <c r="E31" i="2"/>
  <c r="F31" i="2" s="1"/>
  <c r="G31" i="2" s="1"/>
  <c r="E63" i="2"/>
  <c r="F63" i="2" s="1"/>
  <c r="G63" i="2" s="1"/>
  <c r="E51" i="2"/>
  <c r="F51" i="2" s="1"/>
  <c r="G51" i="2" s="1"/>
  <c r="E2" i="2"/>
  <c r="F2" i="2" s="1"/>
  <c r="G2" i="2" s="1"/>
  <c r="E14" i="2"/>
  <c r="F14" i="2" s="1"/>
  <c r="G14" i="2" s="1"/>
  <c r="E25" i="2"/>
  <c r="F25" i="2" s="1"/>
  <c r="G25" i="2" s="1"/>
  <c r="E3" i="2"/>
  <c r="F3" i="2" s="1"/>
  <c r="G3" i="2" s="1"/>
  <c r="E12" i="2"/>
  <c r="F12" i="2" s="1"/>
  <c r="G12" i="2" s="1"/>
  <c r="E24" i="2"/>
  <c r="F24" i="2" s="1"/>
  <c r="G24" i="2" s="1"/>
  <c r="E16" i="2"/>
  <c r="F16" i="2" s="1"/>
  <c r="G16" i="2" s="1"/>
  <c r="E29" i="2"/>
  <c r="F29" i="2" s="1"/>
  <c r="G29" i="2" s="1"/>
  <c r="E7" i="2"/>
  <c r="F7" i="2" s="1"/>
  <c r="G7" i="2" s="1"/>
  <c r="E4" i="2"/>
  <c r="F4" i="2" s="1"/>
  <c r="G4" i="2" s="1"/>
  <c r="E53" i="2"/>
  <c r="F53" i="2" s="1"/>
  <c r="G53" i="2" s="1"/>
  <c r="E35" i="2"/>
  <c r="F35" i="2" s="1"/>
  <c r="G35" i="2" s="1"/>
  <c r="E50" i="2"/>
  <c r="F50" i="2" s="1"/>
  <c r="G50" i="2" s="1"/>
  <c r="E32" i="2"/>
  <c r="F32" i="2" s="1"/>
  <c r="G32" i="2" s="1"/>
  <c r="E54" i="2"/>
  <c r="F54" i="2" s="1"/>
  <c r="G54" i="2" s="1"/>
  <c r="E15" i="2"/>
  <c r="F15" i="2" s="1"/>
  <c r="G15" i="2" s="1"/>
  <c r="E23" i="2"/>
  <c r="F23" i="2" s="1"/>
  <c r="G23" i="2" s="1"/>
  <c r="E21" i="2"/>
  <c r="F21" i="2" s="1"/>
  <c r="G21" i="2" s="1"/>
  <c r="Q16" i="18"/>
  <c r="M14" i="18"/>
  <c r="B18" i="20"/>
  <c r="C17" i="20"/>
  <c r="F17" i="20" s="1"/>
  <c r="E18" i="20" s="1"/>
  <c r="D19" i="20" s="1"/>
  <c r="W4" i="17"/>
  <c r="H30" i="17" s="1"/>
  <c r="H31" i="17" s="1"/>
  <c r="W5" i="17"/>
  <c r="D4" i="9"/>
  <c r="D5" i="9" s="1"/>
  <c r="Q21" i="18" l="1"/>
  <c r="Q24" i="18" s="1"/>
  <c r="Q18" i="18"/>
  <c r="M22" i="18"/>
  <c r="M23" i="18" s="1"/>
  <c r="M28" i="18" s="1"/>
  <c r="H7" i="6" s="1"/>
  <c r="K8" i="2"/>
  <c r="L8" i="2" s="1"/>
  <c r="K20" i="2"/>
  <c r="L20" i="2" s="1"/>
  <c r="K32" i="2"/>
  <c r="L32" i="2" s="1"/>
  <c r="K44" i="2"/>
  <c r="L44" i="2" s="1"/>
  <c r="K56" i="2"/>
  <c r="L56" i="2" s="1"/>
  <c r="K9" i="2"/>
  <c r="L9" i="2" s="1"/>
  <c r="K33" i="2"/>
  <c r="L33" i="2" s="1"/>
  <c r="K45" i="2"/>
  <c r="L45" i="2" s="1"/>
  <c r="K57" i="2"/>
  <c r="L57" i="2" s="1"/>
  <c r="K35" i="2"/>
  <c r="L35" i="2" s="1"/>
  <c r="K59" i="2"/>
  <c r="L59" i="2" s="1"/>
  <c r="K24" i="2"/>
  <c r="L24" i="2" s="1"/>
  <c r="K48" i="2"/>
  <c r="L48" i="2" s="1"/>
  <c r="K13" i="2"/>
  <c r="L13" i="2" s="1"/>
  <c r="K25" i="2"/>
  <c r="L25" i="2" s="1"/>
  <c r="K49" i="2"/>
  <c r="L49" i="2" s="1"/>
  <c r="K2" i="2"/>
  <c r="L2" i="2" s="1"/>
  <c r="K14" i="2"/>
  <c r="L14" i="2" s="1"/>
  <c r="K38" i="2"/>
  <c r="L38" i="2" s="1"/>
  <c r="K62" i="2"/>
  <c r="L62" i="2" s="1"/>
  <c r="K3" i="2"/>
  <c r="L3" i="2" s="1"/>
  <c r="K15" i="2"/>
  <c r="L15" i="2" s="1"/>
  <c r="K39" i="2"/>
  <c r="L39" i="2" s="1"/>
  <c r="K51" i="2"/>
  <c r="L51" i="2" s="1"/>
  <c r="K21" i="2"/>
  <c r="L21" i="2" s="1"/>
  <c r="K10" i="2"/>
  <c r="L10" i="2" s="1"/>
  <c r="K22" i="2"/>
  <c r="L22" i="2" s="1"/>
  <c r="K34" i="2"/>
  <c r="L34" i="2" s="1"/>
  <c r="K46" i="2"/>
  <c r="L46" i="2" s="1"/>
  <c r="K58" i="2"/>
  <c r="L58" i="2" s="1"/>
  <c r="K11" i="2"/>
  <c r="L11" i="2" s="1"/>
  <c r="K23" i="2"/>
  <c r="L23" i="2" s="1"/>
  <c r="K47" i="2"/>
  <c r="L47" i="2" s="1"/>
  <c r="K12" i="2"/>
  <c r="L12" i="2" s="1"/>
  <c r="K36" i="2"/>
  <c r="L36" i="2" s="1"/>
  <c r="K60" i="2"/>
  <c r="L60" i="2" s="1"/>
  <c r="K37" i="2"/>
  <c r="L37" i="2" s="1"/>
  <c r="K61" i="2"/>
  <c r="L61" i="2" s="1"/>
  <c r="K26" i="2"/>
  <c r="L26" i="2" s="1"/>
  <c r="K50" i="2"/>
  <c r="L50" i="2" s="1"/>
  <c r="K27" i="2"/>
  <c r="L27" i="2" s="1"/>
  <c r="K63" i="2"/>
  <c r="L63" i="2" s="1"/>
  <c r="K6" i="2"/>
  <c r="L6" i="2" s="1"/>
  <c r="K42" i="2"/>
  <c r="L42" i="2" s="1"/>
  <c r="K17" i="2"/>
  <c r="L17" i="2" s="1"/>
  <c r="K53" i="2"/>
  <c r="L53" i="2" s="1"/>
  <c r="K30" i="2"/>
  <c r="L30" i="2" s="1"/>
  <c r="K40" i="2"/>
  <c r="L40" i="2" s="1"/>
  <c r="K7" i="2"/>
  <c r="L7" i="2" s="1"/>
  <c r="K43" i="2"/>
  <c r="L43" i="2" s="1"/>
  <c r="K54" i="2"/>
  <c r="L54" i="2" s="1"/>
  <c r="K19" i="2"/>
  <c r="L19" i="2" s="1"/>
  <c r="K28" i="2"/>
  <c r="L28" i="2" s="1"/>
  <c r="K29" i="2"/>
  <c r="L29" i="2" s="1"/>
  <c r="K41" i="2"/>
  <c r="L41" i="2" s="1"/>
  <c r="K16" i="2"/>
  <c r="L16" i="2" s="1"/>
  <c r="K52" i="2"/>
  <c r="L52" i="2" s="1"/>
  <c r="K18" i="2"/>
  <c r="L18" i="2" s="1"/>
  <c r="K55" i="2"/>
  <c r="L55" i="2" s="1"/>
  <c r="K31" i="2"/>
  <c r="L31" i="2" s="1"/>
  <c r="K4" i="2"/>
  <c r="L4" i="2" s="1"/>
  <c r="K5" i="2"/>
  <c r="L5" i="2" s="1"/>
  <c r="S21" i="8"/>
  <c r="D23" i="6" s="1"/>
  <c r="Q17" i="18"/>
  <c r="H3" i="2"/>
  <c r="I3" i="2" s="1"/>
  <c r="J3" i="2" s="1"/>
  <c r="H31" i="2"/>
  <c r="I31" i="2" s="1"/>
  <c r="J31" i="2" s="1"/>
  <c r="H53" i="2"/>
  <c r="I53" i="2" s="1"/>
  <c r="J53" i="2" s="1"/>
  <c r="H13" i="2"/>
  <c r="I13" i="2" s="1"/>
  <c r="J13" i="2" s="1"/>
  <c r="H14" i="2"/>
  <c r="I14" i="2" s="1"/>
  <c r="J14" i="2" s="1"/>
  <c r="H60" i="2"/>
  <c r="I60" i="2" s="1"/>
  <c r="J60" i="2" s="1"/>
  <c r="H4" i="2"/>
  <c r="I4" i="2" s="1"/>
  <c r="J4" i="2" s="1"/>
  <c r="H15" i="2"/>
  <c r="I15" i="2" s="1"/>
  <c r="J15" i="2" s="1"/>
  <c r="H27" i="2"/>
  <c r="I27" i="2" s="1"/>
  <c r="J27" i="2" s="1"/>
  <c r="H32" i="2"/>
  <c r="I32" i="2" s="1"/>
  <c r="J32" i="2" s="1"/>
  <c r="H10" i="2"/>
  <c r="I10" i="2" s="1"/>
  <c r="J10" i="2" s="1"/>
  <c r="H2" i="2"/>
  <c r="I2" i="2" s="1"/>
  <c r="J2" i="2" s="1"/>
  <c r="H61" i="2"/>
  <c r="I61" i="2" s="1"/>
  <c r="J61" i="2" s="1"/>
  <c r="H16" i="2"/>
  <c r="I16" i="2" s="1"/>
  <c r="J16" i="2" s="1"/>
  <c r="H28" i="2"/>
  <c r="I28" i="2" s="1"/>
  <c r="J28" i="2" s="1"/>
  <c r="H62" i="2"/>
  <c r="I62" i="2" s="1"/>
  <c r="J62" i="2" s="1"/>
  <c r="H34" i="2"/>
  <c r="I34" i="2" s="1"/>
  <c r="J34" i="2" s="1"/>
  <c r="H43" i="2"/>
  <c r="I43" i="2" s="1"/>
  <c r="J43" i="2" s="1"/>
  <c r="H50" i="2"/>
  <c r="I50" i="2" s="1"/>
  <c r="J50" i="2" s="1"/>
  <c r="H6" i="2"/>
  <c r="I6" i="2" s="1"/>
  <c r="J6" i="2" s="1"/>
  <c r="H5" i="2"/>
  <c r="I5" i="2" s="1"/>
  <c r="J5" i="2" s="1"/>
  <c r="H55" i="2"/>
  <c r="I55" i="2" s="1"/>
  <c r="J55" i="2" s="1"/>
  <c r="H20" i="2"/>
  <c r="I20" i="2" s="1"/>
  <c r="J20" i="2" s="1"/>
  <c r="H35" i="2"/>
  <c r="I35" i="2" s="1"/>
  <c r="J35" i="2" s="1"/>
  <c r="H21" i="2"/>
  <c r="I21" i="2" s="1"/>
  <c r="J21" i="2" s="1"/>
  <c r="H59" i="2"/>
  <c r="I59" i="2" s="1"/>
  <c r="J59" i="2" s="1"/>
  <c r="H26" i="2"/>
  <c r="I26" i="2" s="1"/>
  <c r="J26" i="2" s="1"/>
  <c r="H58" i="2"/>
  <c r="I58" i="2" s="1"/>
  <c r="J58" i="2" s="1"/>
  <c r="H18" i="2"/>
  <c r="I18" i="2" s="1"/>
  <c r="J18" i="2" s="1"/>
  <c r="H33" i="2"/>
  <c r="I33" i="2" s="1"/>
  <c r="J33" i="2" s="1"/>
  <c r="H11" i="2"/>
  <c r="I11" i="2" s="1"/>
  <c r="J11" i="2" s="1"/>
  <c r="H51" i="2"/>
  <c r="I51" i="2" s="1"/>
  <c r="J51" i="2" s="1"/>
  <c r="H47" i="2"/>
  <c r="I47" i="2" s="1"/>
  <c r="J47" i="2" s="1"/>
  <c r="H36" i="2"/>
  <c r="I36" i="2" s="1"/>
  <c r="J36" i="2" s="1"/>
  <c r="H37" i="2"/>
  <c r="I37" i="2" s="1"/>
  <c r="J37" i="2" s="1"/>
  <c r="H45" i="2"/>
  <c r="I45" i="2" s="1"/>
  <c r="J45" i="2" s="1"/>
  <c r="H56" i="2"/>
  <c r="I56" i="2" s="1"/>
  <c r="J56" i="2" s="1"/>
  <c r="H29" i="2"/>
  <c r="I29" i="2" s="1"/>
  <c r="J29" i="2" s="1"/>
  <c r="H12" i="2"/>
  <c r="I12" i="2" s="1"/>
  <c r="J12" i="2" s="1"/>
  <c r="H46" i="2"/>
  <c r="I46" i="2" s="1"/>
  <c r="J46" i="2" s="1"/>
  <c r="H42" i="2"/>
  <c r="I42" i="2" s="1"/>
  <c r="J42" i="2" s="1"/>
  <c r="H63" i="2"/>
  <c r="I63" i="2" s="1"/>
  <c r="J63" i="2" s="1"/>
  <c r="H48" i="2"/>
  <c r="I48" i="2" s="1"/>
  <c r="J48" i="2" s="1"/>
  <c r="H7" i="2"/>
  <c r="I7" i="2" s="1"/>
  <c r="J7" i="2" s="1"/>
  <c r="H19" i="2"/>
  <c r="I19" i="2" s="1"/>
  <c r="J19" i="2" s="1"/>
  <c r="H57" i="2"/>
  <c r="I57" i="2" s="1"/>
  <c r="J57" i="2" s="1"/>
  <c r="H25" i="2"/>
  <c r="I25" i="2" s="1"/>
  <c r="J25" i="2" s="1"/>
  <c r="H41" i="2"/>
  <c r="I41" i="2" s="1"/>
  <c r="J41" i="2" s="1"/>
  <c r="H49" i="2"/>
  <c r="I49" i="2" s="1"/>
  <c r="J49" i="2" s="1"/>
  <c r="H54" i="2"/>
  <c r="I54" i="2" s="1"/>
  <c r="J54" i="2" s="1"/>
  <c r="H8" i="2"/>
  <c r="I8" i="2" s="1"/>
  <c r="J8" i="2" s="1"/>
  <c r="H23" i="2"/>
  <c r="I23" i="2" s="1"/>
  <c r="J23" i="2" s="1"/>
  <c r="H9" i="2"/>
  <c r="I9" i="2" s="1"/>
  <c r="J9" i="2" s="1"/>
  <c r="H22" i="2"/>
  <c r="I22" i="2" s="1"/>
  <c r="J22" i="2" s="1"/>
  <c r="H40" i="2"/>
  <c r="I40" i="2" s="1"/>
  <c r="J40" i="2" s="1"/>
  <c r="H39" i="2"/>
  <c r="I39" i="2" s="1"/>
  <c r="J39" i="2" s="1"/>
  <c r="H17" i="2"/>
  <c r="I17" i="2" s="1"/>
  <c r="J17" i="2" s="1"/>
  <c r="H44" i="2"/>
  <c r="I44" i="2" s="1"/>
  <c r="J44" i="2" s="1"/>
  <c r="H38" i="2"/>
  <c r="I38" i="2" s="1"/>
  <c r="J38" i="2" s="1"/>
  <c r="H52" i="2"/>
  <c r="I52" i="2" s="1"/>
  <c r="J52" i="2" s="1"/>
  <c r="H30" i="2"/>
  <c r="I30" i="2" s="1"/>
  <c r="J30" i="2" s="1"/>
  <c r="H24" i="2"/>
  <c r="I24" i="2" s="1"/>
  <c r="J24" i="2" s="1"/>
  <c r="M8" i="19"/>
  <c r="L19" i="18"/>
  <c r="E28" i="10"/>
  <c r="E77" i="10"/>
  <c r="E8" i="10"/>
  <c r="E60" i="10"/>
  <c r="E56" i="10"/>
  <c r="E21" i="10"/>
  <c r="E70" i="10"/>
  <c r="E15" i="10"/>
  <c r="E11" i="10"/>
  <c r="E57" i="10"/>
  <c r="E27" i="10"/>
  <c r="E76" i="10"/>
  <c r="E35" i="10"/>
  <c r="E19" i="10"/>
  <c r="E69" i="10"/>
  <c r="E16" i="10"/>
  <c r="E40" i="10"/>
  <c r="E89" i="10"/>
  <c r="E44" i="10"/>
  <c r="E72" i="10"/>
  <c r="E92" i="10"/>
  <c r="E33" i="10"/>
  <c r="E82" i="10"/>
  <c r="E52" i="10"/>
  <c r="E84" i="10"/>
  <c r="E45" i="10"/>
  <c r="E6" i="10"/>
  <c r="E83" i="10"/>
  <c r="E88" i="10"/>
  <c r="E18" i="10"/>
  <c r="E47" i="10"/>
  <c r="E26" i="10"/>
  <c r="E13" i="10"/>
  <c r="E87" i="10"/>
  <c r="E24" i="10"/>
  <c r="E74" i="10"/>
  <c r="E4" i="10"/>
  <c r="E36" i="10"/>
  <c r="E46" i="10"/>
  <c r="E65" i="10"/>
  <c r="E32" i="10"/>
  <c r="E3" i="10"/>
  <c r="E20" i="10"/>
  <c r="E68" i="10"/>
  <c r="E71" i="10"/>
  <c r="E94" i="10"/>
  <c r="E64" i="10"/>
  <c r="E80" i="10"/>
  <c r="E7" i="10"/>
  <c r="E2" i="10"/>
  <c r="E23" i="10"/>
  <c r="E14" i="10"/>
  <c r="E39" i="10"/>
  <c r="E31" i="10"/>
  <c r="E81" i="10"/>
  <c r="E49" i="10"/>
  <c r="E41" i="10"/>
  <c r="E79" i="10"/>
  <c r="E61" i="10"/>
  <c r="E53" i="10"/>
  <c r="E91" i="10"/>
  <c r="E73" i="10"/>
  <c r="E90" i="10"/>
  <c r="E9" i="10"/>
  <c r="E85" i="10"/>
  <c r="E51" i="10"/>
  <c r="E5" i="10"/>
  <c r="E30" i="10"/>
  <c r="E59" i="10"/>
  <c r="E43" i="10"/>
  <c r="E38" i="10"/>
  <c r="E93" i="10"/>
  <c r="E25" i="10"/>
  <c r="E63" i="10"/>
  <c r="E17" i="10"/>
  <c r="E42" i="10"/>
  <c r="E95" i="10"/>
  <c r="E55" i="10"/>
  <c r="E50" i="10"/>
  <c r="E10" i="10"/>
  <c r="E37" i="10"/>
  <c r="E75" i="10"/>
  <c r="E29" i="10"/>
  <c r="E54" i="10"/>
  <c r="E12" i="10"/>
  <c r="E67" i="10"/>
  <c r="E22" i="10"/>
  <c r="E66" i="10"/>
  <c r="E34" i="10"/>
  <c r="E78" i="10"/>
  <c r="E86" i="10"/>
  <c r="E48" i="10"/>
  <c r="E58" i="10"/>
  <c r="E62" i="10"/>
  <c r="B19" i="20"/>
  <c r="C18" i="20"/>
  <c r="F18" i="20" s="1"/>
  <c r="E19" i="20" s="1"/>
  <c r="D20" i="20" s="1"/>
  <c r="W6" i="17"/>
  <c r="W7" i="17" s="1"/>
  <c r="W8" i="17"/>
  <c r="W9" i="17" s="1"/>
  <c r="K19" i="11"/>
  <c r="N9" i="2" l="1"/>
  <c r="O9" i="2" s="1"/>
  <c r="P9" i="2" s="1"/>
  <c r="N21" i="2"/>
  <c r="O21" i="2" s="1"/>
  <c r="P21" i="2" s="1"/>
  <c r="N33" i="2"/>
  <c r="O33" i="2" s="1"/>
  <c r="P33" i="2" s="1"/>
  <c r="N45" i="2"/>
  <c r="O45" i="2" s="1"/>
  <c r="P45" i="2" s="1"/>
  <c r="N57" i="2"/>
  <c r="O57" i="2" s="1"/>
  <c r="P57" i="2" s="1"/>
  <c r="N16" i="2"/>
  <c r="O16" i="2" s="1"/>
  <c r="P16" i="2" s="1"/>
  <c r="N29" i="2"/>
  <c r="O29" i="2" s="1"/>
  <c r="P29" i="2" s="1"/>
  <c r="N7" i="2"/>
  <c r="O7" i="2" s="1"/>
  <c r="P7" i="2" s="1"/>
  <c r="N8" i="2"/>
  <c r="O8" i="2" s="1"/>
  <c r="P8" i="2" s="1"/>
  <c r="N10" i="2"/>
  <c r="O10" i="2" s="1"/>
  <c r="P10" i="2" s="1"/>
  <c r="N22" i="2"/>
  <c r="O22" i="2" s="1"/>
  <c r="P22" i="2" s="1"/>
  <c r="N34" i="2"/>
  <c r="O34" i="2" s="1"/>
  <c r="P34" i="2" s="1"/>
  <c r="N46" i="2"/>
  <c r="O46" i="2" s="1"/>
  <c r="P46" i="2" s="1"/>
  <c r="N58" i="2"/>
  <c r="O58" i="2" s="1"/>
  <c r="P58" i="2" s="1"/>
  <c r="N25" i="2"/>
  <c r="O25" i="2" s="1"/>
  <c r="P25" i="2" s="1"/>
  <c r="N61" i="2"/>
  <c r="O61" i="2" s="1"/>
  <c r="P61" i="2" s="1"/>
  <c r="N2" i="2"/>
  <c r="O2" i="2" s="1"/>
  <c r="P2" i="2" s="1"/>
  <c r="N38" i="2"/>
  <c r="O38" i="2" s="1"/>
  <c r="P38" i="2" s="1"/>
  <c r="N62" i="2"/>
  <c r="O62" i="2" s="1"/>
  <c r="P62" i="2" s="1"/>
  <c r="N15" i="2"/>
  <c r="O15" i="2" s="1"/>
  <c r="P15" i="2" s="1"/>
  <c r="N39" i="2"/>
  <c r="O39" i="2" s="1"/>
  <c r="P39" i="2" s="1"/>
  <c r="N51" i="2"/>
  <c r="O51" i="2" s="1"/>
  <c r="P51" i="2" s="1"/>
  <c r="N52" i="2"/>
  <c r="O52" i="2" s="1"/>
  <c r="P52" i="2" s="1"/>
  <c r="N5" i="2"/>
  <c r="O5" i="2" s="1"/>
  <c r="P5" i="2" s="1"/>
  <c r="N41" i="2"/>
  <c r="O41" i="2" s="1"/>
  <c r="P41" i="2" s="1"/>
  <c r="N6" i="2"/>
  <c r="O6" i="2" s="1"/>
  <c r="P6" i="2" s="1"/>
  <c r="N30" i="2"/>
  <c r="O30" i="2" s="1"/>
  <c r="P30" i="2" s="1"/>
  <c r="N43" i="2"/>
  <c r="O43" i="2" s="1"/>
  <c r="P43" i="2" s="1"/>
  <c r="N20" i="2"/>
  <c r="O20" i="2" s="1"/>
  <c r="P20" i="2" s="1"/>
  <c r="N44" i="2"/>
  <c r="O44" i="2" s="1"/>
  <c r="P44" i="2" s="1"/>
  <c r="N11" i="2"/>
  <c r="O11" i="2" s="1"/>
  <c r="P11" i="2" s="1"/>
  <c r="N23" i="2"/>
  <c r="O23" i="2" s="1"/>
  <c r="P23" i="2" s="1"/>
  <c r="N35" i="2"/>
  <c r="O35" i="2" s="1"/>
  <c r="P35" i="2" s="1"/>
  <c r="N47" i="2"/>
  <c r="O47" i="2" s="1"/>
  <c r="P47" i="2" s="1"/>
  <c r="N59" i="2"/>
  <c r="O59" i="2" s="1"/>
  <c r="P59" i="2" s="1"/>
  <c r="N24" i="2"/>
  <c r="O24" i="2" s="1"/>
  <c r="P24" i="2" s="1"/>
  <c r="N36" i="2"/>
  <c r="O36" i="2" s="1"/>
  <c r="P36" i="2" s="1"/>
  <c r="N48" i="2"/>
  <c r="O48" i="2" s="1"/>
  <c r="P48" i="2" s="1"/>
  <c r="N60" i="2"/>
  <c r="O60" i="2" s="1"/>
  <c r="P60" i="2" s="1"/>
  <c r="N13" i="2"/>
  <c r="O13" i="2" s="1"/>
  <c r="P13" i="2" s="1"/>
  <c r="N49" i="2"/>
  <c r="O49" i="2" s="1"/>
  <c r="P49" i="2" s="1"/>
  <c r="N26" i="2"/>
  <c r="O26" i="2" s="1"/>
  <c r="P26" i="2" s="1"/>
  <c r="N3" i="2"/>
  <c r="O3" i="2" s="1"/>
  <c r="P3" i="2" s="1"/>
  <c r="N27" i="2"/>
  <c r="O27" i="2" s="1"/>
  <c r="P27" i="2" s="1"/>
  <c r="N63" i="2"/>
  <c r="O63" i="2" s="1"/>
  <c r="P63" i="2" s="1"/>
  <c r="N4" i="2"/>
  <c r="O4" i="2" s="1"/>
  <c r="P4" i="2" s="1"/>
  <c r="N53" i="2"/>
  <c r="O53" i="2" s="1"/>
  <c r="P53" i="2" s="1"/>
  <c r="N42" i="2"/>
  <c r="O42" i="2" s="1"/>
  <c r="P42" i="2" s="1"/>
  <c r="N31" i="2"/>
  <c r="O31" i="2" s="1"/>
  <c r="P31" i="2" s="1"/>
  <c r="N12" i="2"/>
  <c r="O12" i="2" s="1"/>
  <c r="P12" i="2" s="1"/>
  <c r="N37" i="2"/>
  <c r="O37" i="2" s="1"/>
  <c r="P37" i="2" s="1"/>
  <c r="N14" i="2"/>
  <c r="O14" i="2" s="1"/>
  <c r="P14" i="2" s="1"/>
  <c r="N50" i="2"/>
  <c r="O50" i="2" s="1"/>
  <c r="P50" i="2" s="1"/>
  <c r="N28" i="2"/>
  <c r="O28" i="2" s="1"/>
  <c r="P28" i="2" s="1"/>
  <c r="N40" i="2"/>
  <c r="O40" i="2" s="1"/>
  <c r="P40" i="2" s="1"/>
  <c r="N17" i="2"/>
  <c r="O17" i="2" s="1"/>
  <c r="P17" i="2" s="1"/>
  <c r="N18" i="2"/>
  <c r="O18" i="2" s="1"/>
  <c r="P18" i="2" s="1"/>
  <c r="N54" i="2"/>
  <c r="O54" i="2" s="1"/>
  <c r="P54" i="2" s="1"/>
  <c r="N19" i="2"/>
  <c r="O19" i="2" s="1"/>
  <c r="P19" i="2" s="1"/>
  <c r="N55" i="2"/>
  <c r="O55" i="2" s="1"/>
  <c r="P55" i="2" s="1"/>
  <c r="N32" i="2"/>
  <c r="O32" i="2" s="1"/>
  <c r="P32" i="2" s="1"/>
  <c r="N56" i="2"/>
  <c r="O56" i="2" s="1"/>
  <c r="P56" i="2" s="1"/>
  <c r="M53" i="2"/>
  <c r="M15" i="2"/>
  <c r="M17" i="2"/>
  <c r="M3" i="2"/>
  <c r="M42" i="2"/>
  <c r="M62" i="2"/>
  <c r="M6" i="2"/>
  <c r="M38" i="2"/>
  <c r="M58" i="2"/>
  <c r="M9" i="2"/>
  <c r="M27" i="2"/>
  <c r="M56" i="2"/>
  <c r="M49" i="2"/>
  <c r="M26" i="2"/>
  <c r="M22" i="2"/>
  <c r="M32" i="2"/>
  <c r="M43" i="2"/>
  <c r="M10" i="2"/>
  <c r="M20" i="2"/>
  <c r="M4" i="2"/>
  <c r="M37" i="2"/>
  <c r="M8" i="2"/>
  <c r="M31" i="2"/>
  <c r="M40" i="2"/>
  <c r="M60" i="2"/>
  <c r="M51" i="2"/>
  <c r="M24" i="2"/>
  <c r="M18" i="2"/>
  <c r="M12" i="2"/>
  <c r="M35" i="2"/>
  <c r="M52" i="2"/>
  <c r="M47" i="2"/>
  <c r="M57" i="2"/>
  <c r="M16" i="2"/>
  <c r="M23" i="2"/>
  <c r="M45" i="2"/>
  <c r="M41" i="2"/>
  <c r="M11" i="2"/>
  <c r="M33" i="2"/>
  <c r="M29" i="2"/>
  <c r="M63" i="2"/>
  <c r="M14" i="2"/>
  <c r="M28" i="2"/>
  <c r="M46" i="2"/>
  <c r="M2" i="2"/>
  <c r="M19" i="2"/>
  <c r="M50" i="2"/>
  <c r="M34" i="2"/>
  <c r="M44" i="2"/>
  <c r="M54" i="2"/>
  <c r="M25" i="2"/>
  <c r="M5" i="2"/>
  <c r="M61" i="2"/>
  <c r="M13" i="2"/>
  <c r="M7" i="2"/>
  <c r="M21" i="2"/>
  <c r="M48" i="2"/>
  <c r="M55" i="2"/>
  <c r="M30" i="2"/>
  <c r="M36" i="2"/>
  <c r="M39" i="2"/>
  <c r="M59" i="2"/>
  <c r="F64" i="10"/>
  <c r="G64" i="10" s="1"/>
  <c r="H3" i="6"/>
  <c r="M25" i="18"/>
  <c r="F4" i="10"/>
  <c r="G4" i="10" s="1"/>
  <c r="F16" i="10"/>
  <c r="G16" i="10" s="1"/>
  <c r="F28" i="10"/>
  <c r="G28" i="10" s="1"/>
  <c r="F40" i="10"/>
  <c r="G40" i="10" s="1"/>
  <c r="F52" i="10"/>
  <c r="G52" i="10" s="1"/>
  <c r="F88" i="10"/>
  <c r="G88" i="10" s="1"/>
  <c r="F42" i="10"/>
  <c r="G42" i="10" s="1"/>
  <c r="F66" i="10"/>
  <c r="G66" i="10" s="1"/>
  <c r="F90" i="10"/>
  <c r="G90" i="10" s="1"/>
  <c r="F7" i="10"/>
  <c r="G7" i="10" s="1"/>
  <c r="F55" i="10"/>
  <c r="G55" i="10" s="1"/>
  <c r="F91" i="10"/>
  <c r="G91" i="10" s="1"/>
  <c r="F34" i="10"/>
  <c r="G34" i="10" s="1"/>
  <c r="F5" i="10"/>
  <c r="G5" i="10" s="1"/>
  <c r="F17" i="10"/>
  <c r="G17" i="10" s="1"/>
  <c r="F53" i="10"/>
  <c r="G53" i="10" s="1"/>
  <c r="F65" i="10"/>
  <c r="G65" i="10" s="1"/>
  <c r="F77" i="10"/>
  <c r="G77" i="10" s="1"/>
  <c r="F89" i="10"/>
  <c r="G89" i="10" s="1"/>
  <c r="F18" i="10"/>
  <c r="G18" i="10" s="1"/>
  <c r="F54" i="10"/>
  <c r="G54" i="10" s="1"/>
  <c r="F78" i="10"/>
  <c r="G78" i="10" s="1"/>
  <c r="F19" i="10"/>
  <c r="G19" i="10" s="1"/>
  <c r="F31" i="10"/>
  <c r="G31" i="10" s="1"/>
  <c r="F67" i="10"/>
  <c r="G67" i="10" s="1"/>
  <c r="F20" i="10"/>
  <c r="G20" i="10" s="1"/>
  <c r="F32" i="10"/>
  <c r="G32" i="10" s="1"/>
  <c r="F44" i="10"/>
  <c r="G44" i="10" s="1"/>
  <c r="F56" i="10"/>
  <c r="G56" i="10" s="1"/>
  <c r="F68" i="10"/>
  <c r="G68" i="10" s="1"/>
  <c r="F80" i="10"/>
  <c r="G80" i="10" s="1"/>
  <c r="F92" i="10"/>
  <c r="G92" i="10" s="1"/>
  <c r="F9" i="10"/>
  <c r="G9" i="10" s="1"/>
  <c r="F21" i="10"/>
  <c r="G21" i="10" s="1"/>
  <c r="F33" i="10"/>
  <c r="G33" i="10" s="1"/>
  <c r="F69" i="10"/>
  <c r="G69" i="10" s="1"/>
  <c r="F81" i="10"/>
  <c r="G81" i="10" s="1"/>
  <c r="F93" i="10"/>
  <c r="G93" i="10" s="1"/>
  <c r="F58" i="10"/>
  <c r="G58" i="10" s="1"/>
  <c r="F11" i="10"/>
  <c r="G11" i="10" s="1"/>
  <c r="F23" i="10"/>
  <c r="G23" i="10" s="1"/>
  <c r="F35" i="10"/>
  <c r="G35" i="10" s="1"/>
  <c r="F47" i="10"/>
  <c r="G47" i="10" s="1"/>
  <c r="F59" i="10"/>
  <c r="G59" i="10" s="1"/>
  <c r="F71" i="10"/>
  <c r="G71" i="10" s="1"/>
  <c r="F27" i="10"/>
  <c r="G27" i="10" s="1"/>
  <c r="F51" i="10"/>
  <c r="G51" i="10" s="1"/>
  <c r="F75" i="10"/>
  <c r="G75" i="10" s="1"/>
  <c r="F43" i="10"/>
  <c r="G43" i="10" s="1"/>
  <c r="F10" i="10"/>
  <c r="G10" i="10" s="1"/>
  <c r="F70" i="10"/>
  <c r="G70" i="10" s="1"/>
  <c r="F12" i="10"/>
  <c r="G12" i="10" s="1"/>
  <c r="F24" i="10"/>
  <c r="G24" i="10" s="1"/>
  <c r="F36" i="10"/>
  <c r="G36" i="10" s="1"/>
  <c r="F48" i="10"/>
  <c r="G48" i="10" s="1"/>
  <c r="F84" i="10"/>
  <c r="G84" i="10" s="1"/>
  <c r="F3" i="10"/>
  <c r="G3" i="10" s="1"/>
  <c r="F39" i="10"/>
  <c r="G39" i="10" s="1"/>
  <c r="F63" i="10"/>
  <c r="G63" i="10" s="1"/>
  <c r="F87" i="10"/>
  <c r="G87" i="10" s="1"/>
  <c r="F13" i="10"/>
  <c r="G13" i="10" s="1"/>
  <c r="F25" i="10"/>
  <c r="G25" i="10" s="1"/>
  <c r="F37" i="10"/>
  <c r="G37" i="10" s="1"/>
  <c r="F49" i="10"/>
  <c r="G49" i="10" s="1"/>
  <c r="F61" i="10"/>
  <c r="G61" i="10" s="1"/>
  <c r="F15" i="10"/>
  <c r="G15" i="10" s="1"/>
  <c r="F79" i="10"/>
  <c r="G79" i="10" s="1"/>
  <c r="F82" i="10"/>
  <c r="G82" i="10" s="1"/>
  <c r="F2" i="10"/>
  <c r="G2" i="10" s="1"/>
  <c r="F14" i="10"/>
  <c r="G14" i="10" s="1"/>
  <c r="F26" i="10"/>
  <c r="G26" i="10" s="1"/>
  <c r="F38" i="10"/>
  <c r="G38" i="10" s="1"/>
  <c r="F50" i="10"/>
  <c r="G50" i="10" s="1"/>
  <c r="F62" i="10"/>
  <c r="G62" i="10" s="1"/>
  <c r="F74" i="10"/>
  <c r="G74" i="10" s="1"/>
  <c r="F94" i="10"/>
  <c r="G94" i="10" s="1"/>
  <c r="Q29" i="18"/>
  <c r="Q22" i="18"/>
  <c r="S25" i="8"/>
  <c r="D22" i="6" s="1"/>
  <c r="H5" i="6"/>
  <c r="M39" i="19"/>
  <c r="M37" i="19"/>
  <c r="M33" i="19"/>
  <c r="M46" i="19"/>
  <c r="M6" i="19"/>
  <c r="M34" i="19"/>
  <c r="M10" i="19"/>
  <c r="M19" i="19"/>
  <c r="M12" i="19"/>
  <c r="M41" i="19"/>
  <c r="M15" i="19"/>
  <c r="M21" i="19"/>
  <c r="M14" i="19"/>
  <c r="M25" i="19"/>
  <c r="Q25" i="19" s="1"/>
  <c r="M5" i="19"/>
  <c r="M38" i="19"/>
  <c r="M18" i="19"/>
  <c r="Q18" i="19" s="1"/>
  <c r="M32" i="19"/>
  <c r="M40" i="19"/>
  <c r="M17" i="19"/>
  <c r="M16" i="19"/>
  <c r="M9" i="19"/>
  <c r="M7" i="19"/>
  <c r="M13" i="19"/>
  <c r="M45" i="19"/>
  <c r="M27" i="19"/>
  <c r="Q27" i="19" s="1"/>
  <c r="M36" i="19"/>
  <c r="M23" i="19"/>
  <c r="Q23" i="19" s="1"/>
  <c r="M44" i="19"/>
  <c r="M22" i="19"/>
  <c r="M11" i="19"/>
  <c r="M43" i="19"/>
  <c r="M42" i="19"/>
  <c r="M35" i="19"/>
  <c r="M47" i="19"/>
  <c r="M26" i="19"/>
  <c r="Q26" i="19" s="1"/>
  <c r="M20" i="19"/>
  <c r="M31" i="19"/>
  <c r="M24" i="19"/>
  <c r="M4" i="19"/>
  <c r="M28" i="19"/>
  <c r="M30" i="19"/>
  <c r="M29" i="19"/>
  <c r="W27" i="11"/>
  <c r="B20" i="20"/>
  <c r="C19" i="20"/>
  <c r="F19" i="20" s="1"/>
  <c r="E20" i="20" s="1"/>
  <c r="D21" i="20" s="1"/>
  <c r="W13" i="17"/>
  <c r="W14" i="17" s="1"/>
  <c r="W15" i="17" s="1"/>
  <c r="Q30" i="18" l="1"/>
  <c r="H10" i="6"/>
  <c r="E24" i="1"/>
  <c r="E25" i="1" s="1"/>
  <c r="Q19" i="18"/>
  <c r="Q20" i="18" s="1"/>
  <c r="F85" i="10"/>
  <c r="G85" i="10" s="1"/>
  <c r="F57" i="10"/>
  <c r="G57" i="10" s="1"/>
  <c r="F76" i="10"/>
  <c r="G76" i="10" s="1"/>
  <c r="F22" i="10"/>
  <c r="G22" i="10" s="1"/>
  <c r="F72" i="10"/>
  <c r="G72" i="10" s="1"/>
  <c r="F95" i="10"/>
  <c r="G95" i="10" s="1"/>
  <c r="F8" i="10"/>
  <c r="G8" i="10" s="1"/>
  <c r="F41" i="10"/>
  <c r="G41" i="10" s="1"/>
  <c r="F86" i="10"/>
  <c r="G86" i="10" s="1"/>
  <c r="F73" i="10"/>
  <c r="G73" i="10" s="1"/>
  <c r="F60" i="10"/>
  <c r="G60" i="10" s="1"/>
  <c r="F83" i="10"/>
  <c r="G83" i="10" s="1"/>
  <c r="F45" i="10"/>
  <c r="G45" i="10" s="1"/>
  <c r="F46" i="10"/>
  <c r="G46" i="10" s="1"/>
  <c r="F29" i="10"/>
  <c r="G29" i="10" s="1"/>
  <c r="S29" i="8"/>
  <c r="D21" i="6" s="1"/>
  <c r="F6" i="10"/>
  <c r="G6" i="10" s="1"/>
  <c r="W43" i="11" s="1"/>
  <c r="W44" i="11" s="1"/>
  <c r="Q25" i="18"/>
  <c r="F30" i="10"/>
  <c r="G30" i="10" s="1"/>
  <c r="L32" i="18"/>
  <c r="M24" i="18"/>
  <c r="H6" i="6" s="1"/>
  <c r="B21" i="20"/>
  <c r="C20" i="20"/>
  <c r="F20" i="20" s="1"/>
  <c r="E21" i="20" s="1"/>
  <c r="D22" i="20" s="1"/>
  <c r="Q26" i="18" l="1"/>
  <c r="Q27" i="18" s="1"/>
  <c r="S27" i="18" s="1"/>
  <c r="E27" i="1"/>
  <c r="E26" i="1"/>
  <c r="B22" i="20"/>
  <c r="C21" i="20"/>
  <c r="F21" i="20" s="1"/>
  <c r="E22" i="20" s="1"/>
  <c r="D23" i="20" s="1"/>
  <c r="K10" i="11" l="1"/>
  <c r="K12" i="11" s="1"/>
  <c r="K13" i="11" s="1"/>
  <c r="B23" i="20"/>
  <c r="C22" i="20"/>
  <c r="F22" i="20" s="1"/>
  <c r="E23" i="20" s="1"/>
  <c r="D24" i="20" s="1"/>
  <c r="D32" i="6"/>
  <c r="W23" i="11"/>
  <c r="W25" i="11" s="1"/>
  <c r="W26" i="11" s="1"/>
  <c r="W21" i="11" l="1"/>
  <c r="W22" i="11" s="1"/>
  <c r="B24" i="20"/>
  <c r="C23" i="20"/>
  <c r="F23" i="20" s="1"/>
  <c r="E24" i="20" s="1"/>
  <c r="D25" i="20" s="1"/>
  <c r="K25" i="11"/>
  <c r="K9" i="11"/>
  <c r="B25" i="20" l="1"/>
  <c r="C24" i="20"/>
  <c r="F24" i="20" s="1"/>
  <c r="E25" i="20" s="1"/>
  <c r="D26" i="20" s="1"/>
  <c r="W27" i="17"/>
  <c r="W28" i="17" s="1"/>
  <c r="B26" i="20" l="1"/>
  <c r="C26" i="20" s="1"/>
  <c r="C25" i="20"/>
  <c r="F25" i="20" s="1"/>
  <c r="E26" i="20" s="1"/>
  <c r="F26" i="20" s="1"/>
  <c r="W28" i="11"/>
  <c r="W29" i="11" s="1"/>
  <c r="W30" i="11" s="1"/>
  <c r="H11" i="6"/>
  <c r="K27" i="11"/>
  <c r="K30" i="11" s="1"/>
  <c r="O22" i="11"/>
  <c r="S8" i="11" s="1"/>
  <c r="S9" i="11" s="1"/>
  <c r="S10" i="11" s="1"/>
  <c r="S11" i="11" l="1"/>
  <c r="S21" i="11"/>
  <c r="O23" i="11"/>
  <c r="O24" i="11" s="1"/>
  <c r="O25" i="11" s="1"/>
  <c r="O35" i="11" l="1"/>
  <c r="K32" i="11"/>
  <c r="K33" i="11"/>
  <c r="S22" i="11"/>
  <c r="S23" i="11" s="1"/>
  <c r="S24" i="11" s="1"/>
  <c r="O27" i="11"/>
  <c r="O28" i="11" s="1"/>
  <c r="O29" i="11" s="1"/>
  <c r="O31" i="11" s="1"/>
  <c r="O30" i="11" l="1"/>
  <c r="O32" i="11" l="1"/>
  <c r="O33" i="11" s="1"/>
  <c r="S4" i="11" l="1"/>
  <c r="S5" i="11" s="1"/>
  <c r="O36" i="11"/>
  <c r="O37" i="11" s="1"/>
  <c r="S17" i="11"/>
  <c r="S18" i="11" s="1"/>
  <c r="S25" i="11" s="1"/>
  <c r="S26" i="11" s="1"/>
  <c r="O34" i="11"/>
  <c r="W11" i="11"/>
  <c r="W12" i="11" s="1"/>
  <c r="W13" i="11" s="1"/>
  <c r="W4" i="11"/>
  <c r="S12" i="11" l="1"/>
  <c r="S13" i="11" s="1"/>
  <c r="W9" i="11" s="1"/>
  <c r="W10" i="11" s="1"/>
  <c r="W6" i="11"/>
  <c r="W5" i="11"/>
  <c r="W7" i="11" l="1"/>
  <c r="W8" i="11" s="1"/>
  <c r="W14" i="11"/>
  <c r="W15" i="11" s="1"/>
  <c r="W16" i="11" s="1"/>
</calcChain>
</file>

<file path=xl/sharedStrings.xml><?xml version="1.0" encoding="utf-8"?>
<sst xmlns="http://schemas.openxmlformats.org/spreadsheetml/2006/main" count="1787" uniqueCount="584">
  <si>
    <t>Dados Basicos do Projeto</t>
  </si>
  <si>
    <t>Dados do Indutor Acoplado</t>
  </si>
  <si>
    <t>LEGENDA</t>
  </si>
  <si>
    <t>Parametro</t>
  </si>
  <si>
    <t>Valor</t>
  </si>
  <si>
    <t>Unidade</t>
  </si>
  <si>
    <t>Modelo</t>
  </si>
  <si>
    <t>Dado Manual do Usuário</t>
  </si>
  <si>
    <t>V microcontrolador</t>
  </si>
  <si>
    <t>V</t>
  </si>
  <si>
    <t>Lm</t>
  </si>
  <si>
    <t>uH</t>
  </si>
  <si>
    <t>Dado Calculado</t>
  </si>
  <si>
    <t>V in(max)</t>
  </si>
  <si>
    <t>Fio</t>
  </si>
  <si>
    <t>AWG</t>
  </si>
  <si>
    <t>V in rms</t>
  </si>
  <si>
    <t>Voltas N1 p/ Fio</t>
  </si>
  <si>
    <t>Voltas</t>
  </si>
  <si>
    <t>V in(min)</t>
  </si>
  <si>
    <t>Qntd Fios N1</t>
  </si>
  <si>
    <t>Fios</t>
  </si>
  <si>
    <t>V out (1)</t>
  </si>
  <si>
    <t>Total Voltas</t>
  </si>
  <si>
    <t>R out (1)</t>
  </si>
  <si>
    <t>Ω</t>
  </si>
  <si>
    <t>Qntd Fios N2</t>
  </si>
  <si>
    <t>β(SAT)</t>
  </si>
  <si>
    <t>mA</t>
  </si>
  <si>
    <t>N2/N1</t>
  </si>
  <si>
    <t>Constante</t>
  </si>
  <si>
    <t>A</t>
  </si>
  <si>
    <t>Capacitor Comercial</t>
  </si>
  <si>
    <t>Faraday</t>
  </si>
  <si>
    <t>uF</t>
  </si>
  <si>
    <t>R1 Gate Drive</t>
  </si>
  <si>
    <t>R2 Gate Drive</t>
  </si>
  <si>
    <t>Escolha o Mosfet</t>
  </si>
  <si>
    <t>Valor Medido</t>
  </si>
  <si>
    <t>mH</t>
  </si>
  <si>
    <t>Frequência</t>
  </si>
  <si>
    <t>kH</t>
  </si>
  <si>
    <t>H</t>
  </si>
  <si>
    <t>Nano Henry</t>
  </si>
  <si>
    <t>I máx Gate Mosfet 1%</t>
  </si>
  <si>
    <t>Al Medido</t>
  </si>
  <si>
    <t>nH/N^2</t>
  </si>
  <si>
    <t>%</t>
  </si>
  <si>
    <t>R3 Gate Drive / Rg Mosfet</t>
  </si>
  <si>
    <t>Definições para o Flyback</t>
  </si>
  <si>
    <t>n eficiência</t>
  </si>
  <si>
    <t>V diodo</t>
  </si>
  <si>
    <t>D (Max)</t>
  </si>
  <si>
    <t>num</t>
  </si>
  <si>
    <t>D (well)</t>
  </si>
  <si>
    <t>Regulação</t>
  </si>
  <si>
    <t>B max</t>
  </si>
  <si>
    <t>Tesla</t>
  </si>
  <si>
    <t>Tipo da Condução</t>
  </si>
  <si>
    <t>Contínuo</t>
  </si>
  <si>
    <t>Tipo do Indutor</t>
  </si>
  <si>
    <t>Toroidal</t>
  </si>
  <si>
    <t>Fio AWG</t>
  </si>
  <si>
    <t>Fio AWG Escolhido</t>
  </si>
  <si>
    <t>aaaaaaaaaaaaaaaaaaaa</t>
  </si>
  <si>
    <t>aaaaaa</t>
  </si>
  <si>
    <t>aaaaa</t>
  </si>
  <si>
    <t>IB3</t>
  </si>
  <si>
    <t>Ib Entrada</t>
  </si>
  <si>
    <t>IC3</t>
  </si>
  <si>
    <t>R1 Rb</t>
  </si>
  <si>
    <t>Ohm</t>
  </si>
  <si>
    <t>Resistor cmc</t>
  </si>
  <si>
    <t>Vdd</t>
  </si>
  <si>
    <t>R3</t>
  </si>
  <si>
    <t>R3 cmc</t>
  </si>
  <si>
    <t>Ciss</t>
  </si>
  <si>
    <t>nF</t>
  </si>
  <si>
    <t>R1 do Drive usando BC337 e ib = 2 mA</t>
  </si>
  <si>
    <t>R2 do Drive usando BC337 e ib = 2 mA</t>
  </si>
  <si>
    <t>E</t>
  </si>
  <si>
    <t>J</t>
  </si>
  <si>
    <t>Relação Ib/Ic</t>
  </si>
  <si>
    <t>Ib Q1</t>
  </si>
  <si>
    <t>t</t>
  </si>
  <si>
    <t>s</t>
  </si>
  <si>
    <t>Ic Q1</t>
  </si>
  <si>
    <t>ns</t>
  </si>
  <si>
    <t>Vdd = vcc</t>
  </si>
  <si>
    <t>Rc Q1/ Rb Q2</t>
  </si>
  <si>
    <t>Rc Q1/ Rb Q2 cmc</t>
  </si>
  <si>
    <t>T</t>
  </si>
  <si>
    <t>Ic Q1 = Ib Q2</t>
  </si>
  <si>
    <t>Pmed</t>
  </si>
  <si>
    <t>W</t>
  </si>
  <si>
    <t>mW</t>
  </si>
  <si>
    <t>R1 do Drive usando Opto</t>
  </si>
  <si>
    <t>R2 do Drive usando Opto</t>
  </si>
  <si>
    <t>R2</t>
  </si>
  <si>
    <t>R2 cmc</t>
  </si>
  <si>
    <t>IC2</t>
  </si>
  <si>
    <t>IB2</t>
  </si>
  <si>
    <t>R1</t>
  </si>
  <si>
    <t>R1 cmc</t>
  </si>
  <si>
    <t>OPTOACOPLADOR 4N25</t>
  </si>
  <si>
    <t>Circuito</t>
  </si>
  <si>
    <t>Circ. Teste Datasheet Vin</t>
  </si>
  <si>
    <t>IF</t>
  </si>
  <si>
    <t>Ton</t>
  </si>
  <si>
    <t>us</t>
  </si>
  <si>
    <t>Vcc</t>
  </si>
  <si>
    <t>Toff</t>
  </si>
  <si>
    <t>RL</t>
  </si>
  <si>
    <t>CTR</t>
  </si>
  <si>
    <t>T Total</t>
  </si>
  <si>
    <t>I coletor</t>
  </si>
  <si>
    <t>F máx 0,10 mA</t>
  </si>
  <si>
    <t>MH</t>
  </si>
  <si>
    <t>Queda T Vrl</t>
  </si>
  <si>
    <t>Vce Final</t>
  </si>
  <si>
    <t>V F Led Emissor Tip</t>
  </si>
  <si>
    <t>V F Led Emissor Max</t>
  </si>
  <si>
    <t>Circ. Micro Controlador</t>
  </si>
  <si>
    <t>Vcc/Vin MicroContr</t>
  </si>
  <si>
    <t>V F Led</t>
  </si>
  <si>
    <t>I base Led</t>
  </si>
  <si>
    <t>ResistenciaRg</t>
  </si>
  <si>
    <t>Resistencia Comerc.</t>
  </si>
  <si>
    <t>I Base Led New</t>
  </si>
  <si>
    <t>Diferença I base</t>
  </si>
  <si>
    <t>MOSFET P75NF75</t>
  </si>
  <si>
    <t>MOSFET IRF540</t>
  </si>
  <si>
    <t>Circ. Teste Datasheet</t>
  </si>
  <si>
    <t>Parâmetro</t>
  </si>
  <si>
    <t>Descrição</t>
  </si>
  <si>
    <t>Condição</t>
  </si>
  <si>
    <t>Valor Típico</t>
  </si>
  <si>
    <t>Valor Máximo</t>
  </si>
  <si>
    <t>tD(ON)</t>
  </si>
  <si>
    <t>Turn-On Delay Time</t>
  </si>
  <si>
    <t>VDD=37,5V, ID=45A, VGS=10V, RG=4,7Ω</t>
  </si>
  <si>
    <t>tR</t>
  </si>
  <si>
    <t>Turn-On Rise Time</t>
  </si>
  <si>
    <t>tD(OFF)</t>
  </si>
  <si>
    <t>Turn-Off Delay Time</t>
  </si>
  <si>
    <t>VGS=10V, RG=4,7Ω</t>
  </si>
  <si>
    <t>tF</t>
  </si>
  <si>
    <t>Turn-Off Fall Time</t>
  </si>
  <si>
    <t>Qg</t>
  </si>
  <si>
    <t>Total Gate Charge</t>
  </si>
  <si>
    <t>VDS=60V, VGS=10V, ID=80A</t>
  </si>
  <si>
    <t>nC</t>
  </si>
  <si>
    <t>Qgs</t>
  </si>
  <si>
    <t>Gate-Source Charge</t>
  </si>
  <si>
    <t>Qgd</t>
  </si>
  <si>
    <t>Gate-Drain Charge</t>
  </si>
  <si>
    <t>Imput Capacitance</t>
  </si>
  <si>
    <t>VGS = 0 V, VDS = 25 V f = 1MHz</t>
  </si>
  <si>
    <t>pF</t>
  </si>
  <si>
    <t>Dados Calculados</t>
  </si>
  <si>
    <t>Qg Medio</t>
  </si>
  <si>
    <t>Ig Max</t>
  </si>
  <si>
    <t>Corrente no Gate Max</t>
  </si>
  <si>
    <t>p% Pulso</t>
  </si>
  <si>
    <t>Porcentagem de Pulso</t>
  </si>
  <si>
    <t>F tr</t>
  </si>
  <si>
    <t>Frequencia de Trabalho</t>
  </si>
  <si>
    <t>T tr</t>
  </si>
  <si>
    <t>Periodo de Trabalho</t>
  </si>
  <si>
    <t>T pulso</t>
  </si>
  <si>
    <t>T Pulso para não Aquecer o Mosfet + que 1% do Tr</t>
  </si>
  <si>
    <t>Ig Pulso</t>
  </si>
  <si>
    <t>Corrente de Gate para esse pulso de 1% de Tr</t>
  </si>
  <si>
    <t>Vcc drive</t>
  </si>
  <si>
    <t>Tensão de entrada ou do drive que irá adionar o mosfet</t>
  </si>
  <si>
    <t>Rg</t>
  </si>
  <si>
    <t>Rg cmc</t>
  </si>
  <si>
    <t>R gate do Mosfet Comercial</t>
  </si>
  <si>
    <t>perda de potencia no mosfet</t>
  </si>
  <si>
    <t>Link youtube</t>
  </si>
  <si>
    <t>MOSFET: Acionamento do gate, resistência do gate</t>
  </si>
  <si>
    <t>MOSFET: Por que usar a resistência de gate?</t>
  </si>
  <si>
    <t>J1</t>
  </si>
  <si>
    <t>b0</t>
  </si>
  <si>
    <t>Passo (k)</t>
  </si>
  <si>
    <t>Tempo (t)</t>
  </si>
  <si>
    <t>Entrada u[k]</t>
  </si>
  <si>
    <t>x[k-2]</t>
  </si>
  <si>
    <t>x[k-1]</t>
  </si>
  <si>
    <t>Estado x[k]</t>
  </si>
  <si>
    <t>Saída y[k]</t>
  </si>
  <si>
    <t>J2</t>
  </si>
  <si>
    <t>b1</t>
  </si>
  <si>
    <t>J3</t>
  </si>
  <si>
    <t>a0</t>
  </si>
  <si>
    <t>J4</t>
  </si>
  <si>
    <t>a1</t>
  </si>
  <si>
    <t>J5</t>
  </si>
  <si>
    <t>a2</t>
  </si>
  <si>
    <t>J6</t>
  </si>
  <si>
    <t>Δt (s)</t>
  </si>
  <si>
    <t>Passo de tempo, crucial!</t>
  </si>
  <si>
    <t>AAAAAA</t>
  </si>
  <si>
    <t>aaaaaaaaa</t>
  </si>
  <si>
    <t>aaaaaaa</t>
  </si>
  <si>
    <t>Cálculo do Fio Mínimo Bobina</t>
  </si>
  <si>
    <t>Método Contínuo (MCLYMAN)</t>
  </si>
  <si>
    <t>Dados da Toroide Utilizada</t>
  </si>
  <si>
    <t>Calculos do Transformador Secundario 1 (Vout1)</t>
  </si>
  <si>
    <t>Calculos Gerais do Transformador</t>
  </si>
  <si>
    <t>Correntes do Primário</t>
  </si>
  <si>
    <t>Profundidade de Penetração</t>
  </si>
  <si>
    <t>cm</t>
  </si>
  <si>
    <t>Core Number</t>
  </si>
  <si>
    <t>Numero de Espiras Secundario 1 Ns1</t>
  </si>
  <si>
    <t>Espiras Primario</t>
  </si>
  <si>
    <t>T106-26</t>
  </si>
  <si>
    <t>Diametro do Fio</t>
  </si>
  <si>
    <t>D min</t>
  </si>
  <si>
    <t>Fabricante</t>
  </si>
  <si>
    <t>Espiras S1 Secundario</t>
  </si>
  <si>
    <t>Magnetics</t>
  </si>
  <si>
    <t>Área do Fio (Aw)</t>
  </si>
  <si>
    <t>cm²</t>
  </si>
  <si>
    <t>T off (max)</t>
  </si>
  <si>
    <t>Material</t>
  </si>
  <si>
    <t>Corrente de Pico Is1(pk)</t>
  </si>
  <si>
    <t>Espiras S2 Secundario</t>
  </si>
  <si>
    <t>Iron Powder</t>
  </si>
  <si>
    <t>R in rms</t>
  </si>
  <si>
    <t>Fio Mínimo Escolhido</t>
  </si>
  <si>
    <t>Lm rms Calc 1</t>
  </si>
  <si>
    <t>MPL</t>
  </si>
  <si>
    <t>Corrente de RMS  Is1(rms)</t>
  </si>
  <si>
    <t xml:space="preserve">Total Espiras </t>
  </si>
  <si>
    <t>I in (max)</t>
  </si>
  <si>
    <t>Área do Fio (AWG) Mínimo</t>
  </si>
  <si>
    <t>Lm rms Contínuo</t>
  </si>
  <si>
    <t>Core Weight</t>
  </si>
  <si>
    <t>gramas</t>
  </si>
  <si>
    <t>Area do Fio Secundario Asw1(b)</t>
  </si>
  <si>
    <t>Ku total</t>
  </si>
  <si>
    <t>constante</t>
  </si>
  <si>
    <t>Lm rms</t>
  </si>
  <si>
    <t>Copper Weight Wteu</t>
  </si>
  <si>
    <t>Numero de Fios Paralelos Sn S1</t>
  </si>
  <si>
    <t>fios</t>
  </si>
  <si>
    <t>Perda Total de Cobre</t>
  </si>
  <si>
    <t>P in rms</t>
  </si>
  <si>
    <t>Resistência</t>
  </si>
  <si>
    <r>
      <t>u</t>
    </r>
    <r>
      <rPr>
        <sz val="11"/>
        <color theme="1"/>
        <rFont val="Aptos Narrow"/>
        <family val="2"/>
      </rPr>
      <t>Ω/cm</t>
    </r>
    <r>
      <rPr>
        <sz val="11"/>
        <color theme="1"/>
        <rFont val="Aptos Narrow"/>
        <family val="2"/>
        <scheme val="minor"/>
      </rPr>
      <t xml:space="preserve"> 22º C</t>
    </r>
  </si>
  <si>
    <t>∆ Lm rms</t>
  </si>
  <si>
    <t>MLT</t>
  </si>
  <si>
    <t>Regulação Alpha</t>
  </si>
  <si>
    <t>Iron Area Ac</t>
  </si>
  <si>
    <t>Novo S1 micro Ohm</t>
  </si>
  <si>
    <t>uΩ/cm 22º C</t>
  </si>
  <si>
    <t>Densidade de Fluxo Ac, Bac</t>
  </si>
  <si>
    <t>Testa</t>
  </si>
  <si>
    <t>I p(pk) primary</t>
  </si>
  <si>
    <t>Window Area Wa</t>
  </si>
  <si>
    <t>Nova resistencia do Secundario S1</t>
  </si>
  <si>
    <t>Perda em Watts por Kilograma WK</t>
  </si>
  <si>
    <t>Watts/grama</t>
  </si>
  <si>
    <t>I p(rms - pk) primary</t>
  </si>
  <si>
    <t>Area Product Ap</t>
  </si>
  <si>
    <r>
      <t>cm</t>
    </r>
    <r>
      <rPr>
        <sz val="11"/>
        <color theme="1"/>
        <rFont val="Aptos Narrow"/>
        <family val="2"/>
      </rPr>
      <t>⁴</t>
    </r>
  </si>
  <si>
    <t>Perda de Cobre do Secundario S1</t>
  </si>
  <si>
    <t>Perda no núcleo</t>
  </si>
  <si>
    <t>I out (1)</t>
  </si>
  <si>
    <t>Core Geometry Kg</t>
  </si>
  <si>
    <r>
      <t>cm</t>
    </r>
    <r>
      <rPr>
        <sz val="11"/>
        <color theme="1"/>
        <rFont val="Aptos Narrow"/>
        <family val="2"/>
      </rPr>
      <t>⁵</t>
    </r>
  </si>
  <si>
    <t>Perda do Núcleo + Cobre</t>
  </si>
  <si>
    <t>P out (1)</t>
  </si>
  <si>
    <t>Teste do Modo de Operação</t>
  </si>
  <si>
    <t>Método Descontínuo (MCLYMAN)</t>
  </si>
  <si>
    <t>Surface Area At</t>
  </si>
  <si>
    <t>Calculos do Transformador Secundario 2 (Vout2)</t>
  </si>
  <si>
    <t>Densidade de Potencia tridente</t>
  </si>
  <si>
    <t>W/cm²</t>
  </si>
  <si>
    <t>V out (2)</t>
  </si>
  <si>
    <t>Core Permeability</t>
  </si>
  <si>
    <t>Elevação de Temperatura</t>
  </si>
  <si>
    <t>ºC</t>
  </si>
  <si>
    <t>R out (2)</t>
  </si>
  <si>
    <t>Winding Leangth G</t>
  </si>
  <si>
    <t>I out (2)</t>
  </si>
  <si>
    <t>D (Max Real)</t>
  </si>
  <si>
    <t>L p max</t>
  </si>
  <si>
    <t>Al do Núcleo</t>
  </si>
  <si>
    <t>nH/Np²</t>
  </si>
  <si>
    <t>Calculos Gerais do Capacitor Out</t>
  </si>
  <si>
    <t>P out (2)</t>
  </si>
  <si>
    <t>N1/N2</t>
  </si>
  <si>
    <t>-</t>
  </si>
  <si>
    <t>P out max</t>
  </si>
  <si>
    <t>I Lm</t>
  </si>
  <si>
    <t>Calculos do Transformador Primario</t>
  </si>
  <si>
    <t>∆ I Lm</t>
  </si>
  <si>
    <t>Energia J</t>
  </si>
  <si>
    <t>amps/cm²</t>
  </si>
  <si>
    <t>I lm máx</t>
  </si>
  <si>
    <t>Primary Area Apw(B)</t>
  </si>
  <si>
    <t>I Lm mín</t>
  </si>
  <si>
    <t>Dados Iniciais para Escolha do Indutor Acoplado</t>
  </si>
  <si>
    <t>Nº de Fios em Paralelo Primario Snp</t>
  </si>
  <si>
    <t>∆ ic</t>
  </si>
  <si>
    <t>I Lm máx</t>
  </si>
  <si>
    <t>Capacidade de manuseio Energia</t>
  </si>
  <si>
    <t>W*s</t>
  </si>
  <si>
    <t>∆ V0, ESR</t>
  </si>
  <si>
    <t>Modo de Operação Segundo Hart</t>
  </si>
  <si>
    <t>Condições Eletricas Ke</t>
  </si>
  <si>
    <t>Área destinada ao Primario</t>
  </si>
  <si>
    <t>rc</t>
  </si>
  <si>
    <t>Bmax</t>
  </si>
  <si>
    <t>Geometria do Núcleo Kg</t>
  </si>
  <si>
    <t>Nº de Espiras do Primario Np</t>
  </si>
  <si>
    <t>voltas</t>
  </si>
  <si>
    <t>C</t>
  </si>
  <si>
    <t>F</t>
  </si>
  <si>
    <t>Definindo o Núcleo</t>
  </si>
  <si>
    <t>Ku utilizado no Livro Exemplo</t>
  </si>
  <si>
    <t>C Comercial</t>
  </si>
  <si>
    <t>Tipo do Ferrite</t>
  </si>
  <si>
    <t>Fator Multiplicador Acima de 100 kHz</t>
  </si>
  <si>
    <t>Espaçamento Necessario Ig</t>
  </si>
  <si>
    <t>∆ Vout / Vo</t>
  </si>
  <si>
    <t>Calculos Periodo</t>
  </si>
  <si>
    <t>nH</t>
  </si>
  <si>
    <t>Geometria do Núcleo Kg final</t>
  </si>
  <si>
    <t>Espaçamento Necessario Ig em mils</t>
  </si>
  <si>
    <t>Periodo T</t>
  </si>
  <si>
    <t>Número de Voltas Primário</t>
  </si>
  <si>
    <t>Geometria do Núcleo Kg escolhida</t>
  </si>
  <si>
    <t>Espalhamento de Fluxo F</t>
  </si>
  <si>
    <t xml:space="preserve">Teste ∆ Vout / Vo </t>
  </si>
  <si>
    <t>Número de Voltas Secundáio</t>
  </si>
  <si>
    <t>% do Projeto em Cima do Indutor</t>
  </si>
  <si>
    <t>Novo Número de Espiras</t>
  </si>
  <si>
    <t>Qntd Fios</t>
  </si>
  <si>
    <t>Novo Número de Espiras true N np</t>
  </si>
  <si>
    <t>Calculos Gerais do Cirucito Snubber Toff</t>
  </si>
  <si>
    <t>T perdido Well</t>
  </si>
  <si>
    <t>Qual Fio</t>
  </si>
  <si>
    <t>Densidade do Fluxo do Primario Bpk</t>
  </si>
  <si>
    <t>Energia</t>
  </si>
  <si>
    <t>Nova resistencia do Primario p/ Fio</t>
  </si>
  <si>
    <t>Vdc min</t>
  </si>
  <si>
    <t>Nova resistencia do Primario Rp</t>
  </si>
  <si>
    <t>C snubber</t>
  </si>
  <si>
    <t>Vro</t>
  </si>
  <si>
    <t>Perda de Cobre do Primario</t>
  </si>
  <si>
    <t>Ipk</t>
  </si>
  <si>
    <t>R snubber</t>
  </si>
  <si>
    <t>Lik</t>
  </si>
  <si>
    <t>C snubber comercial</t>
  </si>
  <si>
    <t>fs</t>
  </si>
  <si>
    <t>Bvds</t>
  </si>
  <si>
    <t>R snubber comercial</t>
  </si>
  <si>
    <t>Vsn​</t>
  </si>
  <si>
    <t>DeltaVsn</t>
  </si>
  <si>
    <t>Numero</t>
  </si>
  <si>
    <t>Diâmetro</t>
  </si>
  <si>
    <t>Espiras</t>
  </si>
  <si>
    <t>Área</t>
  </si>
  <si>
    <t>Peso</t>
  </si>
  <si>
    <t>Comprim.</t>
  </si>
  <si>
    <t>Corrente máxima (A)</t>
  </si>
  <si>
    <t>(mm)</t>
  </si>
  <si>
    <t>por cm</t>
  </si>
  <si>
    <t>(mm2)</t>
  </si>
  <si>
    <t>(Ω/km)</t>
  </si>
  <si>
    <t>(kg/km)</t>
  </si>
  <si>
    <t>(m/kg)</t>
  </si>
  <si>
    <t>2,5A/mm2</t>
  </si>
  <si>
    <t>3A/mm2</t>
  </si>
  <si>
    <t>6A/mm2</t>
  </si>
  <si>
    <t>máx. (kHz)</t>
  </si>
  <si>
    <t>V máx B Transistor</t>
  </si>
  <si>
    <t>*pegar no datasheet</t>
  </si>
  <si>
    <t>Taxa Segurança Vsn</t>
  </si>
  <si>
    <t>Vsn sem a Taxa</t>
  </si>
  <si>
    <t>∆ V sn</t>
  </si>
  <si>
    <t>5 a 10 segundo o filchild</t>
  </si>
  <si>
    <t>V ro (Dissipada)</t>
  </si>
  <si>
    <t>Potencia Dissipada</t>
  </si>
  <si>
    <t>EFD-20</t>
  </si>
  <si>
    <t>Philips</t>
  </si>
  <si>
    <t>3C85</t>
  </si>
  <si>
    <t>Caso Escolha Método Contínuo</t>
  </si>
  <si>
    <t>% Acima de 0 I LM min</t>
  </si>
  <si>
    <t>Descontínuo</t>
  </si>
  <si>
    <t>I lm mín</t>
  </si>
  <si>
    <t>Laminado</t>
  </si>
  <si>
    <t>Part No.</t>
  </si>
  <si>
    <t>OD (cm)</t>
  </si>
  <si>
    <t>ID (cm)</t>
  </si>
  <si>
    <t>HT (cm)</t>
  </si>
  <si>
    <t>AC (cm)</t>
  </si>
  <si>
    <t>G toroide</t>
  </si>
  <si>
    <t>Ww (g)</t>
  </si>
  <si>
    <t>We (g)</t>
  </si>
  <si>
    <t>MLT (cm)</t>
  </si>
  <si>
    <t>MPL (cm)</t>
  </si>
  <si>
    <t>Wa (cm²)</t>
  </si>
  <si>
    <t>Ac (cm²)</t>
  </si>
  <si>
    <t>W2 (cm²)</t>
  </si>
  <si>
    <t>Ap (cm⁴)</t>
  </si>
  <si>
    <t>Kg</t>
  </si>
  <si>
    <t>Ae (cm²)</t>
  </si>
  <si>
    <t>AL (mh/1k)</t>
  </si>
  <si>
    <t>T20-26</t>
  </si>
  <si>
    <t>T25-26</t>
  </si>
  <si>
    <t>T26-26</t>
  </si>
  <si>
    <t>T30-26</t>
  </si>
  <si>
    <t>T37-26</t>
  </si>
  <si>
    <t>T38-26</t>
  </si>
  <si>
    <t>T44-26</t>
  </si>
  <si>
    <t>T50-26</t>
  </si>
  <si>
    <t>T60-26</t>
  </si>
  <si>
    <t>T68-26</t>
  </si>
  <si>
    <t>T80-26</t>
  </si>
  <si>
    <t>T94-26</t>
  </si>
  <si>
    <t>T90-26</t>
  </si>
  <si>
    <t>T130-26</t>
  </si>
  <si>
    <t>T132-26</t>
  </si>
  <si>
    <t>T131-26</t>
  </si>
  <si>
    <t>T141-26</t>
  </si>
  <si>
    <t>T150-26</t>
  </si>
  <si>
    <t>T175-26</t>
  </si>
  <si>
    <t>BARE AREA</t>
  </si>
  <si>
    <t>Resistance
microOhm/cm 22ºC</t>
  </si>
  <si>
    <t>Heavy Synthetics</t>
  </si>
  <si>
    <t>Enrolamento</t>
  </si>
  <si>
    <t>Area</t>
  </si>
  <si>
    <t>Diameter</t>
  </si>
  <si>
    <t>Turns-Per</t>
  </si>
  <si>
    <t>Weight</t>
  </si>
  <si>
    <t>Camadas</t>
  </si>
  <si>
    <t>Janela Efetiva</t>
  </si>
  <si>
    <t>Definido o S3 pelo Projeto</t>
  </si>
  <si>
    <t>cm²(10^-3)</t>
  </si>
  <si>
    <t>cir-mil</t>
  </si>
  <si>
    <t>Inch</t>
  </si>
  <si>
    <t>cm^2</t>
  </si>
  <si>
    <t>Inch^2</t>
  </si>
  <si>
    <t>gm/cm</t>
  </si>
  <si>
    <t>Organizadas</t>
  </si>
  <si>
    <t>Desorganizadas</t>
  </si>
  <si>
    <t>Margin</t>
  </si>
  <si>
    <t>Insulation Thickness</t>
  </si>
  <si>
    <t>Toroide</t>
  </si>
  <si>
    <t>Base Area</t>
  </si>
  <si>
    <t>Flyback TCC</t>
  </si>
  <si>
    <t>Teste_TCC</t>
  </si>
  <si>
    <t>Flyback_MC</t>
  </si>
  <si>
    <t>Teste_MC</t>
  </si>
  <si>
    <t>S1</t>
  </si>
  <si>
    <t>S2</t>
  </si>
  <si>
    <t>S2 Indicado Autor</t>
  </si>
  <si>
    <t>S3</t>
  </si>
  <si>
    <t>S3 (Wa effetivo) interno</t>
  </si>
  <si>
    <t>S4</t>
  </si>
  <si>
    <t>Ku Parcial Laminado</t>
  </si>
  <si>
    <t>Ku Final Toroide</t>
  </si>
  <si>
    <t>Exercicio 1</t>
  </si>
  <si>
    <t>Exercicio 2</t>
  </si>
  <si>
    <t>Exercicio 3</t>
  </si>
  <si>
    <t>V in</t>
  </si>
  <si>
    <t>P in</t>
  </si>
  <si>
    <t>I in</t>
  </si>
  <si>
    <t>V out</t>
  </si>
  <si>
    <t>Vin/vout</t>
  </si>
  <si>
    <t>P out</t>
  </si>
  <si>
    <t>I out</t>
  </si>
  <si>
    <t>R out</t>
  </si>
  <si>
    <t>Freq</t>
  </si>
  <si>
    <t>kHz</t>
  </si>
  <si>
    <t>Hz</t>
  </si>
  <si>
    <t>D manual</t>
  </si>
  <si>
    <t>D calc</t>
  </si>
  <si>
    <t>D calc depend</t>
  </si>
  <si>
    <t>N2/N1 manual</t>
  </si>
  <si>
    <t>N2/N1 calc</t>
  </si>
  <si>
    <t>Lm Manual</t>
  </si>
  <si>
    <t>Lm Calc</t>
  </si>
  <si>
    <t>C manual</t>
  </si>
  <si>
    <t>C calc</t>
  </si>
  <si>
    <t>I Lm depend</t>
  </si>
  <si>
    <t>I Lm Max</t>
  </si>
  <si>
    <t>I Lm Min</t>
  </si>
  <si>
    <t>∆ Vout Manual Riple</t>
  </si>
  <si>
    <t>%/100</t>
  </si>
  <si>
    <t>Teste</t>
  </si>
  <si>
    <t>V riple</t>
  </si>
  <si>
    <t>Is</t>
  </si>
  <si>
    <t>Capacitores Comerciais (com vírgula)</t>
  </si>
  <si>
    <t>Fator para Farads</t>
  </si>
  <si>
    <t>Em Faraday</t>
  </si>
  <si>
    <t>Capacitor_TCC</t>
  </si>
  <si>
    <t>C_TCC</t>
  </si>
  <si>
    <t>Capacitor_Snubber_OFF</t>
  </si>
  <si>
    <t>C_Sb_off</t>
  </si>
  <si>
    <t>Tipos de Gate Driver para MOSFET e IGBT - Eletrônica Geral</t>
  </si>
  <si>
    <t>Push Pull MOSFET Gate Driver | Totem Pole MOSFET | ltspice simulation</t>
  </si>
  <si>
    <t>Imax</t>
  </si>
  <si>
    <t>Vin</t>
  </si>
  <si>
    <t>R min</t>
  </si>
  <si>
    <t>I</t>
  </si>
  <si>
    <t>R</t>
  </si>
  <si>
    <t>Resistencia</t>
  </si>
  <si>
    <t>Coluna1</t>
  </si>
  <si>
    <t>L Trafo Requerido</t>
  </si>
  <si>
    <t>∆ Vo</t>
  </si>
  <si>
    <t/>
  </si>
  <si>
    <t>Corrente_Max</t>
  </si>
  <si>
    <t>Frequencia</t>
  </si>
  <si>
    <t>Teste_HZ</t>
  </si>
  <si>
    <t>5 % HZ</t>
  </si>
  <si>
    <t>Qntd_Fios</t>
  </si>
  <si>
    <t>Número de Voltas Secundário</t>
  </si>
  <si>
    <t>Duty Cicle</t>
  </si>
  <si>
    <t>Qntd Fios Primario</t>
  </si>
  <si>
    <t>Qntd Fios Secundário</t>
  </si>
  <si>
    <t>Corrente_2</t>
  </si>
  <si>
    <t>Qntd_Fios_2</t>
  </si>
  <si>
    <t>Qual Duty Cicle</t>
  </si>
  <si>
    <t>Original</t>
  </si>
  <si>
    <t>Ig</t>
  </si>
  <si>
    <t>Ec</t>
  </si>
  <si>
    <t>nJ</t>
  </si>
  <si>
    <t>T esquisito</t>
  </si>
  <si>
    <t>P</t>
  </si>
  <si>
    <t>f</t>
  </si>
  <si>
    <t>hz</t>
  </si>
  <si>
    <t>Menor Melhor</t>
  </si>
  <si>
    <t>Ib2 = Ic2/10</t>
  </si>
  <si>
    <t>IB3 = IR2</t>
  </si>
  <si>
    <t>IC</t>
  </si>
  <si>
    <t>Menor</t>
  </si>
  <si>
    <t>R3_Novo</t>
  </si>
  <si>
    <t>R2_Novo</t>
  </si>
  <si>
    <t>% R2_Novo</t>
  </si>
  <si>
    <t>R2_Novo_cmc</t>
  </si>
  <si>
    <t>R1_Novo_cmc</t>
  </si>
  <si>
    <t>% R3_Novo</t>
  </si>
  <si>
    <t>R1_Novo</t>
  </si>
  <si>
    <t>% R1_Novo</t>
  </si>
  <si>
    <t>Rg_Novo</t>
  </si>
  <si>
    <t>R3_Novo_cmc</t>
  </si>
  <si>
    <t>% Rg_Novo</t>
  </si>
  <si>
    <t>Rg_Novo_cmc</t>
  </si>
  <si>
    <t>I min gate Drive (IC)</t>
  </si>
  <si>
    <t>Rb Opto</t>
  </si>
  <si>
    <t>Ei</t>
  </si>
  <si>
    <t>C carga</t>
  </si>
  <si>
    <t>C Carga cmc</t>
  </si>
  <si>
    <t>Imax 1%</t>
  </si>
  <si>
    <t>c snb cmc</t>
  </si>
  <si>
    <t>c snb</t>
  </si>
  <si>
    <t>Trafo Antigo</t>
  </si>
  <si>
    <t>1º</t>
  </si>
  <si>
    <t>2º</t>
  </si>
  <si>
    <t>Tap Trafo</t>
  </si>
  <si>
    <t>Vcc Arduino</t>
  </si>
  <si>
    <t>Tipo do Transformador</t>
  </si>
  <si>
    <t>V teste</t>
  </si>
  <si>
    <t>R snubber cmc</t>
  </si>
  <si>
    <t>R_Snubber</t>
  </si>
  <si>
    <t>% R_Snubber</t>
  </si>
  <si>
    <t>R_Snubber_cmc</t>
  </si>
  <si>
    <t>kΩ</t>
  </si>
  <si>
    <t>Item</t>
  </si>
  <si>
    <t>Valor aproximado (R$)</t>
  </si>
  <si>
    <t>Microcontrolador</t>
  </si>
  <si>
    <t>XX,00</t>
  </si>
  <si>
    <t>MOSFET de potência</t>
  </si>
  <si>
    <t>Núcleo toroidal</t>
  </si>
  <si>
    <t>Componentes passivos</t>
  </si>
  <si>
    <t>Custo total estimado</t>
  </si>
  <si>
    <t>lm</t>
  </si>
  <si>
    <t>uLm</t>
  </si>
  <si>
    <t>IRF640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</si>
</sst>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0"/>
    <numFmt numFmtId="167" formatCode="0.00000"/>
    <numFmt numFmtId="168" formatCode="0.000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2" fontId="0" fillId="2" borderId="19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0" xfId="2"/>
    <xf numFmtId="0" fontId="0" fillId="0" borderId="9" xfId="0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9" fontId="0" fillId="0" borderId="0" xfId="1" applyFont="1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5" fillId="0" borderId="0" xfId="2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9" fontId="0" fillId="10" borderId="0" xfId="1" applyFont="1" applyFill="1" applyAlignment="1">
      <alignment horizontal="center" vertical="center"/>
    </xf>
    <xf numFmtId="9" fontId="0" fillId="10" borderId="0" xfId="0" applyNumberForma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5" fontId="0" fillId="2" borderId="16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/>
    </xf>
    <xf numFmtId="167" fontId="0" fillId="2" borderId="16" xfId="0" applyNumberForma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4" fontId="0" fillId="11" borderId="0" xfId="0" applyNumberFormat="1" applyFill="1" applyAlignment="1">
      <alignment horizontal="center" vertical="center"/>
    </xf>
    <xf numFmtId="167" fontId="0" fillId="11" borderId="0" xfId="0" applyNumberFormat="1" applyFill="1" applyAlignment="1">
      <alignment horizontal="center" vertical="center"/>
    </xf>
    <xf numFmtId="0" fontId="4" fillId="0" borderId="0" xfId="0" applyFont="1"/>
    <xf numFmtId="0" fontId="0" fillId="2" borderId="16" xfId="1" applyNumberFormat="1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2" borderId="16" xfId="0" applyNumberFormat="1" applyFill="1" applyBorder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9" fontId="0" fillId="0" borderId="0" xfId="0" applyNumberFormat="1"/>
    <xf numFmtId="0" fontId="0" fillId="0" borderId="0" xfId="0" quotePrefix="1" applyAlignment="1">
      <alignment horizontal="center" vertical="center"/>
    </xf>
    <xf numFmtId="11" fontId="0" fillId="2" borderId="16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3" borderId="2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0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3" borderId="3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5" fontId="0" fillId="2" borderId="27" xfId="0" applyNumberFormat="1" applyFill="1" applyBorder="1" applyAlignment="1">
      <alignment horizontal="center" vertical="center"/>
    </xf>
    <xf numFmtId="165" fontId="0" fillId="2" borderId="4" xfId="0" applyNumberFormat="1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</cellXfs>
  <cellStyles count="3">
    <cellStyle name="Hiperlink" xfId="2" builtinId="8"/>
    <cellStyle name="Normal" xfId="0" builtinId="0"/>
    <cellStyle name="Porcentagem" xfId="1" builtinId="5"/>
  </cellStyles>
  <dxfs count="5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0000"/>
      <alignment horizontal="center" vertical="center" textRotation="0" wrapText="0" indent="0" justifyLastLine="0" shrinkToFit="0" readingOrder="0"/>
    </dxf>
    <dxf>
      <numFmt numFmtId="167" formatCode="0.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590550</xdr:colOff>
      <xdr:row>1</xdr:row>
      <xdr:rowOff>180975</xdr:rowOff>
    </xdr:from>
    <xdr:to>
      <xdr:col>35</xdr:col>
      <xdr:colOff>354918</xdr:colOff>
      <xdr:row>22</xdr:row>
      <xdr:rowOff>121437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CF7D7BA-A70D-B3DD-0115-D675EDC37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15550" y="371475"/>
          <a:ext cx="7279593" cy="394096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304800</xdr:colOff>
      <xdr:row>10</xdr:row>
      <xdr:rowOff>114300</xdr:rowOff>
    </xdr:to>
    <xdr:sp macro="" textlink="">
      <xdr:nvSpPr>
        <xdr:cNvPr id="1025" name="AutoShape 1" descr="Transistor bc337 npn 45v 870ma">
          <a:extLst>
            <a:ext uri="{FF2B5EF4-FFF2-40B4-BE49-F238E27FC236}">
              <a16:creationId xmlns:a16="http://schemas.microsoft.com/office/drawing/2014/main" id="{E4E5CA47-8B88-2CB6-AD9E-4E1FC2E6D4BD}"/>
            </a:ext>
          </a:extLst>
        </xdr:cNvPr>
        <xdr:cNvSpPr>
          <a:spLocks noChangeAspect="1" noChangeArrowheads="1"/>
        </xdr:cNvSpPr>
      </xdr:nvSpPr>
      <xdr:spPr bwMode="auto">
        <a:xfrm>
          <a:off x="38481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5</xdr:row>
      <xdr:rowOff>0</xdr:rowOff>
    </xdr:from>
    <xdr:ext cx="304800" cy="304800"/>
    <xdr:sp macro="" textlink="">
      <xdr:nvSpPr>
        <xdr:cNvPr id="2" name="AutoShape 1" descr="Transistor bc337 npn 45v 870ma">
          <a:extLst>
            <a:ext uri="{FF2B5EF4-FFF2-40B4-BE49-F238E27FC236}">
              <a16:creationId xmlns:a16="http://schemas.microsoft.com/office/drawing/2014/main" id="{A42ACD9F-971B-4EBA-AE59-E278DF3E807F}"/>
            </a:ext>
          </a:extLst>
        </xdr:cNvPr>
        <xdr:cNvSpPr>
          <a:spLocks noChangeAspect="1" noChangeArrowheads="1"/>
        </xdr:cNvSpPr>
      </xdr:nvSpPr>
      <xdr:spPr bwMode="auto">
        <a:xfrm>
          <a:off x="38481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295142</xdr:colOff>
      <xdr:row>1</xdr:row>
      <xdr:rowOff>148537</xdr:rowOff>
    </xdr:from>
    <xdr:to>
      <xdr:col>8</xdr:col>
      <xdr:colOff>492682</xdr:colOff>
      <xdr:row>15</xdr:row>
      <xdr:rowOff>31572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13B7117-C01B-87C5-7354-799B25927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32834" y="341701"/>
          <a:ext cx="2648729" cy="2587336"/>
        </a:xfrm>
        <a:prstGeom prst="rect">
          <a:avLst/>
        </a:prstGeom>
      </xdr:spPr>
    </xdr:pic>
    <xdr:clientData/>
  </xdr:twoCellAnchor>
  <xdr:twoCellAnchor editAs="oneCell">
    <xdr:from>
      <xdr:col>4</xdr:col>
      <xdr:colOff>175244</xdr:colOff>
      <xdr:row>16</xdr:row>
      <xdr:rowOff>95250</xdr:rowOff>
    </xdr:from>
    <xdr:to>
      <xdr:col>8</xdr:col>
      <xdr:colOff>539116</xdr:colOff>
      <xdr:row>28</xdr:row>
      <xdr:rowOff>170882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A67C82C-11B0-BD17-0A93-5157D131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4144" y="3143250"/>
          <a:ext cx="2802272" cy="2361632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</xdr:row>
      <xdr:rowOff>0</xdr:rowOff>
    </xdr:from>
    <xdr:to>
      <xdr:col>48</xdr:col>
      <xdr:colOff>162997</xdr:colOff>
      <xdr:row>21</xdr:row>
      <xdr:rowOff>114795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A456203-08DF-412D-6312-E52B561D5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612475" y="571500"/>
          <a:ext cx="7678222" cy="3543795"/>
        </a:xfrm>
        <a:prstGeom prst="rect">
          <a:avLst/>
        </a:prstGeom>
      </xdr:spPr>
    </xdr:pic>
    <xdr:clientData/>
  </xdr:twoCellAnchor>
  <xdr:twoCellAnchor editAs="oneCell">
    <xdr:from>
      <xdr:col>49</xdr:col>
      <xdr:colOff>173182</xdr:colOff>
      <xdr:row>2</xdr:row>
      <xdr:rowOff>86591</xdr:rowOff>
    </xdr:from>
    <xdr:to>
      <xdr:col>52</xdr:col>
      <xdr:colOff>392477</xdr:colOff>
      <xdr:row>11</xdr:row>
      <xdr:rowOff>100957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AC537D8-742D-B608-6A08-3D43B95A5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11993" y="472920"/>
          <a:ext cx="2057687" cy="17528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609599</xdr:colOff>
      <xdr:row>1</xdr:row>
      <xdr:rowOff>104775</xdr:rowOff>
    </xdr:from>
    <xdr:to>
      <xdr:col>31</xdr:col>
      <xdr:colOff>180974</xdr:colOff>
      <xdr:row>33</xdr:row>
      <xdr:rowOff>139682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95C450-8B84-4342-A51D-1A865048B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22099" y="295275"/>
          <a:ext cx="7496175" cy="61880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533400</xdr:colOff>
      <xdr:row>1</xdr:row>
      <xdr:rowOff>76200</xdr:rowOff>
    </xdr:from>
    <xdr:to>
      <xdr:col>19</xdr:col>
      <xdr:colOff>381319</xdr:colOff>
      <xdr:row>14</xdr:row>
      <xdr:rowOff>67027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BC6E1E-19B7-8F86-7DF7-597FAE029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8200" y="266700"/>
          <a:ext cx="2286319" cy="2524477"/>
        </a:xfrm>
        <a:prstGeom prst="rect">
          <a:avLst/>
        </a:prstGeom>
      </xdr:spPr>
    </xdr:pic>
    <xdr:clientData/>
  </xdr:twoCellAnchor>
  <xdr:twoCellAnchor editAs="oneCell">
    <xdr:from>
      <xdr:col>19</xdr:col>
      <xdr:colOff>381000</xdr:colOff>
      <xdr:row>1</xdr:row>
      <xdr:rowOff>19050</xdr:rowOff>
    </xdr:from>
    <xdr:to>
      <xdr:col>30</xdr:col>
      <xdr:colOff>193081</xdr:colOff>
      <xdr:row>13</xdr:row>
      <xdr:rowOff>171450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625FC8C-0DBC-3D1F-56A2-898E8448F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44200" y="209550"/>
          <a:ext cx="6517681" cy="2495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257175</xdr:colOff>
      <xdr:row>24</xdr:row>
      <xdr:rowOff>142875</xdr:rowOff>
    </xdr:from>
    <xdr:to>
      <xdr:col>32</xdr:col>
      <xdr:colOff>561975</xdr:colOff>
      <xdr:row>40</xdr:row>
      <xdr:rowOff>161925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EED0B89-0DE5-5D08-5909-D7B357B86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00" y="4724400"/>
          <a:ext cx="4572000" cy="30670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323850</xdr:colOff>
      <xdr:row>25</xdr:row>
      <xdr:rowOff>179562</xdr:rowOff>
    </xdr:from>
    <xdr:to>
      <xdr:col>37</xdr:col>
      <xdr:colOff>304800</xdr:colOff>
      <xdr:row>49</xdr:row>
      <xdr:rowOff>124623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344102A-3BBD-087A-3B92-E5061DAA4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8175" y="5180187"/>
          <a:ext cx="5467350" cy="4707561"/>
        </a:xfrm>
        <a:prstGeom prst="rect">
          <a:avLst/>
        </a:prstGeom>
      </xdr:spPr>
    </xdr:pic>
    <xdr:clientData/>
  </xdr:twoCellAnchor>
  <xdr:twoCellAnchor editAs="oneCell">
    <xdr:from>
      <xdr:col>27</xdr:col>
      <xdr:colOff>600075</xdr:colOff>
      <xdr:row>11</xdr:row>
      <xdr:rowOff>186606</xdr:rowOff>
    </xdr:from>
    <xdr:to>
      <xdr:col>37</xdr:col>
      <xdr:colOff>363387</xdr:colOff>
      <xdr:row>24</xdr:row>
      <xdr:rowOff>95866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AF2090C-4123-0DB2-1B2D-110E9B42B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974800" y="2386881"/>
          <a:ext cx="5859312" cy="2509585"/>
        </a:xfrm>
        <a:prstGeom prst="rect">
          <a:avLst/>
        </a:prstGeom>
      </xdr:spPr>
    </xdr:pic>
    <xdr:clientData/>
  </xdr:twoCellAnchor>
  <xdr:twoCellAnchor editAs="oneCell">
    <xdr:from>
      <xdr:col>24</xdr:col>
      <xdr:colOff>285750</xdr:colOff>
      <xdr:row>20</xdr:row>
      <xdr:rowOff>38100</xdr:rowOff>
    </xdr:from>
    <xdr:to>
      <xdr:col>27</xdr:col>
      <xdr:colOff>305058</xdr:colOff>
      <xdr:row>23</xdr:row>
      <xdr:rowOff>142973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C1E25FC-712F-F908-A56D-588C0F05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831675" y="4038600"/>
          <a:ext cx="1848108" cy="7049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142875</xdr:colOff>
      <xdr:row>1</xdr:row>
      <xdr:rowOff>66675</xdr:rowOff>
    </xdr:from>
    <xdr:to>
      <xdr:col>28</xdr:col>
      <xdr:colOff>455606</xdr:colOff>
      <xdr:row>27</xdr:row>
      <xdr:rowOff>180975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1B50A0E7-03DA-D036-8FD7-62A71CA103B4}"/>
            </a:ext>
          </a:extLst>
        </xdr:cNvPr>
        <xdr:cNvGrpSpPr/>
      </xdr:nvGrpSpPr>
      <xdr:grpSpPr>
        <a:xfrm>
          <a:off x="15059025" y="266700"/>
          <a:ext cx="8847131" cy="5076825"/>
          <a:chOff x="8677275" y="66675"/>
          <a:chExt cx="8847131" cy="4876800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F04673EB-10D8-16B5-656D-DA074E7C32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677275" y="66675"/>
            <a:ext cx="8847131" cy="4876800"/>
          </a:xfrm>
          <a:prstGeom prst="rect">
            <a:avLst/>
          </a:prstGeom>
        </xdr:spPr>
      </xdr:pic>
      <xdr:pic>
        <xdr:nvPicPr>
          <xdr:cNvPr id="2" name="Imagem 1">
            <a:extLst>
              <a:ext uri="{FF2B5EF4-FFF2-40B4-BE49-F238E27FC236}">
                <a16:creationId xmlns:a16="http://schemas.microsoft.com/office/drawing/2014/main" id="{CE2C8529-51D7-F76C-B865-CA37D7FBB7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382750" y="3638550"/>
            <a:ext cx="2086266" cy="704948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161925</xdr:rowOff>
    </xdr:from>
    <xdr:to>
      <xdr:col>22</xdr:col>
      <xdr:colOff>258062</xdr:colOff>
      <xdr:row>25</xdr:row>
      <xdr:rowOff>616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55F66C-5330-11C6-B479-9A9AA7328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352425"/>
          <a:ext cx="6354062" cy="4410691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142876</xdr:colOff>
      <xdr:row>0</xdr:row>
      <xdr:rowOff>123826</xdr:rowOff>
    </xdr:from>
    <xdr:to>
      <xdr:col>11</xdr:col>
      <xdr:colOff>161926</xdr:colOff>
      <xdr:row>24</xdr:row>
      <xdr:rowOff>105272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8138825-DCBD-34C7-6EDC-770144E01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00476" y="123826"/>
          <a:ext cx="3067050" cy="4553446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1</xdr:row>
      <xdr:rowOff>28575</xdr:rowOff>
    </xdr:from>
    <xdr:to>
      <xdr:col>5</xdr:col>
      <xdr:colOff>438609</xdr:colOff>
      <xdr:row>31</xdr:row>
      <xdr:rowOff>153215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6FB5ABE-8963-B2F0-244F-AE81E32DD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219075"/>
          <a:ext cx="3286584" cy="583964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2</xdr:row>
      <xdr:rowOff>85724</xdr:rowOff>
    </xdr:from>
    <xdr:to>
      <xdr:col>17</xdr:col>
      <xdr:colOff>467840</xdr:colOff>
      <xdr:row>28</xdr:row>
      <xdr:rowOff>133349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9F25F9C-990A-2C48-2BC6-D24B6B192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0" y="466724"/>
          <a:ext cx="9402290" cy="5000625"/>
        </a:xfrm>
        <a:prstGeom prst="rect">
          <a:avLst/>
        </a:prstGeom>
      </xdr:spPr>
    </xdr:pic>
    <xdr:clientData/>
  </xdr:twoCellAnchor>
  <xdr:twoCellAnchor editAs="oneCell">
    <xdr:from>
      <xdr:col>14</xdr:col>
      <xdr:colOff>104775</xdr:colOff>
      <xdr:row>0</xdr:row>
      <xdr:rowOff>47624</xdr:rowOff>
    </xdr:from>
    <xdr:to>
      <xdr:col>27</xdr:col>
      <xdr:colOff>361950</xdr:colOff>
      <xdr:row>31</xdr:row>
      <xdr:rowOff>51735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7B520B3-7E27-08D8-DAF0-35380308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39175" y="47624"/>
          <a:ext cx="8382000" cy="5909611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5</xdr:row>
      <xdr:rowOff>66673</xdr:rowOff>
    </xdr:from>
    <xdr:to>
      <xdr:col>17</xdr:col>
      <xdr:colOff>97878</xdr:colOff>
      <xdr:row>25</xdr:row>
      <xdr:rowOff>66674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41CDC48-1615-40E2-6B7C-FDDE48B7A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43250" y="1019173"/>
          <a:ext cx="7317828" cy="38100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368545</xdr:colOff>
      <xdr:row>1</xdr:row>
      <xdr:rowOff>38833</xdr:rowOff>
    </xdr:from>
    <xdr:to>
      <xdr:col>16</xdr:col>
      <xdr:colOff>311395</xdr:colOff>
      <xdr:row>25</xdr:row>
      <xdr:rowOff>25955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EC27D8-CB5C-A640-426E-C07199CD1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2949" y="229333"/>
          <a:ext cx="7848600" cy="4559122"/>
        </a:xfrm>
        <a:prstGeom prst="rect">
          <a:avLst/>
        </a:prstGeom>
      </xdr:spPr>
    </xdr:pic>
    <xdr:clientData/>
  </xdr:twoCellAnchor>
  <xdr:twoCellAnchor editAs="oneCell">
    <xdr:from>
      <xdr:col>14</xdr:col>
      <xdr:colOff>91587</xdr:colOff>
      <xdr:row>1</xdr:row>
      <xdr:rowOff>79864</xdr:rowOff>
    </xdr:from>
    <xdr:to>
      <xdr:col>27</xdr:col>
      <xdr:colOff>330927</xdr:colOff>
      <xdr:row>25</xdr:row>
      <xdr:rowOff>45482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BFBA0CE-1DEE-34A5-2F13-4B68197F5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5472" y="270364"/>
          <a:ext cx="8145090" cy="4537618"/>
        </a:xfrm>
        <a:prstGeom prst="rect">
          <a:avLst/>
        </a:prstGeom>
      </xdr:spPr>
    </xdr:pic>
    <xdr:clientData/>
  </xdr:twoCellAnchor>
  <xdr:twoCellAnchor editAs="oneCell">
    <xdr:from>
      <xdr:col>16</xdr:col>
      <xdr:colOff>732</xdr:colOff>
      <xdr:row>2</xdr:row>
      <xdr:rowOff>145808</xdr:rowOff>
    </xdr:from>
    <xdr:to>
      <xdr:col>20</xdr:col>
      <xdr:colOff>473319</xdr:colOff>
      <xdr:row>23</xdr:row>
      <xdr:rowOff>41033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8E8874A-1E0F-810B-D2B5-7CBB6DD29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30886" y="526808"/>
          <a:ext cx="2905125" cy="38957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F220D4-B8E2-46A9-9586-732092E95F8A}" name="DadosProjeto_Toroide_Iron_Powder" displayName="DadosProjeto_Toroide_Iron_Powder" ref="H1:T21" totalsRowShown="0" headerRowDxfId="58" dataDxfId="57">
  <autoFilter ref="H1:T21" xr:uid="{A9F220D4-B8E2-46A9-9586-732092E95F8A}"/>
  <tableColumns count="13">
    <tableColumn id="1" xr3:uid="{8EFCC9E6-4348-44AF-9C8E-CF9819E92A7B}" name="Part No." dataDxfId="56"/>
    <tableColumn id="2" xr3:uid="{4AABFB33-5D4E-4A23-8204-89D9935EF976}" name="Ww (g)" dataDxfId="55"/>
    <tableColumn id="3" xr3:uid="{AFE635E9-66D8-442A-8D38-DFC1ADBE91E5}" name="We (g)" dataDxfId="54"/>
    <tableColumn id="4" xr3:uid="{32FA3337-95D6-4920-B77A-AEBA8BC23472}" name="MLT (cm)" dataDxfId="53"/>
    <tableColumn id="5" xr3:uid="{255D0213-282A-4E65-80B1-C2AAD2DC0771}" name="MPL (cm)" dataDxfId="52"/>
    <tableColumn id="6" xr3:uid="{83400093-5A3A-44CC-8113-2737CABE1765}" name="Wa (cm²)" dataDxfId="51"/>
    <tableColumn id="13" xr3:uid="{82D06A2A-2E43-4A5B-9F57-DB72CD8211B9}" name="Coluna1" dataDxfId="50"/>
    <tableColumn id="7" xr3:uid="{E68C6C27-17EC-454A-998C-E5DE0760DFD5}" name="Ac (cm²)" dataDxfId="49"/>
    <tableColumn id="8" xr3:uid="{31293787-9AD4-4E00-9746-F7D3D923F96E}" name="W2 (cm²)" dataDxfId="48"/>
    <tableColumn id="9" xr3:uid="{74268BDC-47E2-4EAF-BE2C-E1AAADBAB2CF}" name="Ap (cm⁴)" dataDxfId="47"/>
    <tableColumn id="10" xr3:uid="{6A282A28-27A6-4E8D-9787-C99D7C6037C2}" name="Kg" dataDxfId="46"/>
    <tableColumn id="11" xr3:uid="{6CD9127B-E1E9-467D-9EF3-99FC40530F66}" name="Ae (cm²)" dataDxfId="45"/>
    <tableColumn id="12" xr3:uid="{30CE3A48-D5FD-4D4F-8F07-8282EF6F3011}" name="AL (mh/1k)" dataDxfId="44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C67F47-B1B0-4182-9A0B-3CCFAF08F2A4}" name="Dimensoes_Toroide_Iron_Powder" displayName="Dimensoes_Toroide_Iron_Powder" ref="A1:F21" totalsRowShown="0" headerRowDxfId="43" dataDxfId="42">
  <autoFilter ref="A1:F21" xr:uid="{82C67F47-B1B0-4182-9A0B-3CCFAF08F2A4}"/>
  <tableColumns count="6">
    <tableColumn id="1" xr3:uid="{2E4F97A2-CCAD-42B0-84DE-E1D6584FA774}" name="Part No." dataDxfId="41"/>
    <tableColumn id="2" xr3:uid="{ABE5D735-34B2-4017-9B67-27A63220DEB6}" name="OD (cm)" dataDxfId="40"/>
    <tableColumn id="3" xr3:uid="{8AE12FA5-6896-4A4F-8A1A-48AE6D20E2DD}" name="ID (cm)" dataDxfId="39"/>
    <tableColumn id="4" xr3:uid="{E41607EF-6419-477F-B312-ADD437C61307}" name="HT (cm)" dataDxfId="38"/>
    <tableColumn id="5" xr3:uid="{386F391D-FC2A-48EE-A7C8-B17A2D0A2216}" name="AC (cm)" dataDxfId="37">
      <calculatedColumnFormula>((B2-C2)*D2)/2</calculatedColumnFormula>
    </tableColumn>
    <tableColumn id="6" xr3:uid="{5F113026-3B86-4B42-93FF-57E887FAC08F}" name="G toroide" dataDxfId="36">
      <calculatedColumnFormula>(Dimensoes_Toroide_Iron_Powder[[#This Row],[OD (cm)]]-Dimensoes_Toroide_Iron_Powder[[#This Row],[ID (cm)]])/2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917EAD-5EB3-48E7-B756-D86E85373963}" name="Tabela3" displayName="Tabela3" ref="A1:G95" totalsRowShown="0" headerRowDxfId="35">
  <autoFilter ref="A1:G95" xr:uid="{C1917EAD-5EB3-48E7-B756-D86E85373963}"/>
  <tableColumns count="7">
    <tableColumn id="1" xr3:uid="{D05E3C34-BEF2-4061-8555-0736B06E8A2C}" name="Capacitores Comerciais (com vírgula)" dataDxfId="34"/>
    <tableColumn id="2" xr3:uid="{BFB384A4-9ADC-43BE-A9D7-72072DC0180C}" name="Fator para Farads" dataDxfId="33"/>
    <tableColumn id="3" xr3:uid="{868A73F8-917A-4CFE-8E50-1FF103512ED7}" name="Em Faraday" dataDxfId="32">
      <calculatedColumnFormula>A2*B2</calculatedColumnFormula>
    </tableColumn>
    <tableColumn id="12" xr3:uid="{D9502D9B-6B1C-4F4E-B80A-CFF0F403A9EC}" name="Capacitor_TCC" dataDxfId="31">
      <calculatedColumnFormula>Calculo_FlyBack_Simples!$Q$28</calculatedColumnFormula>
    </tableColumn>
    <tableColumn id="13" xr3:uid="{95FF7B38-5FEF-45F5-A164-EFDD2D520AC8}" name="C_TCC" dataDxfId="30">
      <calculatedColumnFormula>IF(Tabela3[[#This Row],[Capacitor_TCC]]&gt;Tabela3[[#This Row],[Em Faraday]],"Não","Sim")</calculatedColumnFormula>
    </tableColumn>
    <tableColumn id="8" xr3:uid="{EE208E26-C3F3-4768-8BA6-92D7B137E6B7}" name="Capacitor_Snubber_OFF" dataDxfId="29">
      <calculatedColumnFormula>Calculo_FlyBack_Simples!$Q$24</calculatedColumnFormula>
    </tableColumn>
    <tableColumn id="9" xr3:uid="{F49FA7E7-3B06-44EA-8BBB-902AF00AE932}" name="C_Sb_off" dataDxfId="28">
      <calculatedColumnFormula>IF(Tabela3[[#This Row],[Capacitor_Snubber_OFF]]&gt;Tabela3[[#This Row],[Em Faraday]],"Não","Sim")</calculatedColumnFormula>
    </tableColumn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191A02-0C9F-462A-9E17-3AF1E19F9EB3}" name="Tabela2" displayName="Tabela2" ref="A1:P63" totalsRowShown="0" headerRowDxfId="27" dataDxfId="26">
  <autoFilter ref="A1:P63" xr:uid="{2E191A02-0C9F-462A-9E17-3AF1E19F9EB3}"/>
  <tableColumns count="16">
    <tableColumn id="1" xr3:uid="{9B5BC195-C5D9-42BF-9FB6-0328E7A00EB2}" name="Resistencia" dataDxfId="25"/>
    <tableColumn id="2" xr3:uid="{77F2C4AB-1E02-4865-B33D-2F778A61B96F}" name="R3_Novo" dataDxfId="24">
      <calculatedColumnFormula>Estudo_Drive!$S$4</calculatedColumnFormula>
    </tableColumn>
    <tableColumn id="4" xr3:uid="{81FD3A88-38CA-4768-834E-296FC1DA2319}" name="% R3_Novo" dataDxfId="23" dataCellStyle="Porcentagem">
      <calculatedColumnFormula>Tabela2[[#This Row],[Resistencia]]/Tabela2[[#This Row],[R3_Novo]]</calculatedColumnFormula>
    </tableColumn>
    <tableColumn id="5" xr3:uid="{3AC9B653-44A3-4E43-B0F3-4F8BEB4253C5}" name="R3_Novo_cmc" dataDxfId="22">
      <calculatedColumnFormula>IF(Tabela2[[#This Row],[% R3_Novo]]&lt;0.85,"Não","Sim")</calculatedColumnFormula>
    </tableColumn>
    <tableColumn id="6" xr3:uid="{31D88A7C-C218-4CE8-BE35-A44C476839EE}" name="R2_Novo" dataDxfId="21">
      <calculatedColumnFormula>Estudo_Drive!$S$20</calculatedColumnFormula>
    </tableColumn>
    <tableColumn id="7" xr3:uid="{FE8731CD-AA15-4079-B4FB-FF151565E7EA}" name="% R2_Novo" dataDxfId="20" dataCellStyle="Porcentagem">
      <calculatedColumnFormula>Tabela2[[#This Row],[Resistencia]]/Tabela2[[#This Row],[R2_Novo]]</calculatedColumnFormula>
    </tableColumn>
    <tableColumn id="8" xr3:uid="{9271C4D3-331F-4B29-8B37-4CB9D37FCA53}" name="R2_Novo_cmc" dataDxfId="19">
      <calculatedColumnFormula>IF(Tabela2[[#This Row],[% R2_Novo]]&lt;0.9,"Não","Sim")</calculatedColumnFormula>
    </tableColumn>
    <tableColumn id="9" xr3:uid="{E2912B08-751F-4521-9D8C-F8279473763A}" name="R1_Novo" dataDxfId="18">
      <calculatedColumnFormula>Estudo_Drive!$S$24</calculatedColumnFormula>
    </tableColumn>
    <tableColumn id="10" xr3:uid="{B51EDF9F-329D-4DF9-B851-6072A9ECADA7}" name="% R1_Novo" dataDxfId="17" dataCellStyle="Porcentagem">
      <calculatedColumnFormula>Tabela2[[#This Row],[Resistencia]]/Tabela2[[#This Row],[R1_Novo]]</calculatedColumnFormula>
    </tableColumn>
    <tableColumn id="11" xr3:uid="{DD0395CD-7D44-45FF-BC62-107D0D87A54C}" name="R1_Novo_cmc" dataDxfId="16">
      <calculatedColumnFormula>IF(Tabela2[[#This Row],[% R1_Novo]]&lt;0.9,"Não","Sim")</calculatedColumnFormula>
    </tableColumn>
    <tableColumn id="3" xr3:uid="{AB9683F4-0554-4729-8882-FA6BC452BD13}" name="Rg_Novo" dataDxfId="15">
      <calculatedColumnFormula>Estudo_Drive!$S$28</calculatedColumnFormula>
    </tableColumn>
    <tableColumn id="12" xr3:uid="{93CBB5E1-7E6B-4746-99EE-6E2425EA6B48}" name="% Rg_Novo" dataDxfId="14" dataCellStyle="Porcentagem">
      <calculatedColumnFormula>Tabela2[[#This Row],[Resistencia]]/Tabela2[[#This Row],[Rg_Novo]]</calculatedColumnFormula>
    </tableColumn>
    <tableColumn id="13" xr3:uid="{D4E30E20-E03D-4D20-A31F-BDE4202C8B83}" name="Rg_Novo_cmc" dataDxfId="13">
      <calculatedColumnFormula>IF(Tabela2[[#This Row],[% Rg_Novo]]&lt;0.9,"Não","Sim")</calculatedColumnFormula>
    </tableColumn>
    <tableColumn id="14" xr3:uid="{4C674B8D-CC00-4CB0-AB07-FBB706704AEC}" name="R_Snubber" dataDxfId="12">
      <calculatedColumnFormula>Calculo_FlyBack_Simples!$Q$18</calculatedColumnFormula>
    </tableColumn>
    <tableColumn id="15" xr3:uid="{4964DECB-7BE6-46A2-9477-188B41AF0D4A}" name="% R_Snubber" dataDxfId="11" dataCellStyle="Porcentagem">
      <calculatedColumnFormula>Tabela2[[#This Row],[Resistencia]]/Tabela2[[#This Row],[R_Snubber]]</calculatedColumnFormula>
    </tableColumn>
    <tableColumn id="16" xr3:uid="{F8EAFA4C-A905-4844-A8C8-203EEE9A4C88}" name="R_Snubber_cmc" dataDxfId="10">
      <calculatedColumnFormula>IF(Tabela2[[#This Row],[% R_Snubber]]&lt;0.9,"Não","Sim")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youtube.com/watch?v=WTB71her32k" TargetMode="External"/><Relationship Id="rId1" Type="http://schemas.openxmlformats.org/officeDocument/2006/relationships/hyperlink" Target="https://www.youtube.com/watch?v=UnN3hBL277I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https://www.youtube.com/watch?v=WKcHU6leRBc" TargetMode="External"/><Relationship Id="rId1" Type="http://schemas.openxmlformats.org/officeDocument/2006/relationships/hyperlink" Target="https://eltgeral.com.br/tipos-de-gate-driver-para-mosfet-e-igbt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A731-119D-4C05-A401-C92497BDE1C3}">
  <dimension ref="C1:L33"/>
  <sheetViews>
    <sheetView workbookViewId="0">
      <selection activeCell="D16" sqref="D16"/>
    </sheetView>
  </sheetViews>
  <sheetFormatPr defaultRowHeight="15" x14ac:dyDescent="0.25"/>
  <cols>
    <col min="1" max="2" width="9.140625" style="2"/>
    <col min="3" max="3" width="22.85546875" style="2" bestFit="1" customWidth="1"/>
    <col min="4" max="4" width="14.7109375" style="2" bestFit="1" customWidth="1"/>
    <col min="5" max="5" width="9.85546875" style="2" bestFit="1" customWidth="1"/>
    <col min="6" max="6" width="9.140625" style="2"/>
    <col min="7" max="7" width="19.28515625" style="2" bestFit="1" customWidth="1"/>
    <col min="8" max="8" width="8" style="2" bestFit="1" customWidth="1"/>
    <col min="9" max="9" width="9.85546875" style="2" bestFit="1" customWidth="1"/>
    <col min="10" max="10" width="10.28515625" style="2" bestFit="1" customWidth="1"/>
    <col min="11" max="11" width="10.140625" style="2" bestFit="1" customWidth="1"/>
    <col min="12" max="12" width="23.42578125" style="2" bestFit="1" customWidth="1"/>
    <col min="13" max="16384" width="9.140625" style="2"/>
  </cols>
  <sheetData>
    <row r="1" spans="3:12" ht="15.75" thickBot="1" x14ac:dyDescent="0.3">
      <c r="C1" s="87" t="s">
        <v>0</v>
      </c>
      <c r="D1" s="88"/>
      <c r="E1" s="88"/>
      <c r="G1" s="89" t="s">
        <v>1</v>
      </c>
      <c r="H1" s="89"/>
      <c r="I1" s="89"/>
      <c r="K1" s="87" t="s">
        <v>2</v>
      </c>
      <c r="L1" s="88"/>
    </row>
    <row r="2" spans="3:12" ht="15.75" thickBot="1" x14ac:dyDescent="0.3">
      <c r="C2" s="29" t="s">
        <v>3</v>
      </c>
      <c r="D2" s="29" t="s">
        <v>4</v>
      </c>
      <c r="E2" s="29" t="s">
        <v>5</v>
      </c>
      <c r="G2" s="16" t="s">
        <v>6</v>
      </c>
      <c r="H2" s="83" t="str">
        <f>Calculo_Flyback!O4</f>
        <v>T106-26</v>
      </c>
      <c r="I2" s="84"/>
      <c r="K2" s="18"/>
      <c r="L2" s="18" t="s">
        <v>7</v>
      </c>
    </row>
    <row r="3" spans="3:12" x14ac:dyDescent="0.25">
      <c r="C3" s="18" t="s">
        <v>8</v>
      </c>
      <c r="D3" s="5">
        <v>5</v>
      </c>
      <c r="E3" s="19" t="s">
        <v>9</v>
      </c>
      <c r="G3" s="16" t="s">
        <v>10</v>
      </c>
      <c r="H3" s="63">
        <f>Calculo_FlyBack_Simples!M22</f>
        <v>450000</v>
      </c>
      <c r="I3" s="16" t="s">
        <v>11</v>
      </c>
      <c r="K3" s="16"/>
      <c r="L3" s="16" t="s">
        <v>12</v>
      </c>
    </row>
    <row r="4" spans="3:12" x14ac:dyDescent="0.25">
      <c r="C4" s="18" t="s">
        <v>13</v>
      </c>
      <c r="D4" s="5">
        <v>12</v>
      </c>
      <c r="E4" s="19" t="s">
        <v>9</v>
      </c>
      <c r="G4" s="16" t="s">
        <v>14</v>
      </c>
      <c r="H4" s="16">
        <f>Calculo_FlyBack_Simples!M27</f>
        <v>24</v>
      </c>
      <c r="I4" s="16" t="s">
        <v>15</v>
      </c>
      <c r="J4" s="40"/>
    </row>
    <row r="5" spans="3:12" x14ac:dyDescent="0.25">
      <c r="C5" s="18" t="s">
        <v>16</v>
      </c>
      <c r="D5" s="5">
        <f>D4</f>
        <v>12</v>
      </c>
      <c r="E5" s="19" t="s">
        <v>9</v>
      </c>
      <c r="G5" s="16" t="s">
        <v>17</v>
      </c>
      <c r="H5" s="16">
        <f>Calculo_FlyBack_Simples!M23</f>
        <v>69</v>
      </c>
      <c r="I5" s="16" t="s">
        <v>18</v>
      </c>
      <c r="K5" s="39"/>
    </row>
    <row r="6" spans="3:12" x14ac:dyDescent="0.25">
      <c r="C6" s="18" t="s">
        <v>19</v>
      </c>
      <c r="D6" s="5">
        <f>D4</f>
        <v>12</v>
      </c>
      <c r="E6" s="19" t="s">
        <v>9</v>
      </c>
      <c r="G6" s="16" t="s">
        <v>20</v>
      </c>
      <c r="H6" s="16">
        <f>Calculo_FlyBack_Simples!M24</f>
        <v>1</v>
      </c>
      <c r="I6" s="16" t="s">
        <v>21</v>
      </c>
    </row>
    <row r="7" spans="3:12" x14ac:dyDescent="0.25">
      <c r="C7" s="18" t="s">
        <v>472</v>
      </c>
      <c r="D7" s="18">
        <v>5</v>
      </c>
      <c r="E7" s="18" t="s">
        <v>9</v>
      </c>
      <c r="G7" s="16" t="s">
        <v>26</v>
      </c>
      <c r="H7" s="16">
        <f>Calculo_FlyBack_Simples!M28</f>
        <v>12.32</v>
      </c>
      <c r="I7" s="16" t="s">
        <v>21</v>
      </c>
    </row>
    <row r="8" spans="3:12" x14ac:dyDescent="0.25">
      <c r="C8" s="18" t="s">
        <v>476</v>
      </c>
      <c r="D8" s="18">
        <v>10</v>
      </c>
      <c r="E8" s="18" t="s">
        <v>25</v>
      </c>
      <c r="G8" s="16" t="s">
        <v>23</v>
      </c>
      <c r="H8" s="16">
        <f>Calculo_FlyBack_Simples!M26</f>
        <v>1</v>
      </c>
      <c r="I8" s="16" t="s">
        <v>18</v>
      </c>
    </row>
    <row r="9" spans="3:12" x14ac:dyDescent="0.25">
      <c r="C9" s="18" t="s">
        <v>513</v>
      </c>
      <c r="D9" s="18">
        <v>450</v>
      </c>
      <c r="E9" s="19" t="s">
        <v>11</v>
      </c>
      <c r="G9" s="16" t="s">
        <v>29</v>
      </c>
      <c r="H9" s="16">
        <f>Calculo_FlyBack_Simples!M7</f>
        <v>0.17857142857142858</v>
      </c>
      <c r="I9" s="16" t="s">
        <v>30</v>
      </c>
    </row>
    <row r="10" spans="3:12" x14ac:dyDescent="0.25">
      <c r="C10" s="18" t="s">
        <v>513</v>
      </c>
      <c r="D10" s="5">
        <f>D9/1000000</f>
        <v>4.4999999999999999E-4</v>
      </c>
      <c r="E10" s="19" t="s">
        <v>42</v>
      </c>
      <c r="G10" s="16" t="s">
        <v>32</v>
      </c>
      <c r="H10" s="16">
        <f>Calculo_FlyBack_Simples!Q29</f>
        <v>3.2999999999999996E-5</v>
      </c>
      <c r="I10" s="16" t="s">
        <v>33</v>
      </c>
    </row>
    <row r="11" spans="3:12" x14ac:dyDescent="0.25">
      <c r="C11" s="18" t="s">
        <v>293</v>
      </c>
      <c r="D11" s="5">
        <v>4.5</v>
      </c>
      <c r="E11" s="19" t="s">
        <v>294</v>
      </c>
      <c r="G11" s="16" t="s">
        <v>32</v>
      </c>
      <c r="H11" s="16">
        <f>H10*1000000</f>
        <v>32.999999999999993</v>
      </c>
      <c r="I11" s="16" t="s">
        <v>34</v>
      </c>
    </row>
    <row r="12" spans="3:12" ht="15.75" thickBot="1" x14ac:dyDescent="0.3">
      <c r="C12" s="18" t="s">
        <v>293</v>
      </c>
      <c r="D12" s="5">
        <v>5.6</v>
      </c>
      <c r="E12" s="19" t="s">
        <v>294</v>
      </c>
    </row>
    <row r="13" spans="3:12" ht="15.75" thickBot="1" x14ac:dyDescent="0.3">
      <c r="C13" s="29" t="s">
        <v>37</v>
      </c>
      <c r="D13" s="89" t="s">
        <v>583</v>
      </c>
      <c r="E13" s="89"/>
    </row>
    <row r="14" spans="3:12" x14ac:dyDescent="0.25">
      <c r="C14" s="18" t="s">
        <v>40</v>
      </c>
      <c r="D14" s="5">
        <v>62.5</v>
      </c>
      <c r="E14" s="19" t="s">
        <v>41</v>
      </c>
      <c r="G14" s="2" t="s">
        <v>38</v>
      </c>
      <c r="H14" s="2">
        <v>1.4950000000000001</v>
      </c>
      <c r="I14" s="2" t="s">
        <v>39</v>
      </c>
    </row>
    <row r="15" spans="3:12" x14ac:dyDescent="0.25">
      <c r="C15" s="16" t="s">
        <v>40</v>
      </c>
      <c r="D15" s="16">
        <f>D14*1000</f>
        <v>62500</v>
      </c>
      <c r="E15" s="16" t="s">
        <v>42</v>
      </c>
      <c r="G15" s="2" t="s">
        <v>18</v>
      </c>
      <c r="H15" s="2">
        <v>20</v>
      </c>
    </row>
    <row r="16" spans="3:12" x14ac:dyDescent="0.25">
      <c r="C16" s="18" t="s">
        <v>27</v>
      </c>
      <c r="D16" s="5">
        <v>10</v>
      </c>
      <c r="E16" s="19"/>
      <c r="G16" s="2" t="s">
        <v>43</v>
      </c>
      <c r="H16" s="2">
        <f>H14*1000000</f>
        <v>1495000</v>
      </c>
    </row>
    <row r="17" spans="3:9" x14ac:dyDescent="0.25">
      <c r="C17" s="18" t="s">
        <v>553</v>
      </c>
      <c r="D17" s="5">
        <v>1</v>
      </c>
      <c r="E17" s="19" t="s">
        <v>28</v>
      </c>
      <c r="G17" s="2" t="s">
        <v>45</v>
      </c>
      <c r="H17" s="2">
        <f>H16/(H15*H15)</f>
        <v>3737.5</v>
      </c>
      <c r="I17" s="2" t="s">
        <v>46</v>
      </c>
    </row>
    <row r="18" spans="3:9" x14ac:dyDescent="0.25">
      <c r="C18" s="18" t="s">
        <v>553</v>
      </c>
      <c r="D18" s="5">
        <f>D17/1000</f>
        <v>1E-3</v>
      </c>
      <c r="E18" s="19" t="s">
        <v>31</v>
      </c>
    </row>
    <row r="19" spans="3:9" x14ac:dyDescent="0.25">
      <c r="C19" s="16" t="s">
        <v>44</v>
      </c>
      <c r="D19" s="12">
        <f>IF(D13="P75NF75",Estudo_Mosfet!G24,Estudo_Mosfet!O24)</f>
        <v>0.254</v>
      </c>
      <c r="E19" s="43" t="s">
        <v>31</v>
      </c>
      <c r="G19" s="2" t="s">
        <v>38</v>
      </c>
      <c r="H19" s="2">
        <v>1.2999999999999999E-2</v>
      </c>
      <c r="I19" s="2" t="s">
        <v>39</v>
      </c>
    </row>
    <row r="20" spans="3:9" x14ac:dyDescent="0.25">
      <c r="C20" s="16" t="s">
        <v>44</v>
      </c>
      <c r="D20" s="12">
        <f>D19*1000</f>
        <v>254</v>
      </c>
      <c r="E20" s="43" t="s">
        <v>28</v>
      </c>
      <c r="G20" s="2" t="s">
        <v>18</v>
      </c>
      <c r="H20" s="2">
        <v>10</v>
      </c>
    </row>
    <row r="21" spans="3:9" x14ac:dyDescent="0.25">
      <c r="C21" s="16" t="s">
        <v>554</v>
      </c>
      <c r="D21" s="16">
        <f>Estudo_Drive!S29</f>
        <v>18000</v>
      </c>
      <c r="E21" s="16" t="s">
        <v>25</v>
      </c>
      <c r="G21" s="2" t="s">
        <v>43</v>
      </c>
      <c r="H21" s="2">
        <f>H19*1000000</f>
        <v>13000</v>
      </c>
    </row>
    <row r="22" spans="3:9" x14ac:dyDescent="0.25">
      <c r="C22" s="16" t="s">
        <v>35</v>
      </c>
      <c r="D22" s="16">
        <f>Estudo_Drive!S25</f>
        <v>4700</v>
      </c>
      <c r="E22" s="16" t="s">
        <v>25</v>
      </c>
      <c r="G22" s="2" t="s">
        <v>45</v>
      </c>
      <c r="H22" s="2">
        <f>H21/(H20*H20)</f>
        <v>130</v>
      </c>
      <c r="I22" s="2" t="s">
        <v>46</v>
      </c>
    </row>
    <row r="23" spans="3:9" x14ac:dyDescent="0.25">
      <c r="C23" s="16" t="s">
        <v>36</v>
      </c>
      <c r="D23" s="16">
        <f>Estudo_Drive!S21</f>
        <v>470</v>
      </c>
      <c r="E23" s="16" t="s">
        <v>25</v>
      </c>
    </row>
    <row r="24" spans="3:9" ht="15.75" thickBot="1" x14ac:dyDescent="0.3">
      <c r="C24" s="16" t="s">
        <v>48</v>
      </c>
      <c r="D24" s="16">
        <f>Estudo_Drive!S5</f>
        <v>47</v>
      </c>
      <c r="E24" s="16" t="s">
        <v>25</v>
      </c>
    </row>
    <row r="25" spans="3:9" ht="15.75" thickBot="1" x14ac:dyDescent="0.3">
      <c r="C25" s="89" t="s">
        <v>49</v>
      </c>
      <c r="D25" s="89"/>
      <c r="E25" s="89"/>
    </row>
    <row r="26" spans="3:9" x14ac:dyDescent="0.25">
      <c r="C26" s="18" t="s">
        <v>514</v>
      </c>
      <c r="D26" s="5">
        <v>1</v>
      </c>
      <c r="E26" s="19" t="s">
        <v>47</v>
      </c>
    </row>
    <row r="27" spans="3:9" x14ac:dyDescent="0.25">
      <c r="C27" s="18" t="s">
        <v>51</v>
      </c>
      <c r="D27" s="5">
        <v>0.7</v>
      </c>
      <c r="E27" s="19" t="s">
        <v>9</v>
      </c>
    </row>
    <row r="28" spans="3:9" x14ac:dyDescent="0.25">
      <c r="C28" s="18" t="s">
        <v>522</v>
      </c>
      <c r="D28" s="18">
        <v>0.7</v>
      </c>
      <c r="E28" s="18" t="s">
        <v>53</v>
      </c>
    </row>
    <row r="29" spans="3:9" x14ac:dyDescent="0.25">
      <c r="C29" s="18" t="s">
        <v>56</v>
      </c>
      <c r="D29" s="18">
        <v>0.25</v>
      </c>
      <c r="E29" s="18" t="s">
        <v>57</v>
      </c>
    </row>
    <row r="30" spans="3:9" x14ac:dyDescent="0.25">
      <c r="C30" s="18" t="s">
        <v>58</v>
      </c>
      <c r="D30" s="81" t="s">
        <v>59</v>
      </c>
      <c r="E30" s="82"/>
    </row>
    <row r="31" spans="3:9" x14ac:dyDescent="0.25">
      <c r="C31" s="18" t="s">
        <v>60</v>
      </c>
      <c r="D31" s="81" t="s">
        <v>61</v>
      </c>
      <c r="E31" s="82"/>
    </row>
    <row r="32" spans="3:9" x14ac:dyDescent="0.25">
      <c r="C32" s="16" t="s">
        <v>58</v>
      </c>
      <c r="D32" s="85" t="str">
        <f>Calculo_Flyback!F33</f>
        <v>Qual Fio</v>
      </c>
      <c r="E32" s="86"/>
    </row>
    <row r="33" spans="3:6" x14ac:dyDescent="0.25">
      <c r="C33" s="16" t="s">
        <v>62</v>
      </c>
      <c r="D33" s="16">
        <f>Calculo_FlyBack_Simples!M27</f>
        <v>24</v>
      </c>
      <c r="E33" s="16" t="s">
        <v>15</v>
      </c>
      <c r="F33" s="75" t="s">
        <v>515</v>
      </c>
    </row>
  </sheetData>
  <mergeCells count="9">
    <mergeCell ref="D30:E30"/>
    <mergeCell ref="D31:E31"/>
    <mergeCell ref="H2:I2"/>
    <mergeCell ref="D32:E32"/>
    <mergeCell ref="K1:L1"/>
    <mergeCell ref="C1:E1"/>
    <mergeCell ref="G1:I1"/>
    <mergeCell ref="D13:E13"/>
    <mergeCell ref="C25:E25"/>
  </mergeCells>
  <dataValidations count="3">
    <dataValidation type="list" allowBlank="1" showInputMessage="1" showErrorMessage="1" sqref="D31" xr:uid="{079F3170-3B8E-45E8-A9BC-BA938D37CE3C}">
      <formula1>"Laminado,Toroidal"</formula1>
    </dataValidation>
    <dataValidation type="list" allowBlank="1" showInputMessage="1" showErrorMessage="1" sqref="D30" xr:uid="{AD7AE335-C6F0-44A6-958E-2684977C252A}">
      <formula1>"Contínuo,Descontínuo"</formula1>
    </dataValidation>
    <dataValidation type="list" allowBlank="1" showInputMessage="1" showErrorMessage="1" sqref="D13:E13" xr:uid="{9BC61CEC-DE98-42B5-B823-8E15FE54EEAC}">
      <formula1>"P75NF75,IRF640"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72DE-4F25-411D-A6CD-C8EA6BD6FBB3}">
  <dimension ref="B1:AD35"/>
  <sheetViews>
    <sheetView zoomScaleNormal="100" workbookViewId="0">
      <selection activeCell="M24" sqref="M24"/>
    </sheetView>
  </sheetViews>
  <sheetFormatPr defaultRowHeight="15" x14ac:dyDescent="0.25"/>
  <cols>
    <col min="1" max="1" width="9.140625" style="2"/>
    <col min="2" max="2" width="7.28515625" style="2" bestFit="1" customWidth="1"/>
    <col min="3" max="3" width="12" style="2" bestFit="1" customWidth="1"/>
    <col min="4" max="4" width="5" style="2" bestFit="1" customWidth="1"/>
    <col min="5" max="9" width="9.140625" style="2"/>
    <col min="10" max="10" width="18.42578125" style="2" bestFit="1" customWidth="1"/>
    <col min="11" max="11" width="12" style="2" bestFit="1" customWidth="1"/>
    <col min="12" max="12" width="5.28515625" style="2" bestFit="1" customWidth="1"/>
    <col min="13" max="13" width="9.140625" style="2"/>
    <col min="14" max="14" width="24.28515625" style="2" bestFit="1" customWidth="1"/>
    <col min="15" max="15" width="12" style="2" bestFit="1" customWidth="1"/>
    <col min="16" max="16" width="6.7109375" style="2" bestFit="1" customWidth="1"/>
    <col min="17" max="17" width="6.7109375" style="2" customWidth="1"/>
    <col min="18" max="18" width="10.5703125" style="2" bestFit="1" customWidth="1"/>
    <col min="19" max="19" width="12" style="2" bestFit="1" customWidth="1"/>
    <col min="20" max="20" width="4.42578125" style="2" bestFit="1" customWidth="1"/>
    <col min="21" max="21" width="13.28515625" style="2" bestFit="1" customWidth="1"/>
    <col min="22" max="32" width="9.140625" style="2"/>
    <col min="33" max="33" width="12.140625" style="2" bestFit="1" customWidth="1"/>
    <col min="34" max="36" width="9.140625" style="2"/>
    <col min="37" max="37" width="12.140625" style="2" bestFit="1" customWidth="1"/>
    <col min="38" max="16384" width="9.140625" style="2"/>
  </cols>
  <sheetData>
    <row r="1" spans="2:21" x14ac:dyDescent="0.25">
      <c r="C1" s="2">
        <f>Estudo_Mosfet!G16</f>
        <v>1.39</v>
      </c>
      <c r="N1" s="42" t="s">
        <v>64</v>
      </c>
      <c r="O1" s="42" t="s">
        <v>65</v>
      </c>
      <c r="P1" s="42" t="s">
        <v>66</v>
      </c>
      <c r="Q1" s="42"/>
      <c r="R1" s="2" t="s">
        <v>565</v>
      </c>
      <c r="S1" s="2">
        <v>5</v>
      </c>
      <c r="U1" s="2" t="s">
        <v>28</v>
      </c>
    </row>
    <row r="2" spans="2:21" x14ac:dyDescent="0.25">
      <c r="C2" s="2">
        <f>Estudo_Mosfet!O16</f>
        <v>1.6666666666666667</v>
      </c>
      <c r="R2" s="2" t="s">
        <v>110</v>
      </c>
      <c r="S2" s="2">
        <f>Dados_Projeto!D4</f>
        <v>12</v>
      </c>
      <c r="T2" s="2" t="s">
        <v>9</v>
      </c>
    </row>
    <row r="3" spans="2:21" x14ac:dyDescent="0.25">
      <c r="B3" s="2" t="s">
        <v>67</v>
      </c>
      <c r="C3" s="2">
        <f>C2*1000</f>
        <v>1666.6666666666667</v>
      </c>
      <c r="D3" s="2" t="s">
        <v>28</v>
      </c>
      <c r="J3" s="2" t="s">
        <v>68</v>
      </c>
      <c r="K3" s="2">
        <v>2</v>
      </c>
      <c r="L3" s="2" t="s">
        <v>28</v>
      </c>
      <c r="R3" s="2" t="s">
        <v>529</v>
      </c>
      <c r="S3" s="2">
        <f>Dados_Projeto!D19</f>
        <v>0.254</v>
      </c>
      <c r="T3" s="2" t="s">
        <v>31</v>
      </c>
      <c r="U3" s="2">
        <f>S3*1000</f>
        <v>254</v>
      </c>
    </row>
    <row r="4" spans="2:21" x14ac:dyDescent="0.25">
      <c r="B4" s="2" t="s">
        <v>67</v>
      </c>
      <c r="C4" s="2">
        <f>Dados_Projeto!D18</f>
        <v>1E-3</v>
      </c>
      <c r="D4" s="2" t="s">
        <v>31</v>
      </c>
      <c r="J4" s="2" t="s">
        <v>68</v>
      </c>
      <c r="K4" s="2">
        <f>K3/1000</f>
        <v>2E-3</v>
      </c>
      <c r="L4" s="2" t="s">
        <v>31</v>
      </c>
      <c r="R4" s="2" t="s">
        <v>74</v>
      </c>
      <c r="S4" s="2">
        <f>S2/S3</f>
        <v>47.244094488188978</v>
      </c>
      <c r="T4" s="2" t="s">
        <v>25</v>
      </c>
    </row>
    <row r="5" spans="2:21" x14ac:dyDescent="0.25">
      <c r="B5" s="2" t="s">
        <v>27</v>
      </c>
      <c r="C5" s="2">
        <f>Dados_Projeto!D16</f>
        <v>10</v>
      </c>
      <c r="D5" s="2" t="s">
        <v>53</v>
      </c>
      <c r="J5" s="2" t="s">
        <v>8</v>
      </c>
      <c r="K5" s="2">
        <f>Dados_Projeto!D3</f>
        <v>5</v>
      </c>
      <c r="L5" s="2" t="s">
        <v>9</v>
      </c>
      <c r="R5" s="2" t="s">
        <v>75</v>
      </c>
      <c r="S5" s="2">
        <f>INDEX(Resistores_Comerciais!A:A,MATCH("Sim",Resistores_Comerciais!D:D,0))</f>
        <v>47</v>
      </c>
      <c r="T5" s="2" t="s">
        <v>25</v>
      </c>
    </row>
    <row r="6" spans="2:21" x14ac:dyDescent="0.25">
      <c r="B6" s="2" t="s">
        <v>69</v>
      </c>
      <c r="C6" s="2">
        <f>C5*C3</f>
        <v>16666.666666666668</v>
      </c>
      <c r="D6" s="2" t="s">
        <v>28</v>
      </c>
      <c r="F6"/>
      <c r="J6" s="2" t="s">
        <v>70</v>
      </c>
      <c r="K6" s="2">
        <f>K5/(K3/1000)</f>
        <v>2500</v>
      </c>
      <c r="L6" s="2" t="s">
        <v>71</v>
      </c>
    </row>
    <row r="7" spans="2:21" x14ac:dyDescent="0.25">
      <c r="B7" s="2" t="s">
        <v>69</v>
      </c>
      <c r="C7" s="2">
        <f>C6/1000</f>
        <v>16.666666666666668</v>
      </c>
      <c r="D7" s="2" t="s">
        <v>31</v>
      </c>
      <c r="J7" s="2" t="s">
        <v>72</v>
      </c>
      <c r="K7" s="2" t="e">
        <f>INDEX(Tabela2[Resistencia],MATCH("Sim",#REF!,0))</f>
        <v>#REF!</v>
      </c>
      <c r="L7" s="2" t="s">
        <v>71</v>
      </c>
      <c r="R7" s="2" t="s">
        <v>530</v>
      </c>
      <c r="S7" s="2">
        <f>(1/2)*1*10^(-9)*S2^2</f>
        <v>7.2000000000000009E-8</v>
      </c>
      <c r="T7" s="2" t="s">
        <v>81</v>
      </c>
    </row>
    <row r="8" spans="2:21" x14ac:dyDescent="0.25">
      <c r="B8" s="2" t="s">
        <v>73</v>
      </c>
      <c r="C8" s="2">
        <f>Dados_Projeto!D5</f>
        <v>12</v>
      </c>
      <c r="D8" s="2" t="s">
        <v>9</v>
      </c>
      <c r="R8" s="2" t="s">
        <v>530</v>
      </c>
      <c r="S8" s="2">
        <f>S7*1000000000</f>
        <v>72.000000000000014</v>
      </c>
      <c r="T8" s="2" t="s">
        <v>531</v>
      </c>
    </row>
    <row r="9" spans="2:21" x14ac:dyDescent="0.25">
      <c r="B9" s="2" t="s">
        <v>74</v>
      </c>
      <c r="C9" s="2">
        <f>C8/C7</f>
        <v>0.72</v>
      </c>
      <c r="D9" s="2" t="s">
        <v>25</v>
      </c>
      <c r="R9" s="2" t="s">
        <v>532</v>
      </c>
      <c r="S9" s="2">
        <f>S4*1*10^(-9)</f>
        <v>4.7244094488188981E-8</v>
      </c>
      <c r="T9" s="2" t="s">
        <v>85</v>
      </c>
    </row>
    <row r="10" spans="2:21" x14ac:dyDescent="0.25">
      <c r="B10" s="2" t="s">
        <v>75</v>
      </c>
      <c r="C10" s="2" t="e">
        <f>INDEX(Resistores_Comerciais!A:A,MATCH("Sim",Resistores_Comerciais!#REF!,0))</f>
        <v>#REF!</v>
      </c>
      <c r="D10" s="2" t="s">
        <v>25</v>
      </c>
      <c r="G10"/>
      <c r="R10" s="2" t="s">
        <v>532</v>
      </c>
      <c r="S10" s="2">
        <f>S9*1000000000</f>
        <v>47.244094488188978</v>
      </c>
      <c r="T10" s="2" t="s">
        <v>87</v>
      </c>
    </row>
    <row r="11" spans="2:21" x14ac:dyDescent="0.25">
      <c r="B11" s="2" t="s">
        <v>76</v>
      </c>
      <c r="C11" s="2">
        <v>1</v>
      </c>
      <c r="D11" s="2" t="s">
        <v>77</v>
      </c>
      <c r="J11" s="90" t="s">
        <v>78</v>
      </c>
      <c r="K11" s="90"/>
      <c r="L11" s="90"/>
      <c r="N11" s="90" t="s">
        <v>79</v>
      </c>
      <c r="O11" s="90"/>
      <c r="P11" s="90"/>
      <c r="R11" s="2" t="s">
        <v>84</v>
      </c>
      <c r="S11" s="2">
        <f>5*S10</f>
        <v>236.22047244094489</v>
      </c>
      <c r="T11" s="2" t="s">
        <v>87</v>
      </c>
    </row>
    <row r="12" spans="2:21" x14ac:dyDescent="0.25">
      <c r="B12" s="2" t="s">
        <v>80</v>
      </c>
      <c r="C12" s="2">
        <f>1/2*C11*(10^-9)*C8^2</f>
        <v>7.2000000000000009E-8</v>
      </c>
      <c r="D12" s="2" t="s">
        <v>81</v>
      </c>
      <c r="J12" s="2" t="s">
        <v>82</v>
      </c>
      <c r="K12" s="2">
        <v>10</v>
      </c>
      <c r="N12" s="2" t="s">
        <v>82</v>
      </c>
      <c r="O12" s="2">
        <v>10</v>
      </c>
    </row>
    <row r="13" spans="2:21" x14ac:dyDescent="0.25">
      <c r="B13" s="2" t="s">
        <v>80</v>
      </c>
      <c r="C13" s="2">
        <f>C12*10^9</f>
        <v>72.000000000000014</v>
      </c>
      <c r="D13" s="2" t="s">
        <v>81</v>
      </c>
      <c r="J13" s="2" t="s">
        <v>83</v>
      </c>
      <c r="K13" s="2">
        <f>K3</f>
        <v>2</v>
      </c>
      <c r="L13" s="2" t="s">
        <v>28</v>
      </c>
      <c r="N13" s="2" t="s">
        <v>83</v>
      </c>
      <c r="O13" s="2">
        <f>K14</f>
        <v>20</v>
      </c>
      <c r="P13" s="2" t="s">
        <v>28</v>
      </c>
      <c r="R13" s="2" t="s">
        <v>534</v>
      </c>
      <c r="S13" s="2">
        <f>Dados_Projeto!D15</f>
        <v>62500</v>
      </c>
      <c r="T13" s="2" t="s">
        <v>535</v>
      </c>
    </row>
    <row r="14" spans="2:21" x14ac:dyDescent="0.25">
      <c r="B14" s="2" t="s">
        <v>84</v>
      </c>
      <c r="C14" s="2">
        <f>C11*(10^-9)*C9</f>
        <v>7.2E-10</v>
      </c>
      <c r="D14" s="2" t="s">
        <v>85</v>
      </c>
      <c r="J14" s="2" t="s">
        <v>86</v>
      </c>
      <c r="K14" s="2">
        <f>K3*10</f>
        <v>20</v>
      </c>
      <c r="L14" s="2" t="s">
        <v>28</v>
      </c>
      <c r="N14" s="2" t="s">
        <v>86</v>
      </c>
      <c r="O14" s="2">
        <f>O13*10</f>
        <v>200</v>
      </c>
      <c r="P14" s="2" t="s">
        <v>28</v>
      </c>
      <c r="R14" s="2" t="s">
        <v>91</v>
      </c>
      <c r="S14" s="2">
        <f>1/S13</f>
        <v>1.5999999999999999E-5</v>
      </c>
      <c r="T14" s="2" t="s">
        <v>85</v>
      </c>
    </row>
    <row r="15" spans="2:21" x14ac:dyDescent="0.25">
      <c r="B15" s="2" t="s">
        <v>84</v>
      </c>
      <c r="C15" s="2">
        <f>C14*1000000000</f>
        <v>0.72</v>
      </c>
      <c r="D15" s="2" t="s">
        <v>87</v>
      </c>
      <c r="J15" s="2" t="s">
        <v>86</v>
      </c>
      <c r="K15" s="2">
        <f>K14/1000</f>
        <v>0.02</v>
      </c>
      <c r="L15" s="2" t="s">
        <v>31</v>
      </c>
      <c r="N15" s="2" t="s">
        <v>86</v>
      </c>
      <c r="O15" s="2">
        <f>O14/1000</f>
        <v>0.2</v>
      </c>
      <c r="P15" s="2" t="s">
        <v>31</v>
      </c>
      <c r="R15" s="2" t="s">
        <v>91</v>
      </c>
      <c r="S15" s="2">
        <f>S14*1000000</f>
        <v>16</v>
      </c>
      <c r="T15" s="2" t="s">
        <v>109</v>
      </c>
    </row>
    <row r="16" spans="2:21" x14ac:dyDescent="0.25">
      <c r="B16" s="2" t="s">
        <v>84</v>
      </c>
      <c r="C16" s="2">
        <f>C14*5</f>
        <v>3.6E-9</v>
      </c>
      <c r="D16" s="2" t="s">
        <v>85</v>
      </c>
      <c r="J16" s="2" t="s">
        <v>88</v>
      </c>
      <c r="K16" s="2">
        <f>Dados_Projeto!D5</f>
        <v>12</v>
      </c>
      <c r="L16" s="2" t="s">
        <v>9</v>
      </c>
      <c r="N16" s="2" t="s">
        <v>88</v>
      </c>
      <c r="O16" s="2">
        <f>K16</f>
        <v>12</v>
      </c>
      <c r="P16" s="2" t="s">
        <v>9</v>
      </c>
    </row>
    <row r="17" spans="2:22" x14ac:dyDescent="0.25">
      <c r="B17" s="2" t="s">
        <v>84</v>
      </c>
      <c r="C17" s="2">
        <f>C16*1000000000</f>
        <v>3.6</v>
      </c>
      <c r="D17" s="2" t="s">
        <v>87</v>
      </c>
      <c r="J17" s="2" t="s">
        <v>89</v>
      </c>
      <c r="K17" s="2">
        <f>K16/K15</f>
        <v>600</v>
      </c>
      <c r="L17" s="2" t="s">
        <v>71</v>
      </c>
      <c r="N17" s="2" t="s">
        <v>89</v>
      </c>
      <c r="O17" s="2">
        <f>O16/O15</f>
        <v>60</v>
      </c>
      <c r="P17" s="2" t="s">
        <v>71</v>
      </c>
      <c r="R17" s="2" t="s">
        <v>533</v>
      </c>
      <c r="S17" s="2">
        <f>S8/S15</f>
        <v>4.5000000000000009</v>
      </c>
      <c r="T17" s="2" t="s">
        <v>95</v>
      </c>
    </row>
    <row r="18" spans="2:22" x14ac:dyDescent="0.25">
      <c r="J18" s="2" t="s">
        <v>90</v>
      </c>
      <c r="K18" s="2" t="e">
        <f>INDEX(Tabela2[Resistencia],MATCH("Sim",#REF!,0))</f>
        <v>#REF!</v>
      </c>
      <c r="L18" s="2" t="s">
        <v>71</v>
      </c>
      <c r="N18" s="2" t="s">
        <v>90</v>
      </c>
      <c r="O18" s="2" t="e">
        <f>INDEX(Tabela2[Resistencia],MATCH("Sim",Resistores_Comerciais!#REF!,0))</f>
        <v>#REF!</v>
      </c>
      <c r="P18" s="2" t="s">
        <v>71</v>
      </c>
    </row>
    <row r="19" spans="2:22" x14ac:dyDescent="0.25">
      <c r="B19" s="2" t="s">
        <v>91</v>
      </c>
      <c r="C19" s="2">
        <f>1/Dados_Projeto!D15</f>
        <v>1.5999999999999999E-5</v>
      </c>
      <c r="D19" s="2" t="s">
        <v>85</v>
      </c>
      <c r="J19" s="2" t="s">
        <v>92</v>
      </c>
      <c r="K19" s="2" t="e">
        <f>K16/K18</f>
        <v>#REF!</v>
      </c>
      <c r="L19" s="2" t="s">
        <v>31</v>
      </c>
      <c r="N19" s="2" t="s">
        <v>92</v>
      </c>
      <c r="O19" s="2" t="e">
        <f>O16/O18</f>
        <v>#REF!</v>
      </c>
      <c r="P19" s="2" t="s">
        <v>31</v>
      </c>
      <c r="R19" s="2" t="s">
        <v>538</v>
      </c>
      <c r="S19" s="2">
        <f>S3/10</f>
        <v>2.5399999999999999E-2</v>
      </c>
      <c r="T19" s="2" t="s">
        <v>31</v>
      </c>
      <c r="U19" s="2">
        <f>S19*1000</f>
        <v>25.4</v>
      </c>
    </row>
    <row r="20" spans="2:22" x14ac:dyDescent="0.25">
      <c r="B20" s="2" t="s">
        <v>91</v>
      </c>
      <c r="C20" s="2">
        <f>C19*1000000000</f>
        <v>16000</v>
      </c>
      <c r="D20" s="2" t="s">
        <v>87</v>
      </c>
      <c r="J20" s="2" t="s">
        <v>92</v>
      </c>
      <c r="K20" s="2" t="e">
        <f>K19*1000</f>
        <v>#REF!</v>
      </c>
      <c r="L20" s="2" t="s">
        <v>28</v>
      </c>
      <c r="N20" s="2" t="s">
        <v>92</v>
      </c>
      <c r="O20" s="2" t="e">
        <f>O19*1000</f>
        <v>#REF!</v>
      </c>
      <c r="P20" s="2" t="s">
        <v>28</v>
      </c>
      <c r="R20" s="2" t="s">
        <v>98</v>
      </c>
      <c r="S20" s="2">
        <f>(S2-0.7)/S19</f>
        <v>444.88188976377955</v>
      </c>
      <c r="T20" s="2" t="s">
        <v>25</v>
      </c>
      <c r="U20" s="2" t="s">
        <v>536</v>
      </c>
    </row>
    <row r="21" spans="2:22" x14ac:dyDescent="0.25">
      <c r="B21" s="2" t="s">
        <v>93</v>
      </c>
      <c r="C21" s="2">
        <f>C12/C19</f>
        <v>4.5000000000000005E-3</v>
      </c>
      <c r="D21" s="2" t="s">
        <v>94</v>
      </c>
      <c r="R21" s="2" t="s">
        <v>99</v>
      </c>
      <c r="S21" s="2">
        <f>INDEX(Resistores_Comerciais!A:A,MATCH("Sim",Resistores_Comerciais!G:G,0))</f>
        <v>470</v>
      </c>
      <c r="T21" s="2" t="s">
        <v>25</v>
      </c>
    </row>
    <row r="22" spans="2:22" x14ac:dyDescent="0.25">
      <c r="B22" s="2" t="s">
        <v>93</v>
      </c>
      <c r="C22" s="2">
        <f>ROUND(C21*1000,2)</f>
        <v>4.5</v>
      </c>
      <c r="D22" s="2" t="s">
        <v>95</v>
      </c>
    </row>
    <row r="23" spans="2:22" x14ac:dyDescent="0.25">
      <c r="J23" s="90" t="s">
        <v>96</v>
      </c>
      <c r="K23" s="90"/>
      <c r="L23" s="90"/>
      <c r="N23" s="90" t="s">
        <v>97</v>
      </c>
      <c r="O23" s="90"/>
      <c r="P23" s="90"/>
      <c r="R23" s="2" t="s">
        <v>537</v>
      </c>
      <c r="S23" s="2">
        <f>S19/10</f>
        <v>2.5399999999999997E-3</v>
      </c>
      <c r="T23" s="2" t="s">
        <v>31</v>
      </c>
      <c r="U23" s="2">
        <f>S23*1000</f>
        <v>2.5399999999999996</v>
      </c>
    </row>
    <row r="24" spans="2:22" x14ac:dyDescent="0.25">
      <c r="B24" s="2" t="s">
        <v>67</v>
      </c>
      <c r="C24" s="2">
        <f>C6/C5</f>
        <v>1666.6666666666667</v>
      </c>
      <c r="D24" s="2" t="s">
        <v>28</v>
      </c>
      <c r="J24" s="2" t="s">
        <v>82</v>
      </c>
      <c r="K24" s="2">
        <v>10</v>
      </c>
      <c r="N24" s="2" t="s">
        <v>82</v>
      </c>
      <c r="O24" s="2">
        <v>10</v>
      </c>
      <c r="R24" s="2" t="s">
        <v>102</v>
      </c>
      <c r="S24" s="2">
        <f>(S2-0.7)/S23</f>
        <v>4448.818897637796</v>
      </c>
      <c r="T24" s="2" t="s">
        <v>25</v>
      </c>
    </row>
    <row r="25" spans="2:22" x14ac:dyDescent="0.25">
      <c r="B25" s="2" t="s">
        <v>67</v>
      </c>
      <c r="C25" s="2">
        <f>C24/1000</f>
        <v>1.6666666666666667</v>
      </c>
      <c r="D25" s="2" t="s">
        <v>31</v>
      </c>
      <c r="J25" s="2" t="s">
        <v>83</v>
      </c>
      <c r="K25" s="2">
        <f>Estudo_OptoAcoplador!E22*1000</f>
        <v>5</v>
      </c>
      <c r="L25" s="2" t="s">
        <v>28</v>
      </c>
      <c r="N25" s="2" t="s">
        <v>83</v>
      </c>
      <c r="O25" s="2">
        <f>K26</f>
        <v>0.5</v>
      </c>
      <c r="P25" s="2" t="s">
        <v>28</v>
      </c>
      <c r="R25" s="2" t="s">
        <v>103</v>
      </c>
      <c r="S25" s="2">
        <f>INDEX(Resistores_Comerciais!A:A,MATCH("Sim",Resistores_Comerciais!J:J,0))</f>
        <v>4700</v>
      </c>
      <c r="T25" s="2" t="s">
        <v>25</v>
      </c>
    </row>
    <row r="26" spans="2:22" x14ac:dyDescent="0.25">
      <c r="B26" s="2" t="s">
        <v>98</v>
      </c>
      <c r="C26" s="2">
        <f>(C8-0.7)/C25</f>
        <v>6.78</v>
      </c>
      <c r="D26" s="2" t="s">
        <v>25</v>
      </c>
      <c r="J26" s="2" t="s">
        <v>86</v>
      </c>
      <c r="K26" s="2">
        <f>K25/K24</f>
        <v>0.5</v>
      </c>
      <c r="L26" s="2" t="s">
        <v>28</v>
      </c>
      <c r="N26" s="2" t="s">
        <v>86</v>
      </c>
      <c r="O26" s="2">
        <f>O25*10</f>
        <v>5</v>
      </c>
      <c r="P26" s="2" t="s">
        <v>28</v>
      </c>
      <c r="V26" s="41"/>
    </row>
    <row r="27" spans="2:22" x14ac:dyDescent="0.25">
      <c r="B27" s="2" t="s">
        <v>99</v>
      </c>
      <c r="C27" s="2" t="e">
        <f>INDEX(Resistores_Comerciais!A:A,MATCH("Sim",Resistores_Comerciais!#REF!,0))</f>
        <v>#REF!</v>
      </c>
      <c r="D27" s="2" t="s">
        <v>25</v>
      </c>
      <c r="J27" s="2" t="s">
        <v>86</v>
      </c>
      <c r="K27" s="2">
        <f>K26/1000</f>
        <v>5.0000000000000001E-4</v>
      </c>
      <c r="L27" s="2" t="s">
        <v>31</v>
      </c>
      <c r="N27" s="2" t="s">
        <v>86</v>
      </c>
      <c r="O27" s="2">
        <f>O26/1000</f>
        <v>5.0000000000000001E-3</v>
      </c>
      <c r="P27" s="2" t="s">
        <v>31</v>
      </c>
      <c r="R27" s="2" t="s">
        <v>537</v>
      </c>
      <c r="S27" s="2">
        <f>S23/10</f>
        <v>2.5399999999999999E-4</v>
      </c>
      <c r="T27" s="2" t="s">
        <v>31</v>
      </c>
      <c r="U27" s="2">
        <f>S27*1000</f>
        <v>0.254</v>
      </c>
      <c r="V27" s="41"/>
    </row>
    <row r="28" spans="2:22" x14ac:dyDescent="0.25">
      <c r="J28" s="2" t="s">
        <v>88</v>
      </c>
      <c r="K28" s="2">
        <f>K16</f>
        <v>12</v>
      </c>
      <c r="L28" s="2" t="s">
        <v>9</v>
      </c>
      <c r="N28" s="2" t="s">
        <v>88</v>
      </c>
      <c r="O28" s="2">
        <f>O16</f>
        <v>12</v>
      </c>
      <c r="P28" s="2" t="s">
        <v>9</v>
      </c>
      <c r="R28" s="2" t="s">
        <v>102</v>
      </c>
      <c r="S28" s="2">
        <f>(S1-0.7)/S27</f>
        <v>16929.133858267716</v>
      </c>
      <c r="T28" s="2" t="s">
        <v>25</v>
      </c>
    </row>
    <row r="29" spans="2:22" x14ac:dyDescent="0.25">
      <c r="B29" s="2" t="s">
        <v>100</v>
      </c>
      <c r="C29" s="2">
        <f>C24</f>
        <v>1666.6666666666667</v>
      </c>
      <c r="D29" s="2" t="s">
        <v>28</v>
      </c>
      <c r="J29" s="2" t="s">
        <v>89</v>
      </c>
      <c r="K29" s="2">
        <f>K28/K27</f>
        <v>24000</v>
      </c>
      <c r="L29" s="2" t="s">
        <v>71</v>
      </c>
      <c r="N29" s="2" t="s">
        <v>89</v>
      </c>
      <c r="O29" s="2">
        <f>O28/O27</f>
        <v>2400</v>
      </c>
      <c r="P29" s="2" t="s">
        <v>71</v>
      </c>
      <c r="R29" s="2" t="s">
        <v>103</v>
      </c>
      <c r="S29" s="2">
        <f>INDEX(Resistores_Comerciais!A:A,MATCH("Sim",Resistores_Comerciais!M:M,0))</f>
        <v>18000</v>
      </c>
      <c r="T29" s="2" t="s">
        <v>25</v>
      </c>
    </row>
    <row r="30" spans="2:22" x14ac:dyDescent="0.25">
      <c r="B30" s="2" t="s">
        <v>100</v>
      </c>
      <c r="C30" s="2">
        <f>C25</f>
        <v>1.6666666666666667</v>
      </c>
      <c r="D30" s="2" t="s">
        <v>31</v>
      </c>
      <c r="J30" s="2" t="s">
        <v>90</v>
      </c>
      <c r="K30" s="2" t="e">
        <f>INDEX(Tabela2[Resistencia],MATCH("Sim",#REF!,0))</f>
        <v>#REF!</v>
      </c>
      <c r="L30" s="2" t="s">
        <v>71</v>
      </c>
      <c r="N30" s="2" t="s">
        <v>90</v>
      </c>
      <c r="O30" s="2" t="e">
        <f>INDEX(Tabela2[Resistencia],MATCH("Sim",#REF!,0))</f>
        <v>#REF!</v>
      </c>
      <c r="P30" s="2" t="s">
        <v>71</v>
      </c>
    </row>
    <row r="31" spans="2:22" x14ac:dyDescent="0.25">
      <c r="B31" s="2" t="s">
        <v>101</v>
      </c>
      <c r="C31" s="2">
        <f>C29/C5</f>
        <v>166.66666666666669</v>
      </c>
      <c r="D31" s="2" t="s">
        <v>28</v>
      </c>
      <c r="J31" s="2" t="s">
        <v>92</v>
      </c>
      <c r="K31" s="2" t="e">
        <f>K28/K30</f>
        <v>#REF!</v>
      </c>
      <c r="L31" s="2" t="s">
        <v>31</v>
      </c>
      <c r="N31" s="2" t="s">
        <v>92</v>
      </c>
      <c r="O31" s="2" t="e">
        <f>O28/O30</f>
        <v>#REF!</v>
      </c>
      <c r="P31" s="2" t="s">
        <v>31</v>
      </c>
    </row>
    <row r="32" spans="2:22" x14ac:dyDescent="0.25">
      <c r="B32" s="2" t="s">
        <v>101</v>
      </c>
      <c r="C32" s="2">
        <f>C31/1000</f>
        <v>0.16666666666666669</v>
      </c>
      <c r="D32" s="2" t="s">
        <v>31</v>
      </c>
      <c r="J32" s="2" t="s">
        <v>92</v>
      </c>
      <c r="K32" s="2" t="e">
        <f>K31*1000</f>
        <v>#REF!</v>
      </c>
      <c r="L32" s="2" t="s">
        <v>28</v>
      </c>
      <c r="N32" s="2" t="s">
        <v>92</v>
      </c>
      <c r="O32" s="2" t="e">
        <f>O31*1000</f>
        <v>#REF!</v>
      </c>
      <c r="P32" s="2" t="s">
        <v>28</v>
      </c>
    </row>
    <row r="34" spans="2:30" x14ac:dyDescent="0.25">
      <c r="B34" s="2" t="s">
        <v>102</v>
      </c>
      <c r="C34" s="2">
        <f>(C8-0.7)/C32</f>
        <v>67.8</v>
      </c>
      <c r="D34" s="2" t="s">
        <v>25</v>
      </c>
    </row>
    <row r="35" spans="2:30" x14ac:dyDescent="0.25">
      <c r="B35" s="2" t="s">
        <v>103</v>
      </c>
      <c r="C35" s="2" t="e">
        <f>INDEX(Resistores_Comerciais!A:A,MATCH("Sim",Resistores_Comerciais!#REF!,0))</f>
        <v>#REF!</v>
      </c>
      <c r="D35" s="2" t="s">
        <v>25</v>
      </c>
      <c r="Z35" s="10"/>
      <c r="AD35" s="10"/>
    </row>
  </sheetData>
  <mergeCells count="4">
    <mergeCell ref="J11:L11"/>
    <mergeCell ref="J23:L23"/>
    <mergeCell ref="N11:P11"/>
    <mergeCell ref="N23:P2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8303-E338-4E95-886E-D759CAA509B7}">
  <dimension ref="C2:Q35"/>
  <sheetViews>
    <sheetView topLeftCell="A18" workbookViewId="0">
      <selection activeCell="D54" sqref="D54"/>
    </sheetView>
  </sheetViews>
  <sheetFormatPr defaultRowHeight="15" x14ac:dyDescent="0.25"/>
  <cols>
    <col min="1" max="1" width="9.140625" style="2"/>
    <col min="2" max="2" width="6.140625" style="2" bestFit="1" customWidth="1"/>
    <col min="3" max="3" width="19.5703125" style="2" bestFit="1" customWidth="1"/>
    <col min="4" max="4" width="46.42578125" style="2" bestFit="1" customWidth="1"/>
    <col min="5" max="5" width="45.42578125" style="2" bestFit="1" customWidth="1"/>
    <col min="6" max="6" width="35.28515625" style="2" bestFit="1" customWidth="1"/>
    <col min="7" max="7" width="12" style="2" bestFit="1" customWidth="1"/>
    <col min="8" max="8" width="13.28515625" style="2" bestFit="1" customWidth="1"/>
    <col min="9" max="10" width="8.42578125" style="2" bestFit="1" customWidth="1"/>
    <col min="11" max="11" width="19.5703125" style="2" bestFit="1" customWidth="1"/>
    <col min="12" max="12" width="10.28515625" style="2" bestFit="1" customWidth="1"/>
    <col min="13" max="13" width="45.42578125" style="2" bestFit="1" customWidth="1"/>
    <col min="14" max="14" width="35.28515625" style="2" bestFit="1" customWidth="1"/>
    <col min="15" max="15" width="11.5703125" style="2" bestFit="1" customWidth="1"/>
    <col min="16" max="16" width="13.28515625" style="2" bestFit="1" customWidth="1"/>
    <col min="17" max="17" width="8.42578125" style="2" bestFit="1" customWidth="1"/>
    <col min="18" max="16384" width="9.140625" style="2"/>
  </cols>
  <sheetData>
    <row r="2" spans="3:17" ht="15.75" thickBot="1" x14ac:dyDescent="0.3"/>
    <row r="3" spans="3:17" ht="15.75" thickBot="1" x14ac:dyDescent="0.3">
      <c r="C3" s="87" t="s">
        <v>130</v>
      </c>
      <c r="D3" s="88"/>
      <c r="E3" s="88"/>
      <c r="F3" s="88"/>
      <c r="G3" s="88"/>
      <c r="H3" s="88"/>
      <c r="I3" s="88"/>
      <c r="K3" s="87" t="s">
        <v>131</v>
      </c>
      <c r="L3" s="88"/>
      <c r="M3" s="88"/>
      <c r="N3" s="88"/>
      <c r="O3" s="88"/>
      <c r="P3" s="88"/>
      <c r="Q3" s="88"/>
    </row>
    <row r="4" spans="3:17" ht="15.75" thickBot="1" x14ac:dyDescent="0.3"/>
    <row r="5" spans="3:17" ht="15" customHeight="1" thickBot="1" x14ac:dyDescent="0.3">
      <c r="C5" s="92" t="s">
        <v>132</v>
      </c>
      <c r="D5" s="26" t="s">
        <v>133</v>
      </c>
      <c r="E5" s="26" t="s">
        <v>134</v>
      </c>
      <c r="F5" s="26" t="s">
        <v>135</v>
      </c>
      <c r="G5" s="26" t="s">
        <v>136</v>
      </c>
      <c r="H5" s="26" t="s">
        <v>137</v>
      </c>
      <c r="I5" s="26" t="s">
        <v>5</v>
      </c>
      <c r="K5" s="92" t="s">
        <v>132</v>
      </c>
      <c r="L5" s="34" t="s">
        <v>133</v>
      </c>
      <c r="M5" s="34" t="s">
        <v>134</v>
      </c>
      <c r="N5" s="35" t="s">
        <v>135</v>
      </c>
      <c r="O5" s="35" t="s">
        <v>136</v>
      </c>
      <c r="P5" s="35" t="s">
        <v>137</v>
      </c>
      <c r="Q5" s="36" t="s">
        <v>5</v>
      </c>
    </row>
    <row r="6" spans="3:17" ht="15" customHeight="1" x14ac:dyDescent="0.25">
      <c r="C6" s="93"/>
      <c r="D6" s="26" t="s">
        <v>138</v>
      </c>
      <c r="E6" s="26" t="s">
        <v>139</v>
      </c>
      <c r="F6" s="26" t="s">
        <v>140</v>
      </c>
      <c r="G6" s="26">
        <v>25</v>
      </c>
      <c r="H6" s="26"/>
      <c r="I6" s="26" t="s">
        <v>87</v>
      </c>
      <c r="K6" s="93"/>
      <c r="L6" s="26" t="s">
        <v>138</v>
      </c>
      <c r="M6" s="33" t="s">
        <v>139</v>
      </c>
      <c r="N6" s="33" t="s">
        <v>140</v>
      </c>
      <c r="O6" s="33">
        <v>8</v>
      </c>
      <c r="P6" s="33"/>
      <c r="Q6" s="33" t="s">
        <v>87</v>
      </c>
    </row>
    <row r="7" spans="3:17" x14ac:dyDescent="0.25">
      <c r="C7" s="93"/>
      <c r="D7" s="26" t="s">
        <v>141</v>
      </c>
      <c r="E7" s="26" t="s">
        <v>142</v>
      </c>
      <c r="F7" s="26" t="s">
        <v>140</v>
      </c>
      <c r="G7" s="26">
        <v>100</v>
      </c>
      <c r="H7" s="26"/>
      <c r="I7" s="26" t="s">
        <v>87</v>
      </c>
      <c r="K7" s="93"/>
      <c r="L7" s="26" t="s">
        <v>141</v>
      </c>
      <c r="M7" s="26" t="s">
        <v>142</v>
      </c>
      <c r="N7" s="26" t="s">
        <v>140</v>
      </c>
      <c r="O7" s="26">
        <v>39</v>
      </c>
      <c r="P7" s="26"/>
      <c r="Q7" s="26" t="s">
        <v>87</v>
      </c>
    </row>
    <row r="8" spans="3:17" x14ac:dyDescent="0.25">
      <c r="C8" s="93"/>
      <c r="D8" s="26" t="s">
        <v>143</v>
      </c>
      <c r="E8" s="26" t="s">
        <v>144</v>
      </c>
      <c r="F8" s="26" t="s">
        <v>145</v>
      </c>
      <c r="G8" s="26">
        <v>66</v>
      </c>
      <c r="H8" s="26"/>
      <c r="I8" s="26" t="s">
        <v>87</v>
      </c>
      <c r="K8" s="93"/>
      <c r="L8" s="26" t="s">
        <v>143</v>
      </c>
      <c r="M8" s="26" t="s">
        <v>144</v>
      </c>
      <c r="N8" s="26" t="s">
        <v>145</v>
      </c>
      <c r="O8" s="26">
        <v>26</v>
      </c>
      <c r="P8" s="26"/>
      <c r="Q8" s="26" t="s">
        <v>87</v>
      </c>
    </row>
    <row r="9" spans="3:17" x14ac:dyDescent="0.25">
      <c r="C9" s="93"/>
      <c r="D9" s="26" t="s">
        <v>146</v>
      </c>
      <c r="E9" s="26" t="s">
        <v>147</v>
      </c>
      <c r="F9" s="26" t="s">
        <v>145</v>
      </c>
      <c r="G9" s="26">
        <v>30</v>
      </c>
      <c r="H9" s="26"/>
      <c r="I9" s="26" t="s">
        <v>87</v>
      </c>
      <c r="K9" s="93"/>
      <c r="L9" s="26" t="s">
        <v>146</v>
      </c>
      <c r="M9" s="26" t="s">
        <v>147</v>
      </c>
      <c r="N9" s="26" t="s">
        <v>145</v>
      </c>
      <c r="O9" s="26">
        <v>24</v>
      </c>
      <c r="P9" s="26"/>
      <c r="Q9" s="26" t="s">
        <v>87</v>
      </c>
    </row>
    <row r="10" spans="3:17" ht="15" customHeight="1" x14ac:dyDescent="0.25">
      <c r="C10" s="93"/>
      <c r="D10" s="26" t="s">
        <v>148</v>
      </c>
      <c r="E10" s="26" t="s">
        <v>149</v>
      </c>
      <c r="F10" s="26" t="s">
        <v>150</v>
      </c>
      <c r="G10" s="26">
        <v>117</v>
      </c>
      <c r="H10" s="26">
        <v>160</v>
      </c>
      <c r="I10" s="26" t="s">
        <v>151</v>
      </c>
      <c r="K10" s="93"/>
      <c r="L10" s="26" t="s">
        <v>148</v>
      </c>
      <c r="M10" s="26" t="s">
        <v>149</v>
      </c>
      <c r="N10" s="26" t="s">
        <v>150</v>
      </c>
      <c r="O10" s="26">
        <v>65</v>
      </c>
      <c r="P10" s="26"/>
      <c r="Q10" s="26" t="s">
        <v>151</v>
      </c>
    </row>
    <row r="11" spans="3:17" x14ac:dyDescent="0.25">
      <c r="C11" s="93"/>
      <c r="D11" s="26" t="s">
        <v>152</v>
      </c>
      <c r="E11" s="26" t="s">
        <v>153</v>
      </c>
      <c r="F11" s="26" t="s">
        <v>150</v>
      </c>
      <c r="G11" s="26">
        <v>27</v>
      </c>
      <c r="H11" s="26"/>
      <c r="I11" s="26" t="s">
        <v>151</v>
      </c>
      <c r="K11" s="93"/>
      <c r="L11" s="26" t="s">
        <v>152</v>
      </c>
      <c r="M11" s="26" t="s">
        <v>153</v>
      </c>
      <c r="N11" s="26" t="s">
        <v>150</v>
      </c>
      <c r="O11" s="26">
        <v>10</v>
      </c>
      <c r="P11" s="26"/>
      <c r="Q11" s="26" t="s">
        <v>151</v>
      </c>
    </row>
    <row r="12" spans="3:17" x14ac:dyDescent="0.25">
      <c r="C12" s="93"/>
      <c r="D12" s="26" t="s">
        <v>154</v>
      </c>
      <c r="E12" s="26" t="s">
        <v>155</v>
      </c>
      <c r="F12" s="26" t="s">
        <v>150</v>
      </c>
      <c r="G12" s="26">
        <v>47</v>
      </c>
      <c r="H12" s="26"/>
      <c r="I12" s="26" t="s">
        <v>151</v>
      </c>
      <c r="K12" s="93"/>
      <c r="L12" s="26" t="s">
        <v>154</v>
      </c>
      <c r="M12" s="26" t="s">
        <v>155</v>
      </c>
      <c r="N12" s="26" t="s">
        <v>150</v>
      </c>
      <c r="O12" s="26">
        <v>29</v>
      </c>
      <c r="P12" s="26"/>
      <c r="Q12" s="26" t="s">
        <v>151</v>
      </c>
    </row>
    <row r="13" spans="3:17" ht="15.75" thickBot="1" x14ac:dyDescent="0.3">
      <c r="C13" s="94"/>
      <c r="D13" s="26" t="s">
        <v>76</v>
      </c>
      <c r="E13" s="26" t="s">
        <v>156</v>
      </c>
      <c r="F13" s="26" t="s">
        <v>157</v>
      </c>
      <c r="G13" s="26">
        <v>3700</v>
      </c>
      <c r="H13" s="26"/>
      <c r="I13" s="26" t="s">
        <v>158</v>
      </c>
      <c r="K13" s="94"/>
      <c r="L13" s="26" t="s">
        <v>76</v>
      </c>
      <c r="M13" s="26" t="s">
        <v>156</v>
      </c>
      <c r="N13" s="26" t="s">
        <v>157</v>
      </c>
      <c r="O13" s="26">
        <v>890</v>
      </c>
      <c r="P13" s="26">
        <v>1187</v>
      </c>
      <c r="Q13" s="26" t="s">
        <v>158</v>
      </c>
    </row>
    <row r="14" spans="3:17" ht="15.75" thickBot="1" x14ac:dyDescent="0.3"/>
    <row r="15" spans="3:17" ht="15" customHeight="1" x14ac:dyDescent="0.25">
      <c r="C15" s="92" t="s">
        <v>159</v>
      </c>
      <c r="D15" s="27" t="s">
        <v>160</v>
      </c>
      <c r="E15" s="26" t="s">
        <v>149</v>
      </c>
      <c r="F15" s="26" t="str">
        <f>F10</f>
        <v>VDS=60V, VGS=10V, ID=80A</v>
      </c>
      <c r="G15" s="26">
        <f>ROUNDUP((G10+H10)/2,0)</f>
        <v>139</v>
      </c>
      <c r="H15" s="26"/>
      <c r="I15" s="26" t="s">
        <v>151</v>
      </c>
      <c r="K15" s="92" t="s">
        <v>159</v>
      </c>
      <c r="L15" s="27" t="s">
        <v>160</v>
      </c>
      <c r="M15" s="26" t="s">
        <v>149</v>
      </c>
      <c r="N15" s="26" t="str">
        <f>N10</f>
        <v>VDS=60V, VGS=10V, ID=80A</v>
      </c>
      <c r="O15" s="26">
        <v>65</v>
      </c>
      <c r="P15" s="26"/>
      <c r="Q15" s="26" t="s">
        <v>151</v>
      </c>
    </row>
    <row r="16" spans="3:17" x14ac:dyDescent="0.25">
      <c r="C16" s="93"/>
      <c r="D16" s="27" t="s">
        <v>161</v>
      </c>
      <c r="E16" s="26" t="s">
        <v>162</v>
      </c>
      <c r="F16" s="26" t="str">
        <f>F11</f>
        <v>VDS=60V, VGS=10V, ID=80A</v>
      </c>
      <c r="G16" s="26">
        <f>G15/G7</f>
        <v>1.39</v>
      </c>
      <c r="H16" s="26"/>
      <c r="I16" s="26" t="s">
        <v>31</v>
      </c>
      <c r="K16" s="93"/>
      <c r="L16" s="27" t="s">
        <v>161</v>
      </c>
      <c r="M16" s="26" t="s">
        <v>162</v>
      </c>
      <c r="N16" s="26" t="str">
        <f>N11</f>
        <v>VDS=60V, VGS=10V, ID=80A</v>
      </c>
      <c r="O16" s="26">
        <f>O15/O7</f>
        <v>1.6666666666666667</v>
      </c>
      <c r="P16" s="26"/>
      <c r="Q16" s="26" t="s">
        <v>31</v>
      </c>
    </row>
    <row r="17" spans="3:17" x14ac:dyDescent="0.25">
      <c r="C17" s="93"/>
      <c r="D17" s="27" t="s">
        <v>163</v>
      </c>
      <c r="E17" s="95" t="s">
        <v>164</v>
      </c>
      <c r="F17" s="96"/>
      <c r="G17" s="26">
        <v>0.8</v>
      </c>
      <c r="H17" s="26"/>
      <c r="I17" s="26" t="s">
        <v>47</v>
      </c>
      <c r="K17" s="93"/>
      <c r="L17" s="27" t="s">
        <v>163</v>
      </c>
      <c r="M17" s="95" t="s">
        <v>164</v>
      </c>
      <c r="N17" s="96"/>
      <c r="O17" s="26">
        <v>1.6</v>
      </c>
      <c r="P17" s="26"/>
      <c r="Q17" s="26" t="s">
        <v>47</v>
      </c>
    </row>
    <row r="18" spans="3:17" x14ac:dyDescent="0.25">
      <c r="C18" s="93"/>
      <c r="D18" s="27" t="s">
        <v>165</v>
      </c>
      <c r="E18" s="95" t="s">
        <v>166</v>
      </c>
      <c r="F18" s="96"/>
      <c r="G18" s="26">
        <f>Dados_Projeto!D14</f>
        <v>62.5</v>
      </c>
      <c r="H18" s="26"/>
      <c r="I18" s="26" t="s">
        <v>41</v>
      </c>
      <c r="K18" s="93"/>
      <c r="L18" s="27" t="s">
        <v>165</v>
      </c>
      <c r="M18" s="95" t="s">
        <v>166</v>
      </c>
      <c r="N18" s="96"/>
      <c r="O18" s="26">
        <f>Dados_Projeto!D14</f>
        <v>62.5</v>
      </c>
      <c r="P18" s="26"/>
      <c r="Q18" s="26" t="s">
        <v>41</v>
      </c>
    </row>
    <row r="19" spans="3:17" x14ac:dyDescent="0.25">
      <c r="C19" s="93"/>
      <c r="D19" s="27" t="s">
        <v>165</v>
      </c>
      <c r="E19" s="95" t="s">
        <v>166</v>
      </c>
      <c r="F19" s="96"/>
      <c r="G19" s="26">
        <f>G18*1000</f>
        <v>62500</v>
      </c>
      <c r="H19" s="26"/>
      <c r="I19" s="26" t="s">
        <v>42</v>
      </c>
      <c r="K19" s="93"/>
      <c r="L19" s="27" t="s">
        <v>165</v>
      </c>
      <c r="M19" s="95" t="s">
        <v>166</v>
      </c>
      <c r="N19" s="96"/>
      <c r="O19" s="26">
        <f>O18*1000</f>
        <v>62500</v>
      </c>
      <c r="P19" s="26"/>
      <c r="Q19" s="26" t="s">
        <v>42</v>
      </c>
    </row>
    <row r="20" spans="3:17" x14ac:dyDescent="0.25">
      <c r="C20" s="93"/>
      <c r="D20" s="27" t="s">
        <v>167</v>
      </c>
      <c r="E20" s="95" t="s">
        <v>168</v>
      </c>
      <c r="F20" s="96"/>
      <c r="G20" s="26">
        <f>1/G19</f>
        <v>1.5999999999999999E-5</v>
      </c>
      <c r="H20" s="26">
        <f>Dados_Projeto!D16</f>
        <v>10</v>
      </c>
      <c r="I20" s="26" t="s">
        <v>85</v>
      </c>
      <c r="K20" s="93"/>
      <c r="L20" s="27" t="s">
        <v>167</v>
      </c>
      <c r="M20" s="95" t="s">
        <v>168</v>
      </c>
      <c r="N20" s="96"/>
      <c r="O20" s="26">
        <f>1/O19</f>
        <v>1.5999999999999999E-5</v>
      </c>
      <c r="P20" s="26"/>
      <c r="Q20" s="26" t="s">
        <v>85</v>
      </c>
    </row>
    <row r="21" spans="3:17" x14ac:dyDescent="0.25">
      <c r="C21" s="93"/>
      <c r="D21" s="27" t="s">
        <v>167</v>
      </c>
      <c r="E21" s="95" t="s">
        <v>168</v>
      </c>
      <c r="F21" s="96"/>
      <c r="G21" s="26">
        <f>G20*1000000000</f>
        <v>16000</v>
      </c>
      <c r="H21" s="26"/>
      <c r="I21" s="26" t="s">
        <v>87</v>
      </c>
      <c r="K21" s="93"/>
      <c r="L21" s="27" t="s">
        <v>167</v>
      </c>
      <c r="M21" s="95" t="s">
        <v>168</v>
      </c>
      <c r="N21" s="96"/>
      <c r="O21" s="26">
        <f>O20*1000000000</f>
        <v>16000</v>
      </c>
      <c r="P21" s="26"/>
      <c r="Q21" s="26" t="s">
        <v>87</v>
      </c>
    </row>
    <row r="22" spans="3:17" x14ac:dyDescent="0.25">
      <c r="C22" s="93"/>
      <c r="D22" s="27" t="s">
        <v>169</v>
      </c>
      <c r="E22" s="31" t="s">
        <v>170</v>
      </c>
      <c r="F22" s="31"/>
      <c r="G22" s="26">
        <f>G20*G17%</f>
        <v>1.2800000000000001E-7</v>
      </c>
      <c r="H22" s="26"/>
      <c r="I22" s="26" t="s">
        <v>85</v>
      </c>
      <c r="K22" s="93"/>
      <c r="L22" s="27" t="s">
        <v>169</v>
      </c>
      <c r="M22" s="31" t="s">
        <v>170</v>
      </c>
      <c r="N22" s="31"/>
      <c r="O22" s="26">
        <f>O20*O17%</f>
        <v>2.5600000000000002E-7</v>
      </c>
      <c r="P22" s="26"/>
      <c r="Q22" s="26" t="s">
        <v>85</v>
      </c>
    </row>
    <row r="23" spans="3:17" x14ac:dyDescent="0.25">
      <c r="C23" s="93"/>
      <c r="D23" s="27" t="s">
        <v>169</v>
      </c>
      <c r="E23" s="91" t="s">
        <v>170</v>
      </c>
      <c r="F23" s="91"/>
      <c r="G23" s="26">
        <f>G22*1000000000</f>
        <v>128</v>
      </c>
      <c r="H23" s="26"/>
      <c r="I23" s="26" t="s">
        <v>87</v>
      </c>
      <c r="K23" s="93"/>
      <c r="L23" s="27" t="s">
        <v>169</v>
      </c>
      <c r="M23" s="91" t="s">
        <v>170</v>
      </c>
      <c r="N23" s="91"/>
      <c r="O23" s="26">
        <f>O22*1000000000</f>
        <v>256</v>
      </c>
      <c r="P23" s="26"/>
      <c r="Q23" s="26" t="s">
        <v>87</v>
      </c>
    </row>
    <row r="24" spans="3:17" x14ac:dyDescent="0.25">
      <c r="C24" s="93"/>
      <c r="D24" s="27" t="s">
        <v>171</v>
      </c>
      <c r="E24" s="91" t="s">
        <v>172</v>
      </c>
      <c r="F24" s="91"/>
      <c r="G24" s="26">
        <f>ROUND(G15/G23,3)</f>
        <v>1.0860000000000001</v>
      </c>
      <c r="H24" s="26">
        <f>G16</f>
        <v>1.39</v>
      </c>
      <c r="I24" s="26" t="s">
        <v>31</v>
      </c>
      <c r="K24" s="93"/>
      <c r="L24" s="27" t="s">
        <v>171</v>
      </c>
      <c r="M24" s="91" t="s">
        <v>172</v>
      </c>
      <c r="N24" s="91"/>
      <c r="O24" s="26">
        <f>ROUND(O15/O23,3)</f>
        <v>0.254</v>
      </c>
      <c r="P24" s="26">
        <f>O16</f>
        <v>1.6666666666666667</v>
      </c>
      <c r="Q24" s="26" t="s">
        <v>31</v>
      </c>
    </row>
    <row r="25" spans="3:17" x14ac:dyDescent="0.25">
      <c r="C25" s="93"/>
      <c r="D25" s="27" t="s">
        <v>173</v>
      </c>
      <c r="E25" s="91" t="s">
        <v>174</v>
      </c>
      <c r="F25" s="91"/>
      <c r="G25" s="26">
        <f>Dados_Projeto!D5</f>
        <v>12</v>
      </c>
      <c r="H25" s="26"/>
      <c r="I25" s="26" t="s">
        <v>9</v>
      </c>
      <c r="K25" s="93"/>
      <c r="L25" s="27" t="s">
        <v>173</v>
      </c>
      <c r="M25" s="91" t="s">
        <v>174</v>
      </c>
      <c r="N25" s="91"/>
      <c r="O25" s="26">
        <f>G25</f>
        <v>12</v>
      </c>
      <c r="P25" s="26"/>
      <c r="Q25" s="26" t="s">
        <v>9</v>
      </c>
    </row>
    <row r="26" spans="3:17" x14ac:dyDescent="0.25">
      <c r="C26" s="93"/>
      <c r="D26" s="27" t="s">
        <v>175</v>
      </c>
      <c r="E26" s="91" t="str">
        <f>"R gate do Mosfet para acionar em "&amp;G24&amp;" A"</f>
        <v>R gate do Mosfet para acionar em 1,086 A</v>
      </c>
      <c r="F26" s="91"/>
      <c r="G26" s="26">
        <f>ROUND(G25/G24,2)</f>
        <v>11.05</v>
      </c>
      <c r="H26" s="26"/>
      <c r="I26" s="26" t="s">
        <v>71</v>
      </c>
      <c r="K26" s="93"/>
      <c r="L26" s="27" t="s">
        <v>175</v>
      </c>
      <c r="M26" s="91" t="str">
        <f>"R gate do Mosfet para acionar em "&amp;O24&amp;" A"</f>
        <v>R gate do Mosfet para acionar em 0,254 A</v>
      </c>
      <c r="N26" s="91"/>
      <c r="O26" s="26">
        <f>ROUND(O25/O24,2)</f>
        <v>47.24</v>
      </c>
      <c r="P26" s="26"/>
      <c r="Q26" s="26" t="s">
        <v>71</v>
      </c>
    </row>
    <row r="27" spans="3:17" ht="15.75" thickBot="1" x14ac:dyDescent="0.3">
      <c r="C27" s="94"/>
      <c r="D27" s="27" t="s">
        <v>176</v>
      </c>
      <c r="E27" s="91" t="s">
        <v>177</v>
      </c>
      <c r="F27" s="91"/>
      <c r="G27" s="26">
        <f>INDEX(Resistores_Comerciais!A:A,MATCH("Sim",Resistores_Comerciais!D:D,0))</f>
        <v>47</v>
      </c>
      <c r="H27" s="26"/>
      <c r="I27" s="26" t="s">
        <v>71</v>
      </c>
      <c r="K27" s="94"/>
      <c r="L27" s="27" t="s">
        <v>176</v>
      </c>
      <c r="M27" s="91" t="s">
        <v>177</v>
      </c>
      <c r="N27" s="91"/>
      <c r="O27" s="26">
        <f>INDEX(Resistores_Comerciais!A:A,MATCH("Sim",Resistores_Comerciais!D:D,0))</f>
        <v>47</v>
      </c>
      <c r="P27" s="26"/>
      <c r="Q27" s="26" t="s">
        <v>71</v>
      </c>
    </row>
    <row r="32" spans="3:17" x14ac:dyDescent="0.25">
      <c r="G32" s="69"/>
      <c r="O32" s="69"/>
    </row>
    <row r="33" spans="3:15" x14ac:dyDescent="0.25">
      <c r="G33" s="4"/>
      <c r="O33" s="4"/>
    </row>
    <row r="34" spans="3:15" x14ac:dyDescent="0.25">
      <c r="E34" s="2" t="s">
        <v>178</v>
      </c>
      <c r="G34" s="70"/>
      <c r="O34" s="70"/>
    </row>
    <row r="35" spans="3:15" x14ac:dyDescent="0.25">
      <c r="C35" s="2" t="s">
        <v>179</v>
      </c>
      <c r="D35" s="32" t="s">
        <v>180</v>
      </c>
      <c r="E35" s="32" t="s">
        <v>181</v>
      </c>
    </row>
  </sheetData>
  <mergeCells count="26">
    <mergeCell ref="C3:I3"/>
    <mergeCell ref="E17:F17"/>
    <mergeCell ref="E18:F18"/>
    <mergeCell ref="E19:F19"/>
    <mergeCell ref="E20:F20"/>
    <mergeCell ref="C5:C13"/>
    <mergeCell ref="C15:C27"/>
    <mergeCell ref="E21:F21"/>
    <mergeCell ref="E23:F23"/>
    <mergeCell ref="E24:F24"/>
    <mergeCell ref="E26:F26"/>
    <mergeCell ref="E25:F25"/>
    <mergeCell ref="E27:F27"/>
    <mergeCell ref="M25:N25"/>
    <mergeCell ref="M26:N26"/>
    <mergeCell ref="M27:N27"/>
    <mergeCell ref="K3:Q3"/>
    <mergeCell ref="K5:K13"/>
    <mergeCell ref="K15:K27"/>
    <mergeCell ref="M17:N17"/>
    <mergeCell ref="M18:N18"/>
    <mergeCell ref="M19:N19"/>
    <mergeCell ref="M20:N20"/>
    <mergeCell ref="M21:N21"/>
    <mergeCell ref="M23:N23"/>
    <mergeCell ref="M24:N24"/>
  </mergeCells>
  <hyperlinks>
    <hyperlink ref="D35" r:id="rId1" display="https://www.youtube.com/watch?v=UnN3hBL277I" xr:uid="{FB99DC16-4E03-4551-AFDD-708B26AFED73}"/>
    <hyperlink ref="E35" r:id="rId2" display="https://www.youtube.com/watch?v=WTB71her32k" xr:uid="{034DAF66-052D-4CA3-8FDB-54C5A7D30FC5}"/>
  </hyperlinks>
  <pageMargins left="0.511811024" right="0.511811024" top="0.78740157499999996" bottom="0.78740157499999996" header="0.31496062000000002" footer="0.3149606200000000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FC62-4C0C-463D-B8A4-0BA2F8246B13}">
  <dimension ref="B1:U36"/>
  <sheetViews>
    <sheetView tabSelected="1" workbookViewId="0">
      <selection activeCell="I8" sqref="I8"/>
    </sheetView>
  </sheetViews>
  <sheetFormatPr defaultRowHeight="15" x14ac:dyDescent="0.25"/>
  <cols>
    <col min="1" max="1" width="9.140625" style="2"/>
    <col min="2" max="2" width="9.28515625" style="2" bestFit="1" customWidth="1"/>
    <col min="3" max="3" width="11.5703125" style="2" bestFit="1" customWidth="1"/>
    <col min="4" max="4" width="4" style="2" bestFit="1" customWidth="1"/>
    <col min="5" max="6" width="9.140625" style="2"/>
    <col min="7" max="7" width="7.85546875" style="2" bestFit="1" customWidth="1"/>
    <col min="8" max="8" width="21.7109375" style="2" bestFit="1" customWidth="1"/>
    <col min="9" max="9" width="9" style="2" bestFit="1" customWidth="1"/>
    <col min="10" max="10" width="8.42578125" style="2" bestFit="1" customWidth="1"/>
    <col min="11" max="11" width="4" style="2" bestFit="1" customWidth="1"/>
    <col min="12" max="12" width="27.7109375" style="2" bestFit="1" customWidth="1"/>
    <col min="13" max="14" width="12" style="2" bestFit="1" customWidth="1"/>
    <col min="15" max="15" width="7.85546875" style="2" bestFit="1" customWidth="1"/>
    <col min="16" max="16" width="26.5703125" style="2" bestFit="1" customWidth="1"/>
    <col min="17" max="17" width="12" style="2" bestFit="1" customWidth="1"/>
    <col min="18" max="18" width="11.85546875" style="2" bestFit="1" customWidth="1"/>
    <col min="19" max="19" width="12" style="2" bestFit="1" customWidth="1"/>
    <col min="20" max="20" width="8" style="2" bestFit="1" customWidth="1"/>
    <col min="21" max="21" width="2.85546875" style="2" bestFit="1" customWidth="1"/>
    <col min="22" max="16384" width="9.140625" style="2"/>
  </cols>
  <sheetData>
    <row r="1" spans="2:20" s="42" customFormat="1" ht="15.75" thickBot="1" x14ac:dyDescent="0.3">
      <c r="G1" s="42" t="s">
        <v>202</v>
      </c>
      <c r="I1" s="42" t="s">
        <v>204</v>
      </c>
      <c r="J1" s="42" t="s">
        <v>65</v>
      </c>
      <c r="L1" s="42" t="s">
        <v>203</v>
      </c>
      <c r="N1" s="42" t="s">
        <v>204</v>
      </c>
      <c r="O1" s="42" t="s">
        <v>202</v>
      </c>
      <c r="P1" s="2"/>
      <c r="Q1" s="2"/>
      <c r="R1" s="2"/>
      <c r="S1" s="2"/>
      <c r="T1" s="2"/>
    </row>
    <row r="2" spans="2:20" ht="15.75" thickBot="1" x14ac:dyDescent="0.3">
      <c r="H2" s="87" t="s">
        <v>0</v>
      </c>
      <c r="I2" s="88"/>
      <c r="J2" s="88"/>
      <c r="L2" s="87" t="s">
        <v>274</v>
      </c>
      <c r="M2" s="88"/>
      <c r="N2" s="88"/>
      <c r="P2" s="87" t="s">
        <v>205</v>
      </c>
      <c r="Q2" s="88"/>
      <c r="R2" s="88"/>
    </row>
    <row r="3" spans="2:20" ht="15.75" thickBot="1" x14ac:dyDescent="0.3">
      <c r="B3" s="2" t="s">
        <v>564</v>
      </c>
      <c r="C3" s="2" t="s">
        <v>561</v>
      </c>
      <c r="H3" s="29" t="s">
        <v>3</v>
      </c>
      <c r="I3" s="29" t="s">
        <v>4</v>
      </c>
      <c r="J3" s="29" t="s">
        <v>5</v>
      </c>
      <c r="L3" s="29" t="s">
        <v>3</v>
      </c>
      <c r="M3" s="29" t="s">
        <v>4</v>
      </c>
      <c r="N3" s="29" t="s">
        <v>5</v>
      </c>
      <c r="P3" s="29" t="s">
        <v>3</v>
      </c>
      <c r="Q3" s="29" t="s">
        <v>4</v>
      </c>
      <c r="R3" s="29" t="s">
        <v>5</v>
      </c>
    </row>
    <row r="4" spans="2:20" x14ac:dyDescent="0.25">
      <c r="B4" s="90" t="s">
        <v>562</v>
      </c>
      <c r="C4" s="2">
        <v>0.44600000000000001</v>
      </c>
      <c r="D4" s="2" t="s">
        <v>39</v>
      </c>
      <c r="H4" s="18" t="s">
        <v>13</v>
      </c>
      <c r="I4" s="5">
        <f>Dados_Projeto!D4</f>
        <v>12</v>
      </c>
      <c r="J4" s="19" t="s">
        <v>9</v>
      </c>
      <c r="L4" s="16" t="s">
        <v>293</v>
      </c>
      <c r="M4" s="68">
        <f>Dados_Projeto!D11</f>
        <v>4.5</v>
      </c>
      <c r="N4" s="73"/>
      <c r="P4" s="16" t="s">
        <v>211</v>
      </c>
      <c r="Q4" s="16">
        <f>6.62/SQRT(I16)</f>
        <v>2.648E-2</v>
      </c>
      <c r="R4" s="16" t="s">
        <v>212</v>
      </c>
    </row>
    <row r="5" spans="2:20" x14ac:dyDescent="0.25">
      <c r="B5" s="90"/>
      <c r="C5" s="2">
        <f>C4*1000</f>
        <v>446</v>
      </c>
      <c r="D5" s="2" t="s">
        <v>11</v>
      </c>
      <c r="H5" s="18" t="s">
        <v>16</v>
      </c>
      <c r="I5" s="5">
        <f>I4</f>
        <v>12</v>
      </c>
      <c r="J5" s="19" t="s">
        <v>9</v>
      </c>
      <c r="L5" s="16" t="s">
        <v>293</v>
      </c>
      <c r="M5" s="68">
        <f>Dados_Projeto!D12</f>
        <v>5.6</v>
      </c>
      <c r="N5" s="73">
        <f>(I7/I4)*((1-I11)/I11)</f>
        <v>0.1785714285714286</v>
      </c>
      <c r="P5" s="16" t="s">
        <v>217</v>
      </c>
      <c r="Q5" s="16">
        <f>2*Q4</f>
        <v>5.296E-2</v>
      </c>
      <c r="R5" s="16" t="s">
        <v>212</v>
      </c>
    </row>
    <row r="6" spans="2:20" ht="15.75" thickBot="1" x14ac:dyDescent="0.3">
      <c r="B6" s="90" t="s">
        <v>563</v>
      </c>
      <c r="C6" s="2">
        <v>9.9000000000000005E-2</v>
      </c>
      <c r="D6" s="2" t="s">
        <v>39</v>
      </c>
      <c r="H6" s="18" t="s">
        <v>19</v>
      </c>
      <c r="I6" s="5">
        <f>I4</f>
        <v>12</v>
      </c>
      <c r="J6" s="19" t="s">
        <v>9</v>
      </c>
      <c r="L6" s="16" t="s">
        <v>29</v>
      </c>
      <c r="M6" s="68">
        <f>1/M4</f>
        <v>0.22222222222222221</v>
      </c>
      <c r="N6" s="16"/>
      <c r="P6" s="16" t="s">
        <v>222</v>
      </c>
      <c r="Q6" s="16">
        <f>ROUND((PI()*Q5^2)/4,5)</f>
        <v>2.2000000000000001E-3</v>
      </c>
      <c r="R6" s="16" t="s">
        <v>223</v>
      </c>
    </row>
    <row r="7" spans="2:20" ht="15.75" thickBot="1" x14ac:dyDescent="0.3">
      <c r="B7" s="90"/>
      <c r="C7" s="2">
        <f>C6*1000</f>
        <v>99</v>
      </c>
      <c r="D7" s="2" t="s">
        <v>11</v>
      </c>
      <c r="H7" s="18" t="s">
        <v>22</v>
      </c>
      <c r="I7" s="5">
        <f>Dados_Projeto!D7</f>
        <v>5</v>
      </c>
      <c r="J7" s="19" t="s">
        <v>9</v>
      </c>
      <c r="L7" s="16" t="s">
        <v>29</v>
      </c>
      <c r="M7" s="68">
        <f>1/M5</f>
        <v>0.17857142857142858</v>
      </c>
      <c r="N7" s="16">
        <f>1/N5</f>
        <v>5.5999999999999988</v>
      </c>
      <c r="P7" s="87" t="s">
        <v>230</v>
      </c>
      <c r="Q7" s="88"/>
      <c r="R7" s="88"/>
    </row>
    <row r="8" spans="2:20" x14ac:dyDescent="0.25">
      <c r="B8" s="2" t="s">
        <v>293</v>
      </c>
      <c r="C8" s="2">
        <f>C5/C7</f>
        <v>4.5050505050505052</v>
      </c>
      <c r="H8" s="18" t="s">
        <v>24</v>
      </c>
      <c r="I8" s="5">
        <v>100</v>
      </c>
      <c r="J8" s="19" t="s">
        <v>25</v>
      </c>
      <c r="L8" s="16" t="s">
        <v>287</v>
      </c>
      <c r="M8" s="68">
        <f>ROUND(1/(((I5/I7)*(M7)+1)),3)</f>
        <v>0.7</v>
      </c>
      <c r="N8" s="73"/>
      <c r="P8" s="16" t="s">
        <v>236</v>
      </c>
      <c r="Q8" s="16">
        <f>INDEX(AWG!O:O,MATCH("Sim",AWG!Q:Q,0))</f>
        <v>2.0500000000000002E-3</v>
      </c>
      <c r="R8" s="16" t="s">
        <v>223</v>
      </c>
    </row>
    <row r="9" spans="2:20" x14ac:dyDescent="0.25">
      <c r="B9" s="2" t="s">
        <v>29</v>
      </c>
      <c r="C9" s="2">
        <f>C7/C5</f>
        <v>0.22197309417040359</v>
      </c>
      <c r="H9" s="16" t="s">
        <v>269</v>
      </c>
      <c r="I9" s="16">
        <f>ROUND(I7/I8,2)</f>
        <v>0.05</v>
      </c>
      <c r="J9" s="16" t="s">
        <v>31</v>
      </c>
      <c r="L9" s="16" t="s">
        <v>293</v>
      </c>
      <c r="M9" s="68">
        <f>1/M6</f>
        <v>4.5</v>
      </c>
      <c r="N9" s="73" t="s">
        <v>294</v>
      </c>
      <c r="P9" s="16" t="s">
        <v>62</v>
      </c>
      <c r="Q9" s="16">
        <f>INDEX(AWG!B:B,MATCH("Sim",AWG!Q:Q,0))</f>
        <v>24</v>
      </c>
      <c r="R9" s="16" t="s">
        <v>15</v>
      </c>
    </row>
    <row r="10" spans="2:20" x14ac:dyDescent="0.25">
      <c r="H10" s="16" t="s">
        <v>273</v>
      </c>
      <c r="I10" s="16">
        <f>ROUND((I7)*I9,2)</f>
        <v>0.25</v>
      </c>
      <c r="J10" s="16" t="s">
        <v>94</v>
      </c>
      <c r="L10" s="16" t="s">
        <v>296</v>
      </c>
      <c r="M10" s="52">
        <f>ROUND((I7^2)/(I5*M8*I8),2)</f>
        <v>0.03</v>
      </c>
      <c r="N10" s="16" t="s">
        <v>31</v>
      </c>
      <c r="P10" s="16" t="s">
        <v>249</v>
      </c>
      <c r="Q10" s="16">
        <f>INDEX(AWG!E:E,MATCH("Sim",AWG!Q:Q,0))</f>
        <v>842.1</v>
      </c>
      <c r="R10" s="16" t="s">
        <v>250</v>
      </c>
    </row>
    <row r="11" spans="2:20" x14ac:dyDescent="0.25">
      <c r="H11" s="18" t="s">
        <v>522</v>
      </c>
      <c r="I11" s="5">
        <f>Dados_Projeto!D28</f>
        <v>0.7</v>
      </c>
      <c r="J11" s="19"/>
      <c r="L11" s="16" t="s">
        <v>527</v>
      </c>
      <c r="M11" s="101" t="s">
        <v>528</v>
      </c>
      <c r="N11" s="102"/>
      <c r="P11" s="18" t="s">
        <v>63</v>
      </c>
      <c r="Q11" s="18">
        <f>INDEX(Anal_Tubes!B:B,MATCH("Sim",Anal_Tubes!P:P,0))</f>
        <v>24</v>
      </c>
      <c r="R11" s="18" t="s">
        <v>15</v>
      </c>
    </row>
    <row r="12" spans="2:20" x14ac:dyDescent="0.25">
      <c r="H12" s="18" t="s">
        <v>513</v>
      </c>
      <c r="I12" s="5">
        <f>Dados_Projeto!D9</f>
        <v>450</v>
      </c>
      <c r="J12" s="19" t="s">
        <v>11</v>
      </c>
      <c r="L12" s="16" t="s">
        <v>298</v>
      </c>
      <c r="M12" s="52">
        <f>IF(M11="Calculado",(I4*I11)/(I13*I16),(I4*M8)/(I13*I16))</f>
        <v>0.29866666666666664</v>
      </c>
      <c r="N12" s="16" t="s">
        <v>31</v>
      </c>
      <c r="P12" s="16" t="s">
        <v>236</v>
      </c>
      <c r="Q12" s="16">
        <f>_xlfn.XLOOKUP(Q11,AWG!B6:B40,AWG!O6:O40,"",0,1)</f>
        <v>2.0500000000000002E-3</v>
      </c>
      <c r="R12" s="16" t="s">
        <v>223</v>
      </c>
    </row>
    <row r="13" spans="2:20" x14ac:dyDescent="0.25">
      <c r="H13" s="18" t="s">
        <v>513</v>
      </c>
      <c r="I13" s="5">
        <f>I12/1000000</f>
        <v>4.4999999999999999E-4</v>
      </c>
      <c r="J13" s="19" t="s">
        <v>42</v>
      </c>
      <c r="L13" s="16" t="s">
        <v>10</v>
      </c>
      <c r="M13" s="16">
        <f>(I5*M8)/(I16*M12)</f>
        <v>4.4999999999999999E-4</v>
      </c>
      <c r="N13" s="16" t="s">
        <v>42</v>
      </c>
      <c r="P13" s="16" t="s">
        <v>249</v>
      </c>
      <c r="Q13" s="16">
        <f>_xlfn.XLOOKUP(Q11,AWG!B6:B40,AWG!E6:E40,"",0,1)</f>
        <v>842.1</v>
      </c>
      <c r="R13" s="16" t="s">
        <v>250</v>
      </c>
    </row>
    <row r="14" spans="2:20" x14ac:dyDescent="0.25">
      <c r="H14" s="18" t="s">
        <v>514</v>
      </c>
      <c r="I14" s="5">
        <v>2</v>
      </c>
      <c r="J14" s="19" t="s">
        <v>47</v>
      </c>
      <c r="L14" s="16" t="s">
        <v>10</v>
      </c>
      <c r="M14" s="16">
        <f>ROUND(M13*1000000,1)</f>
        <v>450</v>
      </c>
      <c r="N14" s="16" t="s">
        <v>11</v>
      </c>
    </row>
    <row r="15" spans="2:20" x14ac:dyDescent="0.25">
      <c r="H15" s="18" t="s">
        <v>40</v>
      </c>
      <c r="I15" s="5">
        <f>Dados_Projeto!D14</f>
        <v>62.5</v>
      </c>
      <c r="J15" s="19" t="s">
        <v>41</v>
      </c>
      <c r="L15" s="16" t="s">
        <v>303</v>
      </c>
      <c r="M15" s="16">
        <f>M10-(M12/2)</f>
        <v>-0.11933333333333332</v>
      </c>
      <c r="N15" s="16" t="s">
        <v>31</v>
      </c>
      <c r="P15" s="16" t="s">
        <v>506</v>
      </c>
      <c r="Q15" s="16">
        <f>M17</f>
        <v>0.17933333333333332</v>
      </c>
      <c r="R15" s="16" t="s">
        <v>31</v>
      </c>
    </row>
    <row r="16" spans="2:20" x14ac:dyDescent="0.25">
      <c r="H16" s="16" t="s">
        <v>40</v>
      </c>
      <c r="I16" s="16">
        <f>I15*1000</f>
        <v>62500</v>
      </c>
      <c r="J16" s="16" t="s">
        <v>42</v>
      </c>
      <c r="L16" s="16"/>
      <c r="M16" s="16"/>
      <c r="N16" s="16"/>
      <c r="P16" s="16" t="s">
        <v>558</v>
      </c>
      <c r="Q16" s="16">
        <f>Q15*1%</f>
        <v>1.7933333333333332E-3</v>
      </c>
      <c r="R16" s="16" t="s">
        <v>31</v>
      </c>
    </row>
    <row r="17" spans="8:21" ht="15.75" thickBot="1" x14ac:dyDescent="0.3">
      <c r="H17" s="18" t="s">
        <v>58</v>
      </c>
      <c r="I17" s="97" t="str">
        <f>Dados_Projeto!D30</f>
        <v>Contínuo</v>
      </c>
      <c r="J17" s="98"/>
      <c r="L17" s="16" t="s">
        <v>307</v>
      </c>
      <c r="M17" s="16">
        <f>M10+(M12/2)</f>
        <v>0.17933333333333332</v>
      </c>
      <c r="N17" s="16" t="s">
        <v>31</v>
      </c>
      <c r="P17" s="16" t="s">
        <v>558</v>
      </c>
      <c r="Q17" s="16">
        <f>ROUND(Q16*1000,2)</f>
        <v>1.79</v>
      </c>
      <c r="R17" s="16" t="s">
        <v>28</v>
      </c>
    </row>
    <row r="18" spans="8:21" ht="15.75" thickBot="1" x14ac:dyDescent="0.3">
      <c r="H18" s="18" t="s">
        <v>566</v>
      </c>
      <c r="I18" s="99" t="str">
        <f>Dados_Projeto!D31</f>
        <v>Toroidal</v>
      </c>
      <c r="J18" s="100"/>
      <c r="L18" s="87" t="s">
        <v>311</v>
      </c>
      <c r="M18" s="88"/>
      <c r="N18" s="88"/>
      <c r="P18" s="16" t="s">
        <v>354</v>
      </c>
      <c r="Q18" s="16">
        <f>ROUND(I4/Q16,0)</f>
        <v>6691</v>
      </c>
      <c r="R18" s="16" t="s">
        <v>25</v>
      </c>
      <c r="T18" s="2">
        <f>(100*(10^-6)*(8*10^-3)^2)/2</f>
        <v>3.1999999999999997E-9</v>
      </c>
    </row>
    <row r="19" spans="8:21" ht="15.75" thickBot="1" x14ac:dyDescent="0.3">
      <c r="H19" s="89" t="s">
        <v>328</v>
      </c>
      <c r="I19" s="89"/>
      <c r="J19" s="89"/>
      <c r="L19" s="83" t="str">
        <f>IF(M15&lt;0,"Descontínuo","Contínuo")</f>
        <v>Descontínuo</v>
      </c>
      <c r="M19" s="103"/>
      <c r="N19" s="84"/>
      <c r="P19" s="16" t="s">
        <v>568</v>
      </c>
      <c r="Q19" s="16">
        <f>INDEX(Resistores_Comerciais!A:A,MATCH("Sim",Resistores_Comerciais!P:P,0))</f>
        <v>6800</v>
      </c>
      <c r="R19" s="16" t="s">
        <v>25</v>
      </c>
      <c r="T19" s="2">
        <f>T18*1000000000</f>
        <v>3.1999999999999997</v>
      </c>
      <c r="U19" s="2" t="s">
        <v>531</v>
      </c>
    </row>
    <row r="20" spans="8:21" ht="15.75" thickBot="1" x14ac:dyDescent="0.3">
      <c r="H20" s="16" t="s">
        <v>332</v>
      </c>
      <c r="I20" s="76">
        <f>1/I16</f>
        <v>1.5999999999999999E-5</v>
      </c>
      <c r="J20" s="16" t="s">
        <v>85</v>
      </c>
      <c r="L20" s="87" t="s">
        <v>321</v>
      </c>
      <c r="M20" s="88"/>
      <c r="N20" s="88"/>
      <c r="P20" s="16" t="s">
        <v>568</v>
      </c>
      <c r="Q20" s="16">
        <f>Q19/1000</f>
        <v>6.8</v>
      </c>
      <c r="R20" s="16" t="s">
        <v>572</v>
      </c>
    </row>
    <row r="21" spans="8:21" x14ac:dyDescent="0.25">
      <c r="H21" s="16" t="s">
        <v>108</v>
      </c>
      <c r="I21" s="76">
        <f>I11*I20</f>
        <v>1.1199999999999999E-5</v>
      </c>
      <c r="J21" s="16" t="s">
        <v>85</v>
      </c>
      <c r="L21" s="16" t="s">
        <v>289</v>
      </c>
      <c r="M21" s="16">
        <v>93</v>
      </c>
      <c r="N21" s="16" t="s">
        <v>290</v>
      </c>
      <c r="P21" s="16" t="s">
        <v>555</v>
      </c>
      <c r="Q21" s="16">
        <f>(I13*(Q16)^2)/2</f>
        <v>7.2360999999999984E-10</v>
      </c>
      <c r="R21" s="16" t="s">
        <v>81</v>
      </c>
      <c r="T21" s="2">
        <f>T19*2</f>
        <v>6.3999999999999995</v>
      </c>
    </row>
    <row r="22" spans="8:21" x14ac:dyDescent="0.25">
      <c r="I22" s="2">
        <v>100</v>
      </c>
      <c r="L22" s="16" t="s">
        <v>10</v>
      </c>
      <c r="M22" s="16">
        <f>M14*1000</f>
        <v>450000</v>
      </c>
      <c r="N22" s="16" t="s">
        <v>329</v>
      </c>
      <c r="P22" s="16" t="s">
        <v>555</v>
      </c>
      <c r="Q22" s="16">
        <f>Q21*10^9</f>
        <v>0.72360999999999986</v>
      </c>
      <c r="R22" s="16" t="s">
        <v>531</v>
      </c>
    </row>
    <row r="23" spans="8:21" x14ac:dyDescent="0.25">
      <c r="L23" s="16" t="s">
        <v>333</v>
      </c>
      <c r="M23" s="16">
        <f>ROUNDDOWN(SQRT(M22/M21),0)</f>
        <v>69</v>
      </c>
      <c r="N23" s="16" t="s">
        <v>18</v>
      </c>
      <c r="P23" s="16" t="s">
        <v>567</v>
      </c>
      <c r="Q23" s="16">
        <v>2</v>
      </c>
      <c r="R23" s="16" t="s">
        <v>9</v>
      </c>
    </row>
    <row r="24" spans="8:21" x14ac:dyDescent="0.25">
      <c r="L24" s="16" t="s">
        <v>523</v>
      </c>
      <c r="M24" s="16">
        <f>INDEX(Anal_Tubes!Q:Q,MATCH("Sim",Anal_Tubes!P:P,0))</f>
        <v>1</v>
      </c>
      <c r="N24" s="16" t="s">
        <v>21</v>
      </c>
      <c r="P24" s="16" t="s">
        <v>560</v>
      </c>
      <c r="Q24" s="16">
        <f>(Q21*2)/Q23^2</f>
        <v>3.6180499999999992E-10</v>
      </c>
      <c r="R24" s="16" t="s">
        <v>81</v>
      </c>
    </row>
    <row r="25" spans="8:21" x14ac:dyDescent="0.25">
      <c r="L25" s="16" t="s">
        <v>521</v>
      </c>
      <c r="M25" s="16">
        <f>M23*M6</f>
        <v>15.333333333333332</v>
      </c>
      <c r="N25" s="16" t="s">
        <v>18</v>
      </c>
      <c r="P25" s="16" t="s">
        <v>560</v>
      </c>
      <c r="Q25" s="16">
        <f>Q24*10^6</f>
        <v>3.6180499999999993E-4</v>
      </c>
      <c r="R25" s="16" t="s">
        <v>34</v>
      </c>
    </row>
    <row r="26" spans="8:21" x14ac:dyDescent="0.25">
      <c r="L26" s="16" t="s">
        <v>524</v>
      </c>
      <c r="M26" s="16">
        <v>1</v>
      </c>
      <c r="N26" s="16" t="s">
        <v>21</v>
      </c>
      <c r="P26" s="16" t="s">
        <v>559</v>
      </c>
      <c r="Q26" s="16">
        <f>INDEX(Capacitores_Comerciais!C:C,MATCH("Sim",Capacitores_Comerciais!G:G,0))</f>
        <v>4.7000000000000003E-10</v>
      </c>
      <c r="R26" s="16" t="s">
        <v>320</v>
      </c>
    </row>
    <row r="27" spans="8:21" x14ac:dyDescent="0.25">
      <c r="L27" s="16" t="s">
        <v>344</v>
      </c>
      <c r="M27" s="16">
        <f>Q11</f>
        <v>24</v>
      </c>
      <c r="N27" s="16" t="s">
        <v>15</v>
      </c>
      <c r="P27" s="16" t="s">
        <v>559</v>
      </c>
      <c r="Q27" s="16">
        <f>Q26*10^12</f>
        <v>470.00000000000006</v>
      </c>
      <c r="R27" s="16" t="s">
        <v>158</v>
      </c>
      <c r="S27" s="2">
        <f>Q27/1000</f>
        <v>0.47000000000000008</v>
      </c>
    </row>
    <row r="28" spans="8:21" x14ac:dyDescent="0.25">
      <c r="L28" s="16" t="s">
        <v>521</v>
      </c>
      <c r="M28" s="16">
        <f>ROUND(M23*M7,2)</f>
        <v>12.32</v>
      </c>
      <c r="N28" s="16" t="s">
        <v>18</v>
      </c>
      <c r="P28" s="16" t="s">
        <v>556</v>
      </c>
      <c r="Q28" s="16">
        <f>(I7*I11)/((I14%)*I8*I16)</f>
        <v>2.8E-5</v>
      </c>
      <c r="R28" s="16">
        <f>12/1000</f>
        <v>1.2E-2</v>
      </c>
    </row>
    <row r="29" spans="8:21" x14ac:dyDescent="0.25">
      <c r="J29" s="4"/>
      <c r="L29" s="16" t="s">
        <v>524</v>
      </c>
      <c r="M29" s="16">
        <v>1</v>
      </c>
      <c r="N29" s="16" t="s">
        <v>21</v>
      </c>
      <c r="P29" s="16" t="s">
        <v>557</v>
      </c>
      <c r="Q29" s="16">
        <f>INDEX(Capacitores_Comerciais!C:C,MATCH("Sim",Capacitores_Comerciais!E:E,0))</f>
        <v>3.2999999999999996E-5</v>
      </c>
      <c r="R29" s="16" t="s">
        <v>320</v>
      </c>
    </row>
    <row r="30" spans="8:21" ht="15.75" thickBot="1" x14ac:dyDescent="0.3">
      <c r="I30" s="4"/>
      <c r="L30" s="16" t="s">
        <v>344</v>
      </c>
      <c r="M30" s="16">
        <f>Q14</f>
        <v>0</v>
      </c>
      <c r="N30" s="16" t="s">
        <v>15</v>
      </c>
      <c r="P30" s="16" t="s">
        <v>557</v>
      </c>
      <c r="Q30" s="16">
        <f>Q29*10^6</f>
        <v>32.999999999999993</v>
      </c>
      <c r="R30" s="16" t="s">
        <v>34</v>
      </c>
      <c r="T30" s="2">
        <v>3300</v>
      </c>
      <c r="U30" s="2">
        <f>T30*1</f>
        <v>3300</v>
      </c>
    </row>
    <row r="31" spans="8:21" ht="15.75" thickBot="1" x14ac:dyDescent="0.3">
      <c r="L31" s="87" t="s">
        <v>311</v>
      </c>
      <c r="M31" s="88"/>
      <c r="N31" s="88"/>
    </row>
    <row r="32" spans="8:21" x14ac:dyDescent="0.25">
      <c r="L32" s="83" t="str">
        <f>IF(M26&lt;0,"Descontínuo","Contínuo")</f>
        <v>Contínuo</v>
      </c>
      <c r="M32" s="103"/>
      <c r="N32" s="84"/>
    </row>
    <row r="34" spans="12:13" x14ac:dyDescent="0.25">
      <c r="L34" s="2">
        <f>((((1-I11)^2)*I22)/(2*I16))*(M5^2)</f>
        <v>2.2579200000000001E-3</v>
      </c>
      <c r="M34" s="2" t="s">
        <v>581</v>
      </c>
    </row>
    <row r="35" spans="12:13" x14ac:dyDescent="0.25">
      <c r="L35" s="2">
        <f>L34*10^6</f>
        <v>2257.92</v>
      </c>
      <c r="M35" s="2" t="s">
        <v>582</v>
      </c>
    </row>
    <row r="36" spans="12:13" x14ac:dyDescent="0.25">
      <c r="L36" s="2">
        <f>I4*I11*SQRT((I22)/(2*I13*I16))</f>
        <v>11.199999999999998</v>
      </c>
    </row>
  </sheetData>
  <mergeCells count="15">
    <mergeCell ref="L32:N32"/>
    <mergeCell ref="L20:N20"/>
    <mergeCell ref="L18:N18"/>
    <mergeCell ref="L19:N19"/>
    <mergeCell ref="L31:N31"/>
    <mergeCell ref="B4:B5"/>
    <mergeCell ref="B6:B7"/>
    <mergeCell ref="L2:N2"/>
    <mergeCell ref="P7:R7"/>
    <mergeCell ref="H19:J19"/>
    <mergeCell ref="H2:J2"/>
    <mergeCell ref="P2:R2"/>
    <mergeCell ref="I17:J17"/>
    <mergeCell ref="I18:J18"/>
    <mergeCell ref="M11:N11"/>
  </mergeCells>
  <dataValidations count="1">
    <dataValidation type="list" allowBlank="1" showInputMessage="1" showErrorMessage="1" sqref="M11:N11" xr:uid="{F19F4E12-A018-4C4C-B3A3-5DF8078A3C0E}">
      <formula1>"Original,Calculado"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0CE2-7FBB-4108-BFB5-1DE2813EDB91}">
  <dimension ref="J3:K8"/>
  <sheetViews>
    <sheetView workbookViewId="0">
      <selection activeCell="J6" sqref="J6"/>
    </sheetView>
  </sheetViews>
  <sheetFormatPr defaultRowHeight="15" x14ac:dyDescent="0.25"/>
  <cols>
    <col min="10" max="10" width="21.85546875" bestFit="1" customWidth="1"/>
    <col min="11" max="11" width="21" bestFit="1" customWidth="1"/>
  </cols>
  <sheetData>
    <row r="3" spans="10:11" x14ac:dyDescent="0.25">
      <c r="J3" s="80" t="s">
        <v>573</v>
      </c>
      <c r="K3" s="80" t="s">
        <v>574</v>
      </c>
    </row>
    <row r="4" spans="10:11" x14ac:dyDescent="0.25">
      <c r="J4" s="1" t="s">
        <v>575</v>
      </c>
      <c r="K4" s="1" t="s">
        <v>576</v>
      </c>
    </row>
    <row r="5" spans="10:11" x14ac:dyDescent="0.25">
      <c r="J5" s="1" t="s">
        <v>577</v>
      </c>
      <c r="K5" s="1" t="s">
        <v>576</v>
      </c>
    </row>
    <row r="6" spans="10:11" x14ac:dyDescent="0.25">
      <c r="J6" s="1" t="s">
        <v>578</v>
      </c>
      <c r="K6" s="1" t="s">
        <v>576</v>
      </c>
    </row>
    <row r="7" spans="10:11" x14ac:dyDescent="0.25">
      <c r="J7" s="1" t="s">
        <v>579</v>
      </c>
      <c r="K7" s="1" t="s">
        <v>576</v>
      </c>
    </row>
    <row r="8" spans="10:11" x14ac:dyDescent="0.25">
      <c r="J8" s="80" t="s">
        <v>580</v>
      </c>
      <c r="K8" s="80" t="s">
        <v>576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7056-1968-4B08-AB84-77E49CD54F5F}">
  <dimension ref="B2:J27"/>
  <sheetViews>
    <sheetView workbookViewId="0">
      <selection activeCell="E24" sqref="E24"/>
    </sheetView>
  </sheetViews>
  <sheetFormatPr defaultRowHeight="15" x14ac:dyDescent="0.25"/>
  <cols>
    <col min="1" max="1" width="9.140625" style="2"/>
    <col min="2" max="2" width="6.140625" style="2" bestFit="1" customWidth="1"/>
    <col min="3" max="3" width="21.85546875" style="2" bestFit="1" customWidth="1"/>
    <col min="4" max="4" width="19.140625" style="2" bestFit="1" customWidth="1"/>
    <col min="5" max="5" width="12" style="2" bestFit="1" customWidth="1"/>
    <col min="6" max="6" width="8.42578125" style="2" bestFit="1" customWidth="1"/>
    <col min="7" max="7" width="9.140625" style="2"/>
    <col min="8" max="8" width="13.5703125" style="2" bestFit="1" customWidth="1"/>
    <col min="9" max="9" width="9" style="2" bestFit="1" customWidth="1"/>
    <col min="10" max="10" width="8.42578125" style="2" bestFit="1" customWidth="1"/>
    <col min="11" max="16384" width="9.140625" style="2"/>
  </cols>
  <sheetData>
    <row r="2" spans="2:10" ht="15.75" thickBot="1" x14ac:dyDescent="0.3"/>
    <row r="3" spans="2:10" ht="15.75" thickBot="1" x14ac:dyDescent="0.3">
      <c r="C3" s="87" t="s">
        <v>104</v>
      </c>
      <c r="D3" s="88"/>
      <c r="E3" s="88"/>
      <c r="F3" s="88"/>
      <c r="G3" s="88"/>
      <c r="H3" s="88"/>
      <c r="I3" s="88"/>
      <c r="J3" s="104"/>
    </row>
    <row r="4" spans="2:10" ht="15.75" thickBot="1" x14ac:dyDescent="0.3"/>
    <row r="5" spans="2:10" ht="15.75" thickBot="1" x14ac:dyDescent="0.3">
      <c r="C5" s="28" t="s">
        <v>105</v>
      </c>
      <c r="D5" s="29" t="s">
        <v>3</v>
      </c>
      <c r="E5" s="29" t="s">
        <v>4</v>
      </c>
      <c r="F5" s="30" t="s">
        <v>5</v>
      </c>
      <c r="H5" s="29" t="s">
        <v>3</v>
      </c>
      <c r="I5" s="29" t="s">
        <v>4</v>
      </c>
      <c r="J5" s="30" t="s">
        <v>5</v>
      </c>
    </row>
    <row r="6" spans="2:10" ht="15" customHeight="1" x14ac:dyDescent="0.25">
      <c r="B6" s="3"/>
      <c r="C6" s="92" t="s">
        <v>106</v>
      </c>
      <c r="D6" s="13" t="s">
        <v>539</v>
      </c>
      <c r="E6" s="14">
        <f>Dados_Projeto!D17</f>
        <v>1</v>
      </c>
      <c r="F6" s="15" t="s">
        <v>28</v>
      </c>
      <c r="H6" s="105" t="s">
        <v>108</v>
      </c>
      <c r="I6" s="13">
        <v>2</v>
      </c>
      <c r="J6" s="15" t="s">
        <v>109</v>
      </c>
    </row>
    <row r="7" spans="2:10" ht="15.75" thickBot="1" x14ac:dyDescent="0.3">
      <c r="B7" s="3"/>
      <c r="C7" s="93"/>
      <c r="D7" s="16" t="s">
        <v>539</v>
      </c>
      <c r="E7" s="6">
        <f>E6/1000</f>
        <v>1E-3</v>
      </c>
      <c r="F7" s="17" t="s">
        <v>31</v>
      </c>
      <c r="H7" s="106"/>
      <c r="I7" s="16">
        <f>I6/1000000</f>
        <v>1.9999999999999999E-6</v>
      </c>
      <c r="J7" s="17" t="s">
        <v>85</v>
      </c>
    </row>
    <row r="8" spans="2:10" x14ac:dyDescent="0.25">
      <c r="B8" s="3"/>
      <c r="C8" s="93"/>
      <c r="D8" s="18" t="s">
        <v>110</v>
      </c>
      <c r="E8" s="5">
        <v>10</v>
      </c>
      <c r="F8" s="19" t="s">
        <v>9</v>
      </c>
      <c r="H8" s="106" t="s">
        <v>111</v>
      </c>
      <c r="I8" s="13">
        <v>2</v>
      </c>
      <c r="J8" s="15" t="s">
        <v>109</v>
      </c>
    </row>
    <row r="9" spans="2:10" ht="15.75" thickBot="1" x14ac:dyDescent="0.3">
      <c r="B9" s="3"/>
      <c r="C9" s="93"/>
      <c r="D9" s="18" t="s">
        <v>112</v>
      </c>
      <c r="E9" s="5">
        <v>100</v>
      </c>
      <c r="F9" s="19" t="s">
        <v>71</v>
      </c>
      <c r="H9" s="106"/>
      <c r="I9" s="16">
        <f>I8/1000000</f>
        <v>1.9999999999999999E-6</v>
      </c>
      <c r="J9" s="17" t="s">
        <v>85</v>
      </c>
    </row>
    <row r="10" spans="2:10" ht="15" customHeight="1" x14ac:dyDescent="0.25">
      <c r="B10" s="3"/>
      <c r="C10" s="93"/>
      <c r="D10" s="18" t="s">
        <v>113</v>
      </c>
      <c r="E10" s="5">
        <v>20</v>
      </c>
      <c r="F10" s="19" t="s">
        <v>47</v>
      </c>
      <c r="H10" s="106" t="s">
        <v>114</v>
      </c>
      <c r="I10" s="13">
        <f>I8+I6</f>
        <v>4</v>
      </c>
      <c r="J10" s="15" t="s">
        <v>109</v>
      </c>
    </row>
    <row r="11" spans="2:10" ht="15" customHeight="1" x14ac:dyDescent="0.25">
      <c r="B11" s="3"/>
      <c r="C11" s="93"/>
      <c r="D11" s="16" t="s">
        <v>107</v>
      </c>
      <c r="E11" s="6">
        <f>E6/E10%</f>
        <v>5</v>
      </c>
      <c r="F11" s="17" t="s">
        <v>28</v>
      </c>
      <c r="H11" s="106"/>
      <c r="I11" s="78"/>
      <c r="J11" s="79"/>
    </row>
    <row r="12" spans="2:10" x14ac:dyDescent="0.25">
      <c r="B12" s="3"/>
      <c r="C12" s="93"/>
      <c r="D12" s="16" t="s">
        <v>115</v>
      </c>
      <c r="E12" s="6">
        <f>E10%*E7</f>
        <v>2.0000000000000001E-4</v>
      </c>
      <c r="F12" s="17" t="s">
        <v>31</v>
      </c>
      <c r="H12" s="106"/>
      <c r="I12" s="16">
        <f>I9+I7</f>
        <v>3.9999999999999998E-6</v>
      </c>
      <c r="J12" s="17" t="s">
        <v>85</v>
      </c>
    </row>
    <row r="13" spans="2:10" x14ac:dyDescent="0.25">
      <c r="B13" s="3"/>
      <c r="C13" s="93"/>
      <c r="D13" s="16" t="s">
        <v>115</v>
      </c>
      <c r="E13" s="6">
        <f>E12*1000</f>
        <v>0.2</v>
      </c>
      <c r="F13" s="17" t="s">
        <v>28</v>
      </c>
      <c r="H13" s="107" t="s">
        <v>116</v>
      </c>
      <c r="I13" s="16">
        <f>1/I10</f>
        <v>0.25</v>
      </c>
      <c r="J13" s="17" t="s">
        <v>117</v>
      </c>
    </row>
    <row r="14" spans="2:10" x14ac:dyDescent="0.25">
      <c r="B14" s="3"/>
      <c r="C14" s="93"/>
      <c r="D14" s="16" t="s">
        <v>118</v>
      </c>
      <c r="E14" s="6">
        <f>E12*E9</f>
        <v>0.02</v>
      </c>
      <c r="F14" s="17" t="s">
        <v>9</v>
      </c>
      <c r="H14" s="107"/>
      <c r="I14" s="16">
        <f>I13*1000</f>
        <v>250</v>
      </c>
      <c r="J14" s="17" t="s">
        <v>41</v>
      </c>
    </row>
    <row r="15" spans="2:10" ht="15.75" thickBot="1" x14ac:dyDescent="0.3">
      <c r="B15" s="3"/>
      <c r="C15" s="93"/>
      <c r="D15" s="16" t="s">
        <v>119</v>
      </c>
      <c r="E15" s="6">
        <f>E8-E14</f>
        <v>9.98</v>
      </c>
      <c r="F15" s="17" t="s">
        <v>9</v>
      </c>
      <c r="H15" s="108"/>
      <c r="I15" s="23">
        <f>I13*1000000</f>
        <v>250000</v>
      </c>
      <c r="J15" s="24" t="s">
        <v>42</v>
      </c>
    </row>
    <row r="16" spans="2:10" x14ac:dyDescent="0.25">
      <c r="B16" s="3"/>
      <c r="C16" s="93"/>
      <c r="D16" s="18" t="s">
        <v>120</v>
      </c>
      <c r="E16" s="5">
        <v>1.18</v>
      </c>
      <c r="F16" s="19" t="s">
        <v>9</v>
      </c>
    </row>
    <row r="17" spans="2:7" ht="15.75" thickBot="1" x14ac:dyDescent="0.3">
      <c r="B17" s="3"/>
      <c r="C17" s="94"/>
      <c r="D17" s="20" t="s">
        <v>121</v>
      </c>
      <c r="E17" s="21">
        <v>1.5</v>
      </c>
      <c r="F17" s="22" t="s">
        <v>9</v>
      </c>
    </row>
    <row r="18" spans="2:7" ht="15.75" thickBot="1" x14ac:dyDescent="0.3">
      <c r="B18" s="3"/>
      <c r="C18" s="7"/>
      <c r="D18" s="8"/>
      <c r="E18" s="8"/>
      <c r="F18" s="9"/>
    </row>
    <row r="19" spans="2:7" x14ac:dyDescent="0.25">
      <c r="C19" s="92" t="s">
        <v>122</v>
      </c>
      <c r="D19" s="13" t="s">
        <v>123</v>
      </c>
      <c r="E19" s="14">
        <f>Dados_Projeto!D3</f>
        <v>5</v>
      </c>
      <c r="F19" s="15" t="s">
        <v>9</v>
      </c>
    </row>
    <row r="20" spans="2:7" x14ac:dyDescent="0.25">
      <c r="C20" s="93"/>
      <c r="D20" s="16" t="s">
        <v>124</v>
      </c>
      <c r="E20" s="6">
        <v>1.18</v>
      </c>
      <c r="F20" s="17" t="s">
        <v>9</v>
      </c>
    </row>
    <row r="21" spans="2:7" x14ac:dyDescent="0.25">
      <c r="C21" s="93"/>
      <c r="D21" s="16" t="s">
        <v>125</v>
      </c>
      <c r="E21" s="6">
        <f>E11</f>
        <v>5</v>
      </c>
      <c r="F21" s="17" t="s">
        <v>28</v>
      </c>
    </row>
    <row r="22" spans="2:7" x14ac:dyDescent="0.25">
      <c r="C22" s="93"/>
      <c r="D22" s="16" t="s">
        <v>125</v>
      </c>
      <c r="E22" s="6">
        <f>E21/1000</f>
        <v>5.0000000000000001E-3</v>
      </c>
      <c r="F22" s="17" t="s">
        <v>31</v>
      </c>
    </row>
    <row r="23" spans="2:7" x14ac:dyDescent="0.25">
      <c r="C23" s="93"/>
      <c r="D23" s="16" t="s">
        <v>126</v>
      </c>
      <c r="E23" s="6">
        <f>(E19-E20)/E22</f>
        <v>764</v>
      </c>
      <c r="F23" s="17" t="s">
        <v>71</v>
      </c>
    </row>
    <row r="24" spans="2:7" x14ac:dyDescent="0.25">
      <c r="C24" s="93"/>
      <c r="D24" s="16" t="s">
        <v>127</v>
      </c>
      <c r="E24" s="6">
        <f>INDEX(Resistores_Comerciais!A:A,MATCH("Sim",Resistores_Comerciais!M:M,0))</f>
        <v>18000</v>
      </c>
      <c r="F24" s="17" t="s">
        <v>71</v>
      </c>
      <c r="G24" s="2" t="s">
        <v>540</v>
      </c>
    </row>
    <row r="25" spans="2:7" x14ac:dyDescent="0.25">
      <c r="C25" s="93"/>
      <c r="D25" s="16" t="s">
        <v>128</v>
      </c>
      <c r="E25" s="6">
        <f>(E19-E20)/E24</f>
        <v>2.1222222222222223E-4</v>
      </c>
      <c r="F25" s="17" t="s">
        <v>31</v>
      </c>
    </row>
    <row r="26" spans="2:7" x14ac:dyDescent="0.25">
      <c r="C26" s="93"/>
      <c r="D26" s="16" t="s">
        <v>128</v>
      </c>
      <c r="E26" s="6">
        <f>E25*1000</f>
        <v>0.21222222222222223</v>
      </c>
      <c r="F26" s="17" t="s">
        <v>28</v>
      </c>
    </row>
    <row r="27" spans="2:7" ht="15.75" thickBot="1" x14ac:dyDescent="0.3">
      <c r="C27" s="94"/>
      <c r="D27" s="23" t="s">
        <v>129</v>
      </c>
      <c r="E27" s="25">
        <f>((E25/E22)-1)*100</f>
        <v>-95.75555555555556</v>
      </c>
      <c r="F27" s="24" t="s">
        <v>47</v>
      </c>
    </row>
  </sheetData>
  <mergeCells count="7">
    <mergeCell ref="C19:C27"/>
    <mergeCell ref="C3:J3"/>
    <mergeCell ref="H6:H7"/>
    <mergeCell ref="H8:H9"/>
    <mergeCell ref="H10:H12"/>
    <mergeCell ref="H13:H15"/>
    <mergeCell ref="C6:C17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B428-16D3-4F8E-803B-8F8CCF3D12FB}">
  <dimension ref="A1:K26"/>
  <sheetViews>
    <sheetView workbookViewId="0">
      <selection activeCell="K21" sqref="K21"/>
    </sheetView>
  </sheetViews>
  <sheetFormatPr defaultRowHeight="15" x14ac:dyDescent="0.25"/>
  <cols>
    <col min="2" max="2" width="9.7109375" bestFit="1" customWidth="1"/>
    <col min="6" max="6" width="12" bestFit="1" customWidth="1"/>
    <col min="7" max="7" width="12.7109375" bestFit="1" customWidth="1"/>
    <col min="10" max="10" width="12.5703125" bestFit="1" customWidth="1"/>
    <col min="11" max="12" width="23.28515625" bestFit="1" customWidth="1"/>
  </cols>
  <sheetData>
    <row r="1" spans="1:11" x14ac:dyDescent="0.25">
      <c r="H1" t="s">
        <v>182</v>
      </c>
      <c r="I1" t="s">
        <v>183</v>
      </c>
      <c r="J1">
        <v>36</v>
      </c>
    </row>
    <row r="2" spans="1:11" x14ac:dyDescent="0.25">
      <c r="A2" t="s">
        <v>184</v>
      </c>
      <c r="B2" t="s">
        <v>185</v>
      </c>
      <c r="C2" t="s">
        <v>186</v>
      </c>
      <c r="D2" t="s">
        <v>187</v>
      </c>
      <c r="E2" t="s">
        <v>188</v>
      </c>
      <c r="F2" t="s">
        <v>189</v>
      </c>
      <c r="G2" t="s">
        <v>190</v>
      </c>
      <c r="H2" t="s">
        <v>191</v>
      </c>
      <c r="I2" t="s">
        <v>192</v>
      </c>
      <c r="J2">
        <v>-1.3499E-3</v>
      </c>
      <c r="K2">
        <f>(-1*J1)/26667</f>
        <v>-1.3499831252109348E-3</v>
      </c>
    </row>
    <row r="3" spans="1:11" x14ac:dyDescent="0.25">
      <c r="A3">
        <v>0</v>
      </c>
      <c r="B3">
        <f>0-J6</f>
        <v>-1.9999999999999999E-6</v>
      </c>
      <c r="C3">
        <v>0</v>
      </c>
      <c r="D3">
        <v>0</v>
      </c>
      <c r="E3">
        <v>0</v>
      </c>
      <c r="F3">
        <v>0</v>
      </c>
      <c r="G3">
        <v>0</v>
      </c>
      <c r="H3" t="s">
        <v>193</v>
      </c>
      <c r="I3" t="s">
        <v>194</v>
      </c>
      <c r="J3">
        <v>1</v>
      </c>
    </row>
    <row r="4" spans="1:11" x14ac:dyDescent="0.25">
      <c r="A4">
        <v>1</v>
      </c>
      <c r="B4">
        <f>B3+$J$6</f>
        <v>0</v>
      </c>
      <c r="C4">
        <f>IF(B4&gt;=0,1,0)</f>
        <v>1</v>
      </c>
      <c r="D4">
        <f>E3</f>
        <v>0</v>
      </c>
      <c r="E4">
        <f>F3</f>
        <v>0</v>
      </c>
      <c r="F4">
        <f>(C4 + E4*((2*$J$5)/($J$6^2) + $J$4/$J$6) - D4*($J$5/($J$6^2))) / (($J$5/($J$6^2)) + ($J$4/$J$6) + $J$3)</f>
        <v>8.0516724128768788E-5</v>
      </c>
      <c r="G4">
        <f>$J$2*((F4-E4)/$J$6)+$J$1*F4</f>
        <v>-5.1446160882076819E-2</v>
      </c>
      <c r="H4" t="s">
        <v>195</v>
      </c>
      <c r="I4" t="s">
        <v>196</v>
      </c>
      <c r="J4">
        <v>3.756E-5</v>
      </c>
      <c r="K4">
        <f>1/26625</f>
        <v>3.7558685446009389E-5</v>
      </c>
    </row>
    <row r="5" spans="1:11" x14ac:dyDescent="0.25">
      <c r="A5">
        <v>2</v>
      </c>
      <c r="B5">
        <f t="shared" ref="B5:B26" si="0">B4+$J$6</f>
        <v>1.9999999999999999E-6</v>
      </c>
      <c r="C5">
        <f t="shared" ref="C5:C26" si="1">IF(B5&gt;=0,1,0)</f>
        <v>1</v>
      </c>
      <c r="D5">
        <f t="shared" ref="D5:E26" si="2">E4</f>
        <v>0</v>
      </c>
      <c r="E5">
        <f t="shared" si="2"/>
        <v>8.0516724128768788E-5</v>
      </c>
      <c r="F5">
        <f t="shared" ref="F5:F26" si="3">(C5 + E5*((2*$J$4)/($J$5^2) + $J$3/$J$5) - D5*($J$4/($J$5^2))) / (($J$4/($J$5^2)) + ($J$3/$J$5) + $J$2)</f>
        <v>1.609273272310908E-4</v>
      </c>
      <c r="G5">
        <f t="shared" ref="G5:G26" si="4">$J$2*((F5-E5)/$J$6)+$J$1*F5</f>
        <v>-4.8479752783592976E-2</v>
      </c>
      <c r="H5" t="s">
        <v>197</v>
      </c>
      <c r="I5" t="s">
        <v>198</v>
      </c>
      <c r="J5">
        <v>4.9600000000000001E-8</v>
      </c>
      <c r="K5">
        <f>1/20160000</f>
        <v>4.9603174603174604E-8</v>
      </c>
    </row>
    <row r="6" spans="1:11" x14ac:dyDescent="0.25">
      <c r="A6">
        <v>3</v>
      </c>
      <c r="B6">
        <f t="shared" si="0"/>
        <v>3.9999999999999998E-6</v>
      </c>
      <c r="C6">
        <f t="shared" si="1"/>
        <v>1</v>
      </c>
      <c r="D6">
        <f t="shared" si="2"/>
        <v>8.0516724128768788E-5</v>
      </c>
      <c r="E6">
        <f t="shared" si="2"/>
        <v>1.609273272310908E-4</v>
      </c>
      <c r="F6">
        <f t="shared" si="3"/>
        <v>2.412319492606794E-4</v>
      </c>
      <c r="G6">
        <f t="shared" si="4"/>
        <v>-4.5517254465486365E-2</v>
      </c>
      <c r="H6" t="s">
        <v>199</v>
      </c>
      <c r="I6" t="s">
        <v>200</v>
      </c>
      <c r="J6">
        <v>1.9999999999999999E-6</v>
      </c>
      <c r="K6" t="s">
        <v>201</v>
      </c>
    </row>
    <row r="7" spans="1:11" x14ac:dyDescent="0.25">
      <c r="A7">
        <v>4</v>
      </c>
      <c r="B7">
        <f t="shared" si="0"/>
        <v>6.0000000000000002E-6</v>
      </c>
      <c r="C7">
        <f t="shared" si="1"/>
        <v>1</v>
      </c>
      <c r="D7">
        <f t="shared" si="2"/>
        <v>1.609273272310908E-4</v>
      </c>
      <c r="E7">
        <f t="shared" si="2"/>
        <v>2.412319492606794E-4</v>
      </c>
      <c r="F7">
        <f t="shared" si="3"/>
        <v>3.2143072998667532E-4</v>
      </c>
      <c r="G7">
        <f t="shared" si="4"/>
        <v>-4.2558660771490633E-2</v>
      </c>
    </row>
    <row r="8" spans="1:11" x14ac:dyDescent="0.25">
      <c r="A8">
        <v>5</v>
      </c>
      <c r="B8">
        <f t="shared" si="0"/>
        <v>7.9999999999999996E-6</v>
      </c>
      <c r="C8">
        <f t="shared" si="1"/>
        <v>1</v>
      </c>
      <c r="D8">
        <f t="shared" si="2"/>
        <v>2.412319492606794E-4</v>
      </c>
      <c r="E8">
        <f t="shared" si="2"/>
        <v>3.2143072998667532E-4</v>
      </c>
      <c r="F8">
        <f t="shared" si="3"/>
        <v>4.0152380899389004E-4</v>
      </c>
      <c r="G8">
        <f t="shared" si="4"/>
        <v>-3.960396655213954E-2</v>
      </c>
    </row>
    <row r="9" spans="1:11" x14ac:dyDescent="0.25">
      <c r="A9">
        <v>6</v>
      </c>
      <c r="B9">
        <f t="shared" si="0"/>
        <v>9.9999999999999991E-6</v>
      </c>
      <c r="C9">
        <f t="shared" si="1"/>
        <v>1</v>
      </c>
      <c r="D9">
        <f t="shared" si="2"/>
        <v>3.2143072998667532E-4</v>
      </c>
      <c r="E9">
        <f t="shared" si="2"/>
        <v>4.0152380899389004E-4</v>
      </c>
      <c r="F9">
        <f t="shared" si="3"/>
        <v>4.8151132568304884E-4</v>
      </c>
      <c r="G9">
        <f t="shared" si="4"/>
        <v>-3.6653166664757979E-2</v>
      </c>
    </row>
    <row r="10" spans="1:11" x14ac:dyDescent="0.25">
      <c r="A10">
        <v>7</v>
      </c>
      <c r="B10">
        <f t="shared" si="0"/>
        <v>1.1999999999999999E-5</v>
      </c>
      <c r="C10">
        <f t="shared" si="1"/>
        <v>1</v>
      </c>
      <c r="D10">
        <f t="shared" si="2"/>
        <v>4.0152380899389004E-4</v>
      </c>
      <c r="E10">
        <f t="shared" si="2"/>
        <v>4.8151132568304884E-4</v>
      </c>
      <c r="F10">
        <f t="shared" si="3"/>
        <v>5.6139341927103356E-4</v>
      </c>
      <c r="G10">
        <f t="shared" si="4"/>
        <v>-3.3706255973453086E-2</v>
      </c>
    </row>
    <row r="11" spans="1:11" x14ac:dyDescent="0.25">
      <c r="A11">
        <v>8</v>
      </c>
      <c r="B11">
        <f t="shared" si="0"/>
        <v>1.3999999999999998E-5</v>
      </c>
      <c r="C11">
        <f t="shared" si="1"/>
        <v>1</v>
      </c>
      <c r="D11">
        <f t="shared" si="2"/>
        <v>4.8151132568304884E-4</v>
      </c>
      <c r="E11">
        <f t="shared" si="2"/>
        <v>5.6139341927103356E-4</v>
      </c>
      <c r="F11">
        <f t="shared" si="3"/>
        <v>6.4117022879112519E-4</v>
      </c>
      <c r="G11">
        <f t="shared" si="4"/>
        <v>-3.0763229349105341E-2</v>
      </c>
    </row>
    <row r="12" spans="1:11" x14ac:dyDescent="0.25">
      <c r="A12">
        <v>9</v>
      </c>
      <c r="B12">
        <f t="shared" si="0"/>
        <v>1.5999999999999999E-5</v>
      </c>
      <c r="C12">
        <f t="shared" si="1"/>
        <v>1</v>
      </c>
      <c r="D12">
        <f t="shared" si="2"/>
        <v>5.6139341927103356E-4</v>
      </c>
      <c r="E12">
        <f t="shared" si="2"/>
        <v>6.4117022879112519E-4</v>
      </c>
      <c r="F12">
        <f t="shared" si="3"/>
        <v>7.2084189309324579E-4</v>
      </c>
      <c r="G12">
        <f t="shared" si="4"/>
        <v>-2.782408166935945E-2</v>
      </c>
    </row>
    <row r="13" spans="1:11" x14ac:dyDescent="0.25">
      <c r="A13">
        <v>10</v>
      </c>
      <c r="B13">
        <f t="shared" si="0"/>
        <v>1.8E-5</v>
      </c>
      <c r="C13">
        <f t="shared" si="1"/>
        <v>1</v>
      </c>
      <c r="D13">
        <f t="shared" si="2"/>
        <v>6.4117022879112519E-4</v>
      </c>
      <c r="E13">
        <f t="shared" si="2"/>
        <v>7.2084189309324579E-4</v>
      </c>
      <c r="F13">
        <f t="shared" si="3"/>
        <v>8.0040855084420061E-4</v>
      </c>
      <c r="G13">
        <f t="shared" si="4"/>
        <v>-2.488880781861573E-2</v>
      </c>
    </row>
    <row r="14" spans="1:11" x14ac:dyDescent="0.25">
      <c r="A14">
        <v>11</v>
      </c>
      <c r="B14">
        <f t="shared" si="0"/>
        <v>2.0000000000000002E-5</v>
      </c>
      <c r="C14">
        <f t="shared" si="1"/>
        <v>1</v>
      </c>
      <c r="D14">
        <f t="shared" si="2"/>
        <v>7.2084189309324579E-4</v>
      </c>
      <c r="E14">
        <f t="shared" si="2"/>
        <v>8.0040855084420061E-4</v>
      </c>
      <c r="F14">
        <f t="shared" si="3"/>
        <v>8.7987034052791938E-4</v>
      </c>
      <c r="G14">
        <f t="shared" si="4"/>
        <v>-2.1957402688020891E-2</v>
      </c>
    </row>
    <row r="15" spans="1:11" x14ac:dyDescent="0.25">
      <c r="A15">
        <v>12</v>
      </c>
      <c r="B15">
        <f t="shared" si="0"/>
        <v>2.2000000000000003E-5</v>
      </c>
      <c r="C15">
        <f t="shared" si="1"/>
        <v>1</v>
      </c>
      <c r="D15">
        <f t="shared" si="2"/>
        <v>8.0040855084420061E-4</v>
      </c>
      <c r="E15">
        <f t="shared" si="2"/>
        <v>8.7987034052791938E-4</v>
      </c>
      <c r="F15">
        <f t="shared" si="3"/>
        <v>9.5922740044569754E-4</v>
      </c>
      <c r="G15">
        <f t="shared" si="4"/>
        <v>-1.9029861175459253E-2</v>
      </c>
    </row>
    <row r="16" spans="1:11" x14ac:dyDescent="0.25">
      <c r="A16">
        <v>13</v>
      </c>
      <c r="B16">
        <f t="shared" si="0"/>
        <v>2.4000000000000004E-5</v>
      </c>
      <c r="C16">
        <f t="shared" si="1"/>
        <v>1</v>
      </c>
      <c r="D16">
        <f t="shared" si="2"/>
        <v>8.7987034052791938E-4</v>
      </c>
      <c r="E16">
        <f t="shared" si="2"/>
        <v>9.5922740044569754E-4</v>
      </c>
      <c r="F16">
        <f t="shared" si="3"/>
        <v>1.038479868716437E-3</v>
      </c>
      <c r="G16">
        <f t="shared" si="4"/>
        <v>-1.6106178185543892E-2</v>
      </c>
    </row>
    <row r="17" spans="1:7" x14ac:dyDescent="0.25">
      <c r="A17">
        <v>14</v>
      </c>
      <c r="B17">
        <f t="shared" si="0"/>
        <v>2.6000000000000005E-5</v>
      </c>
      <c r="C17">
        <f t="shared" si="1"/>
        <v>1</v>
      </c>
      <c r="D17">
        <f t="shared" si="2"/>
        <v>9.5922740044569754E-4</v>
      </c>
      <c r="E17">
        <f t="shared" si="2"/>
        <v>1.038479868716437E-3</v>
      </c>
      <c r="F17">
        <f t="shared" si="3"/>
        <v>1.1176278832768869E-3</v>
      </c>
      <c r="G17">
        <f t="shared" si="4"/>
        <v>-1.3186348629607721E-2</v>
      </c>
    </row>
    <row r="18" spans="1:7" x14ac:dyDescent="0.25">
      <c r="A18">
        <v>15</v>
      </c>
      <c r="B18">
        <f t="shared" si="0"/>
        <v>2.8000000000000006E-5</v>
      </c>
      <c r="C18">
        <f t="shared" si="1"/>
        <v>1</v>
      </c>
      <c r="D18">
        <f t="shared" si="2"/>
        <v>1.038479868716437E-3</v>
      </c>
      <c r="E18">
        <f t="shared" si="2"/>
        <v>1.1176278832768869E-3</v>
      </c>
      <c r="F18">
        <f t="shared" si="3"/>
        <v>1.1966715818818832E-3</v>
      </c>
      <c r="G18">
        <f t="shared" si="4"/>
        <v>-1.0270367425694482E-2</v>
      </c>
    </row>
    <row r="19" spans="1:7" x14ac:dyDescent="0.25">
      <c r="A19">
        <v>16</v>
      </c>
      <c r="B19">
        <f t="shared" si="0"/>
        <v>3.0000000000000008E-5</v>
      </c>
      <c r="C19">
        <f t="shared" si="1"/>
        <v>1</v>
      </c>
      <c r="D19">
        <f t="shared" si="2"/>
        <v>1.1176278832768869E-3</v>
      </c>
      <c r="E19">
        <f t="shared" si="2"/>
        <v>1.1966715818818832E-3</v>
      </c>
      <c r="F19">
        <f t="shared" si="3"/>
        <v>1.2756111021045898E-3</v>
      </c>
      <c r="G19">
        <f t="shared" si="4"/>
        <v>-7.3582294985505836E-3</v>
      </c>
    </row>
    <row r="20" spans="1:7" x14ac:dyDescent="0.25">
      <c r="A20">
        <v>17</v>
      </c>
      <c r="B20">
        <f t="shared" si="0"/>
        <v>3.2000000000000005E-5</v>
      </c>
      <c r="C20">
        <f t="shared" si="1"/>
        <v>1</v>
      </c>
      <c r="D20">
        <f t="shared" si="2"/>
        <v>1.1966715818818832E-3</v>
      </c>
      <c r="E20">
        <f t="shared" si="2"/>
        <v>1.2756111021045898E-3</v>
      </c>
      <c r="F20">
        <f t="shared" si="3"/>
        <v>1.3544465813367372E-3</v>
      </c>
      <c r="G20">
        <f t="shared" si="4"/>
        <v>-4.4499297796153706E-3</v>
      </c>
    </row>
    <row r="21" spans="1:7" x14ac:dyDescent="0.25">
      <c r="A21">
        <v>18</v>
      </c>
      <c r="B21">
        <f t="shared" si="0"/>
        <v>3.4000000000000007E-5</v>
      </c>
      <c r="C21">
        <f t="shared" si="1"/>
        <v>1</v>
      </c>
      <c r="D21">
        <f t="shared" si="2"/>
        <v>1.2756111021045898E-3</v>
      </c>
      <c r="E21">
        <f t="shared" si="2"/>
        <v>1.3544465813367372E-3</v>
      </c>
      <c r="F21">
        <f t="shared" si="3"/>
        <v>1.4331781567888616E-3</v>
      </c>
      <c r="G21">
        <f t="shared" si="4"/>
        <v>-1.5454632070123347E-3</v>
      </c>
    </row>
    <row r="22" spans="1:7" x14ac:dyDescent="0.25">
      <c r="A22">
        <v>19</v>
      </c>
      <c r="B22">
        <f t="shared" si="0"/>
        <v>3.6000000000000008E-5</v>
      </c>
      <c r="C22">
        <f t="shared" si="1"/>
        <v>1</v>
      </c>
      <c r="D22">
        <f t="shared" si="2"/>
        <v>1.3544465813367372E-3</v>
      </c>
      <c r="E22">
        <f t="shared" si="2"/>
        <v>1.4331781567888616E-3</v>
      </c>
      <c r="F22">
        <f t="shared" si="3"/>
        <v>1.5118059654905447E-3</v>
      </c>
      <c r="G22">
        <f t="shared" si="4"/>
        <v>1.3551752744586365E-3</v>
      </c>
    </row>
    <row r="23" spans="1:7" x14ac:dyDescent="0.25">
      <c r="A23">
        <v>20</v>
      </c>
      <c r="B23">
        <f t="shared" si="0"/>
        <v>3.8000000000000009E-5</v>
      </c>
      <c r="C23">
        <f t="shared" si="1"/>
        <v>1</v>
      </c>
      <c r="D23">
        <f t="shared" si="2"/>
        <v>1.4331781567888616E-3</v>
      </c>
      <c r="E23">
        <f t="shared" si="2"/>
        <v>1.5118059654905447E-3</v>
      </c>
      <c r="F23">
        <f t="shared" si="3"/>
        <v>1.5903301442906517E-3</v>
      </c>
      <c r="G23">
        <f t="shared" si="4"/>
        <v>4.2519907133312038E-3</v>
      </c>
    </row>
    <row r="24" spans="1:7" x14ac:dyDescent="0.25">
      <c r="A24">
        <v>21</v>
      </c>
      <c r="B24">
        <f t="shared" si="0"/>
        <v>4.000000000000001E-5</v>
      </c>
      <c r="C24">
        <f t="shared" si="1"/>
        <v>1</v>
      </c>
      <c r="D24">
        <f t="shared" si="2"/>
        <v>1.5118059654905447E-3</v>
      </c>
      <c r="E24">
        <f t="shared" si="2"/>
        <v>1.5903301442906517E-3</v>
      </c>
      <c r="F24">
        <f t="shared" si="3"/>
        <v>1.6687508298575699E-3</v>
      </c>
      <c r="G24">
        <f t="shared" si="4"/>
        <v>7.1449881514810895E-3</v>
      </c>
    </row>
    <row r="25" spans="1:7" x14ac:dyDescent="0.25">
      <c r="A25">
        <v>22</v>
      </c>
      <c r="B25">
        <f t="shared" si="0"/>
        <v>4.2000000000000011E-5</v>
      </c>
      <c r="C25">
        <f t="shared" si="1"/>
        <v>1</v>
      </c>
      <c r="D25">
        <f t="shared" si="2"/>
        <v>1.5903301442906517E-3</v>
      </c>
      <c r="E25">
        <f t="shared" si="2"/>
        <v>1.6687508298575699E-3</v>
      </c>
      <c r="F25">
        <f t="shared" si="3"/>
        <v>1.7470681586794468E-3</v>
      </c>
      <c r="G25">
        <f t="shared" si="4"/>
        <v>1.0034172624134266E-2</v>
      </c>
    </row>
    <row r="26" spans="1:7" x14ac:dyDescent="0.25">
      <c r="A26">
        <v>23</v>
      </c>
      <c r="B26">
        <f t="shared" si="0"/>
        <v>4.4000000000000012E-5</v>
      </c>
      <c r="C26">
        <f t="shared" si="1"/>
        <v>1</v>
      </c>
      <c r="D26">
        <f t="shared" si="2"/>
        <v>1.6687508298575699E-3</v>
      </c>
      <c r="E26">
        <f t="shared" si="2"/>
        <v>1.7470681586794468E-3</v>
      </c>
      <c r="F26">
        <f t="shared" si="3"/>
        <v>1.8252822670644276E-3</v>
      </c>
      <c r="G26">
        <f t="shared" si="4"/>
        <v>1.2919549159876635E-2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1E8C-9D48-4930-ADBD-1C008C210178}">
  <dimension ref="B1:S47"/>
  <sheetViews>
    <sheetView topLeftCell="B1" workbookViewId="0">
      <selection activeCell="S4" sqref="S4"/>
    </sheetView>
  </sheetViews>
  <sheetFormatPr defaultRowHeight="15" x14ac:dyDescent="0.25"/>
  <cols>
    <col min="1" max="1" width="9.140625" style="2"/>
    <col min="2" max="2" width="8.42578125" style="2" bestFit="1" customWidth="1"/>
    <col min="3" max="3" width="9.7109375" style="2" bestFit="1" customWidth="1"/>
    <col min="4" max="5" width="8" style="2" bestFit="1" customWidth="1"/>
    <col min="6" max="6" width="11.85546875" style="2" bestFit="1" customWidth="1"/>
    <col min="7" max="7" width="8" style="2" bestFit="1" customWidth="1"/>
    <col min="8" max="8" width="10.28515625" style="2" bestFit="1" customWidth="1"/>
    <col min="9" max="9" width="9.85546875" style="2" bestFit="1" customWidth="1"/>
    <col min="10" max="11" width="8.28515625" style="2" bestFit="1" customWidth="1"/>
    <col min="12" max="12" width="11.42578125" style="2" bestFit="1" customWidth="1"/>
    <col min="13" max="13" width="14" style="2" bestFit="1" customWidth="1"/>
    <col min="14" max="14" width="11.42578125" style="2" bestFit="1" customWidth="1"/>
    <col min="15" max="15" width="7.28515625" style="2" bestFit="1" customWidth="1"/>
    <col min="16" max="16" width="8.7109375" style="2" bestFit="1" customWidth="1"/>
    <col min="17" max="17" width="10.28515625" style="2" bestFit="1" customWidth="1"/>
    <col min="18" max="18" width="11.140625" style="2" bestFit="1" customWidth="1"/>
    <col min="19" max="19" width="12.28515625" style="2" bestFit="1" customWidth="1"/>
    <col min="20" max="16384" width="9.140625" style="2"/>
  </cols>
  <sheetData>
    <row r="1" spans="2:19" x14ac:dyDescent="0.25">
      <c r="P1" s="77"/>
    </row>
    <row r="2" spans="2:19" ht="15.75" x14ac:dyDescent="0.25">
      <c r="B2" s="72" t="s">
        <v>362</v>
      </c>
      <c r="C2" s="72" t="s">
        <v>363</v>
      </c>
      <c r="D2" s="72" t="s">
        <v>364</v>
      </c>
      <c r="E2" s="72" t="s">
        <v>365</v>
      </c>
      <c r="F2" s="72" t="s">
        <v>249</v>
      </c>
      <c r="G2" s="72" t="s">
        <v>366</v>
      </c>
      <c r="H2" s="72" t="s">
        <v>367</v>
      </c>
      <c r="I2" s="109" t="s">
        <v>368</v>
      </c>
      <c r="J2" s="110"/>
      <c r="K2" s="111"/>
      <c r="L2" s="72" t="s">
        <v>40</v>
      </c>
      <c r="M2" s="72" t="s">
        <v>516</v>
      </c>
      <c r="N2" s="72" t="s">
        <v>517</v>
      </c>
      <c r="O2" s="72" t="s">
        <v>519</v>
      </c>
      <c r="P2" s="26" t="s">
        <v>518</v>
      </c>
      <c r="Q2" s="72" t="s">
        <v>520</v>
      </c>
      <c r="R2" s="72" t="s">
        <v>525</v>
      </c>
      <c r="S2" s="72" t="s">
        <v>526</v>
      </c>
    </row>
    <row r="3" spans="2:19" x14ac:dyDescent="0.25">
      <c r="B3" s="50" t="s">
        <v>15</v>
      </c>
      <c r="C3" s="50" t="s">
        <v>369</v>
      </c>
      <c r="D3" s="50" t="s">
        <v>370</v>
      </c>
      <c r="E3" s="50" t="s">
        <v>371</v>
      </c>
      <c r="F3" s="50" t="s">
        <v>372</v>
      </c>
      <c r="G3" s="50" t="s">
        <v>373</v>
      </c>
      <c r="H3" s="50" t="s">
        <v>374</v>
      </c>
      <c r="I3" s="50" t="s">
        <v>375</v>
      </c>
      <c r="J3" s="50" t="s">
        <v>376</v>
      </c>
      <c r="K3" s="50" t="s">
        <v>377</v>
      </c>
      <c r="L3" s="50" t="s">
        <v>378</v>
      </c>
      <c r="M3" s="50" t="s">
        <v>31</v>
      </c>
      <c r="N3" s="50" t="s">
        <v>479</v>
      </c>
      <c r="O3" s="50" t="s">
        <v>479</v>
      </c>
      <c r="P3" s="77" t="s">
        <v>294</v>
      </c>
      <c r="Q3" s="50" t="s">
        <v>362</v>
      </c>
      <c r="R3" s="50"/>
      <c r="S3" s="50" t="s">
        <v>362</v>
      </c>
    </row>
    <row r="4" spans="2:19" x14ac:dyDescent="0.25">
      <c r="B4" s="26">
        <v>1</v>
      </c>
      <c r="C4" s="26">
        <v>7.3482000000000003</v>
      </c>
      <c r="D4" s="26">
        <v>1.361</v>
      </c>
      <c r="E4" s="26">
        <v>42.408999999999999</v>
      </c>
      <c r="F4" s="26">
        <v>0.40600000000000003</v>
      </c>
      <c r="G4" s="26">
        <v>380</v>
      </c>
      <c r="H4" s="26">
        <v>2.6316999999999999</v>
      </c>
      <c r="I4" s="26">
        <v>106.02200000000001</v>
      </c>
      <c r="J4" s="26">
        <v>127.226</v>
      </c>
      <c r="K4" s="26">
        <v>254.453</v>
      </c>
      <c r="L4" s="26">
        <v>0.32300000000000001</v>
      </c>
      <c r="M4" s="26">
        <f>Calculo_FlyBack_Simples!$M$17</f>
        <v>0.17933333333333332</v>
      </c>
      <c r="N4" s="26">
        <f>Calculo_FlyBack_Simples!$I$15</f>
        <v>62.5</v>
      </c>
      <c r="O4" s="26">
        <f>N4*0.95</f>
        <v>59.375</v>
      </c>
      <c r="P4" s="26" t="str">
        <f>IF(L4&gt;O4,"Sim","Não")</f>
        <v>Não</v>
      </c>
      <c r="Q4" s="26" t="str">
        <f>IF(AND(P4="Sim",P3="Não"),
IF(M4&lt;=2.5,IF(ROUND(M4/I4,0)=0,1,ROUND(M4/I4,0)),
IF(M4&lt;=3,IF(ROUND(M4/J4,0)=0,1,ROUND(M4/J4,0)),
IF(ROUND(M4/K4,0)=0,1,ROUND(M4/K4,0)))),"")</f>
        <v/>
      </c>
      <c r="R4" s="26">
        <f>Calculo_FlyBack_Simples!$I$9</f>
        <v>0.05</v>
      </c>
      <c r="S4" s="26" t="str">
        <f>IF(AND(P4="Sir",P3="Não"),
IF(R4&lt;=2.5,IF(ROUND(R4/I4,0)=0,1,ROUND(R4/I4,0)),
IF(R4&lt;=3,IF(ROUND(R4/J4,0)=0,1,ROUND(R4/J4,0)),
IF(ROUND(R4/K4,0)=0,1,ROUND(R4/K4,0)))),"")</f>
        <v/>
      </c>
    </row>
    <row r="5" spans="2:19" x14ac:dyDescent="0.25">
      <c r="B5" s="26">
        <v>2</v>
      </c>
      <c r="C5" s="26">
        <v>6.5438000000000001</v>
      </c>
      <c r="D5" s="26">
        <v>1.528</v>
      </c>
      <c r="E5" s="26">
        <v>33.631999999999998</v>
      </c>
      <c r="F5" s="26">
        <v>0.51100000000000001</v>
      </c>
      <c r="G5" s="26">
        <v>301.3</v>
      </c>
      <c r="H5" s="26">
        <v>3.3184999999999998</v>
      </c>
      <c r="I5" s="26">
        <v>84.08</v>
      </c>
      <c r="J5" s="26">
        <v>100.896</v>
      </c>
      <c r="K5" s="26">
        <v>201.792</v>
      </c>
      <c r="L5" s="26">
        <v>0.40699999999999997</v>
      </c>
      <c r="M5" s="26">
        <f>Calculo_FlyBack_Simples!$M$17</f>
        <v>0.17933333333333332</v>
      </c>
      <c r="N5" s="26">
        <f>Calculo_FlyBack_Simples!$I$15</f>
        <v>62.5</v>
      </c>
      <c r="O5" s="26">
        <f t="shared" ref="O5:O47" si="0">N5*0.95</f>
        <v>59.375</v>
      </c>
      <c r="P5" s="26" t="str">
        <f t="shared" ref="P5:P47" si="1">IF(L5&gt;O5,"Sim","Não")</f>
        <v>Não</v>
      </c>
      <c r="Q5" s="26" t="str">
        <f t="shared" ref="Q5:Q47" si="2">IF(AND(P5="Sim",P4="Não"),
IF(M5&lt;=2.5,IF(ROUND(M5/I5,0)=0,1,ROUND(M5/I5,0)),
IF(M5&lt;=3,IF(ROUND(M5/J5,0)=0,1,ROUND(M5/J5,0)),
IF(ROUND(M5/K5,0)=0,1,ROUND(M5/K5,0)))),"")</f>
        <v/>
      </c>
      <c r="R5" s="26">
        <f>Calculo_FlyBack_Simples!$I$9</f>
        <v>0.05</v>
      </c>
      <c r="S5" s="26" t="str">
        <f t="shared" ref="S5:S47" si="3">IF(AND(P5="Sir",P4="Não"),
IF(R5&lt;=2.5,IF(ROUND(R5/I5,0)=0,1,ROUND(R5/I5,0)),
IF(R5&lt;=3,IF(ROUND(R5/J5,0)=0,1,ROUND(R5/J5,0)),
IF(ROUND(R5/K5,0)=0,1,ROUND(R5/K5,0)))),"")</f>
        <v/>
      </c>
    </row>
    <row r="6" spans="2:19" x14ac:dyDescent="0.25">
      <c r="B6" s="26">
        <v>3</v>
      </c>
      <c r="C6" s="26">
        <v>5.8274999999999997</v>
      </c>
      <c r="D6" s="26">
        <v>1.716</v>
      </c>
      <c r="E6" s="26">
        <v>26.670999999999999</v>
      </c>
      <c r="F6" s="26">
        <v>0.64500000000000002</v>
      </c>
      <c r="G6" s="26">
        <v>239</v>
      </c>
      <c r="H6" s="26">
        <v>4.1844999999999999</v>
      </c>
      <c r="I6" s="26">
        <v>66.679000000000002</v>
      </c>
      <c r="J6" s="26">
        <v>80.013999999999996</v>
      </c>
      <c r="K6" s="26">
        <v>160.029</v>
      </c>
      <c r="L6" s="26">
        <v>0.51300000000000001</v>
      </c>
      <c r="M6" s="26">
        <f>Calculo_FlyBack_Simples!$M$17</f>
        <v>0.17933333333333332</v>
      </c>
      <c r="N6" s="26">
        <f>Calculo_FlyBack_Simples!$I$15</f>
        <v>62.5</v>
      </c>
      <c r="O6" s="26">
        <f t="shared" si="0"/>
        <v>59.375</v>
      </c>
      <c r="P6" s="26" t="str">
        <f t="shared" si="1"/>
        <v>Não</v>
      </c>
      <c r="Q6" s="26" t="str">
        <f t="shared" si="2"/>
        <v/>
      </c>
      <c r="R6" s="26">
        <f>Calculo_FlyBack_Simples!$I$9</f>
        <v>0.05</v>
      </c>
      <c r="S6" s="26" t="str">
        <f t="shared" si="3"/>
        <v/>
      </c>
    </row>
    <row r="7" spans="2:19" x14ac:dyDescent="0.25">
      <c r="B7" s="26">
        <v>4</v>
      </c>
      <c r="C7" s="26">
        <v>5.1894999999999998</v>
      </c>
      <c r="D7" s="26">
        <v>1.927</v>
      </c>
      <c r="E7" s="26">
        <v>21.152000000000001</v>
      </c>
      <c r="F7" s="26">
        <v>0.81299999999999994</v>
      </c>
      <c r="G7" s="26">
        <v>189.5</v>
      </c>
      <c r="H7" s="26">
        <v>5.2765000000000004</v>
      </c>
      <c r="I7" s="26">
        <v>52.878999999999998</v>
      </c>
      <c r="J7" s="26">
        <v>63.454999999999998</v>
      </c>
      <c r="K7" s="26">
        <v>126.91</v>
      </c>
      <c r="L7" s="26">
        <v>0.64700000000000002</v>
      </c>
      <c r="M7" s="26">
        <f>Calculo_FlyBack_Simples!$M$17</f>
        <v>0.17933333333333332</v>
      </c>
      <c r="N7" s="26">
        <f>Calculo_FlyBack_Simples!$I$15</f>
        <v>62.5</v>
      </c>
      <c r="O7" s="26">
        <f t="shared" si="0"/>
        <v>59.375</v>
      </c>
      <c r="P7" s="26" t="str">
        <f t="shared" si="1"/>
        <v>Não</v>
      </c>
      <c r="Q7" s="26" t="str">
        <f t="shared" si="2"/>
        <v/>
      </c>
      <c r="R7" s="26">
        <f>Calculo_FlyBack_Simples!$I$9</f>
        <v>0.05</v>
      </c>
      <c r="S7" s="26" t="str">
        <f t="shared" si="3"/>
        <v/>
      </c>
    </row>
    <row r="8" spans="2:19" x14ac:dyDescent="0.25">
      <c r="B8" s="26">
        <v>5</v>
      </c>
      <c r="C8" s="26">
        <v>4.6214000000000004</v>
      </c>
      <c r="D8" s="26">
        <v>2.1640000000000001</v>
      </c>
      <c r="E8" s="26">
        <v>16.774000000000001</v>
      </c>
      <c r="F8" s="26">
        <v>1.0249999999999999</v>
      </c>
      <c r="G8" s="26">
        <v>150.30000000000001</v>
      </c>
      <c r="H8" s="26">
        <v>6.6535000000000002</v>
      </c>
      <c r="I8" s="26">
        <v>41.935000000000002</v>
      </c>
      <c r="J8" s="26">
        <v>50.322000000000003</v>
      </c>
      <c r="K8" s="26">
        <v>100.645</v>
      </c>
      <c r="L8" s="26">
        <v>0.81599999999999995</v>
      </c>
      <c r="M8" s="26">
        <f>Calculo_FlyBack_Simples!$M$17</f>
        <v>0.17933333333333332</v>
      </c>
      <c r="N8" s="26">
        <f>Calculo_FlyBack_Simples!$I$15</f>
        <v>62.5</v>
      </c>
      <c r="O8" s="26">
        <f t="shared" si="0"/>
        <v>59.375</v>
      </c>
      <c r="P8" s="26" t="str">
        <f t="shared" si="1"/>
        <v>Não</v>
      </c>
      <c r="Q8" s="26" t="str">
        <f t="shared" si="2"/>
        <v/>
      </c>
      <c r="R8" s="26">
        <f>Calculo_FlyBack_Simples!$I$9</f>
        <v>0.05</v>
      </c>
      <c r="S8" s="26" t="str">
        <f t="shared" si="3"/>
        <v/>
      </c>
    </row>
    <row r="9" spans="2:19" x14ac:dyDescent="0.25">
      <c r="B9" s="26">
        <v>6</v>
      </c>
      <c r="C9" s="26">
        <v>4.1154999999999999</v>
      </c>
      <c r="D9" s="26">
        <v>2.4300000000000002</v>
      </c>
      <c r="E9" s="26">
        <v>13.303000000000001</v>
      </c>
      <c r="F9" s="26">
        <v>1.2929999999999999</v>
      </c>
      <c r="G9" s="26">
        <v>119.2</v>
      </c>
      <c r="H9" s="26">
        <v>8.3899000000000008</v>
      </c>
      <c r="I9" s="26">
        <v>33.256</v>
      </c>
      <c r="J9" s="26">
        <v>39.908000000000001</v>
      </c>
      <c r="K9" s="26">
        <v>79.814999999999998</v>
      </c>
      <c r="L9" s="26">
        <v>1.0289999999999999</v>
      </c>
      <c r="M9" s="26">
        <f>Calculo_FlyBack_Simples!$M$17</f>
        <v>0.17933333333333332</v>
      </c>
      <c r="N9" s="26">
        <f>Calculo_FlyBack_Simples!$I$15</f>
        <v>62.5</v>
      </c>
      <c r="O9" s="26">
        <f t="shared" si="0"/>
        <v>59.375</v>
      </c>
      <c r="P9" s="26" t="str">
        <f t="shared" si="1"/>
        <v>Não</v>
      </c>
      <c r="Q9" s="26" t="str">
        <f t="shared" si="2"/>
        <v/>
      </c>
      <c r="R9" s="26">
        <f>Calculo_FlyBack_Simples!$I$9</f>
        <v>0.05</v>
      </c>
      <c r="S9" s="26" t="str">
        <f t="shared" si="3"/>
        <v/>
      </c>
    </row>
    <row r="10" spans="2:19" x14ac:dyDescent="0.25">
      <c r="B10" s="26">
        <v>7</v>
      </c>
      <c r="C10" s="26">
        <v>3.665</v>
      </c>
      <c r="D10" s="26">
        <v>2.7290000000000001</v>
      </c>
      <c r="E10" s="26">
        <v>10.548999999999999</v>
      </c>
      <c r="F10" s="26">
        <v>1.63</v>
      </c>
      <c r="G10" s="26">
        <v>94.52</v>
      </c>
      <c r="H10" s="26">
        <v>10.579000000000001</v>
      </c>
      <c r="I10" s="26">
        <v>26.373999999999999</v>
      </c>
      <c r="J10" s="26">
        <v>31.648</v>
      </c>
      <c r="K10" s="26">
        <v>63.296999999999997</v>
      </c>
      <c r="L10" s="26">
        <v>1.2969999999999999</v>
      </c>
      <c r="M10" s="26">
        <f>Calculo_FlyBack_Simples!$M$17</f>
        <v>0.17933333333333332</v>
      </c>
      <c r="N10" s="26">
        <f>Calculo_FlyBack_Simples!$I$15</f>
        <v>62.5</v>
      </c>
      <c r="O10" s="26">
        <f t="shared" si="0"/>
        <v>59.375</v>
      </c>
      <c r="P10" s="26" t="str">
        <f t="shared" si="1"/>
        <v>Não</v>
      </c>
      <c r="Q10" s="26" t="str">
        <f t="shared" si="2"/>
        <v/>
      </c>
      <c r="R10" s="26">
        <f>Calculo_FlyBack_Simples!$I$9</f>
        <v>0.05</v>
      </c>
      <c r="S10" s="26" t="str">
        <f t="shared" si="3"/>
        <v/>
      </c>
    </row>
    <row r="11" spans="2:19" x14ac:dyDescent="0.25">
      <c r="B11" s="26">
        <v>8</v>
      </c>
      <c r="C11" s="26">
        <v>3.2637999999999998</v>
      </c>
      <c r="D11" s="26">
        <v>3.0640000000000001</v>
      </c>
      <c r="E11" s="26">
        <v>8.3659999999999997</v>
      </c>
      <c r="F11" s="26">
        <v>2.056</v>
      </c>
      <c r="G11" s="26">
        <v>74.959999999999994</v>
      </c>
      <c r="H11" s="26">
        <v>13.34</v>
      </c>
      <c r="I11" s="26">
        <v>20.914999999999999</v>
      </c>
      <c r="J11" s="26">
        <v>25.097999999999999</v>
      </c>
      <c r="K11" s="26">
        <v>50.197000000000003</v>
      </c>
      <c r="L11" s="26">
        <v>1.6359999999999999</v>
      </c>
      <c r="M11" s="26">
        <f>Calculo_FlyBack_Simples!$M$17</f>
        <v>0.17933333333333332</v>
      </c>
      <c r="N11" s="26">
        <f>Calculo_FlyBack_Simples!$I$15</f>
        <v>62.5</v>
      </c>
      <c r="O11" s="26">
        <f t="shared" si="0"/>
        <v>59.375</v>
      </c>
      <c r="P11" s="26" t="str">
        <f t="shared" si="1"/>
        <v>Não</v>
      </c>
      <c r="Q11" s="26" t="str">
        <f t="shared" si="2"/>
        <v/>
      </c>
      <c r="R11" s="26">
        <f>Calculo_FlyBack_Simples!$I$9</f>
        <v>0.05</v>
      </c>
      <c r="S11" s="26" t="str">
        <f t="shared" si="3"/>
        <v/>
      </c>
    </row>
    <row r="12" spans="2:19" x14ac:dyDescent="0.25">
      <c r="B12" s="26">
        <v>9</v>
      </c>
      <c r="C12" s="26">
        <v>2.9064999999999999</v>
      </c>
      <c r="D12" s="26">
        <v>3.4409999999999998</v>
      </c>
      <c r="E12" s="26">
        <v>6.6349999999999998</v>
      </c>
      <c r="F12" s="26">
        <v>2.5920000000000001</v>
      </c>
      <c r="G12" s="26">
        <v>59.45</v>
      </c>
      <c r="H12" s="26">
        <v>16.821999999999999</v>
      </c>
      <c r="I12" s="26">
        <v>16.587</v>
      </c>
      <c r="J12" s="26">
        <v>19.904</v>
      </c>
      <c r="K12" s="26">
        <v>39.808</v>
      </c>
      <c r="L12" s="26">
        <v>2.0630000000000002</v>
      </c>
      <c r="M12" s="26">
        <f>Calculo_FlyBack_Simples!$M$17</f>
        <v>0.17933333333333332</v>
      </c>
      <c r="N12" s="26">
        <f>Calculo_FlyBack_Simples!$I$15</f>
        <v>62.5</v>
      </c>
      <c r="O12" s="26">
        <f t="shared" si="0"/>
        <v>59.375</v>
      </c>
      <c r="P12" s="26" t="str">
        <f t="shared" si="1"/>
        <v>Não</v>
      </c>
      <c r="Q12" s="26" t="str">
        <f t="shared" si="2"/>
        <v/>
      </c>
      <c r="R12" s="26">
        <f>Calculo_FlyBack_Simples!$I$9</f>
        <v>0.05</v>
      </c>
      <c r="S12" s="26" t="str">
        <f t="shared" si="3"/>
        <v/>
      </c>
    </row>
    <row r="13" spans="2:19" x14ac:dyDescent="0.25">
      <c r="B13" s="26">
        <v>10</v>
      </c>
      <c r="C13" s="26">
        <v>2.5882999999999998</v>
      </c>
      <c r="D13" s="26">
        <v>3.8639999999999999</v>
      </c>
      <c r="E13" s="26">
        <v>5.2619999999999996</v>
      </c>
      <c r="F13" s="26">
        <v>3.2690000000000001</v>
      </c>
      <c r="G13" s="26">
        <v>47.14</v>
      </c>
      <c r="H13" s="26">
        <v>21.212</v>
      </c>
      <c r="I13" s="26">
        <v>13.154</v>
      </c>
      <c r="J13" s="26">
        <v>15.785</v>
      </c>
      <c r="K13" s="26">
        <v>31.57</v>
      </c>
      <c r="L13" s="26">
        <v>2.601</v>
      </c>
      <c r="M13" s="26">
        <f>Calculo_FlyBack_Simples!$M$17</f>
        <v>0.17933333333333332</v>
      </c>
      <c r="N13" s="26">
        <f>Calculo_FlyBack_Simples!$I$15</f>
        <v>62.5</v>
      </c>
      <c r="O13" s="26">
        <f t="shared" si="0"/>
        <v>59.375</v>
      </c>
      <c r="P13" s="26" t="str">
        <f t="shared" si="1"/>
        <v>Não</v>
      </c>
      <c r="Q13" s="26" t="str">
        <f t="shared" si="2"/>
        <v/>
      </c>
      <c r="R13" s="26">
        <f>Calculo_FlyBack_Simples!$I$9</f>
        <v>0.05</v>
      </c>
      <c r="S13" s="26" t="str">
        <f t="shared" si="3"/>
        <v/>
      </c>
    </row>
    <row r="14" spans="2:19" x14ac:dyDescent="0.25">
      <c r="B14" s="26">
        <v>11</v>
      </c>
      <c r="C14" s="26">
        <v>2.3050000000000002</v>
      </c>
      <c r="D14" s="26">
        <v>4.3380000000000001</v>
      </c>
      <c r="E14" s="26">
        <v>4.173</v>
      </c>
      <c r="F14" s="26">
        <v>4.1219999999999999</v>
      </c>
      <c r="G14" s="26">
        <v>37.39</v>
      </c>
      <c r="H14" s="26">
        <v>26.747</v>
      </c>
      <c r="I14" s="26">
        <v>10.432</v>
      </c>
      <c r="J14" s="26">
        <v>12.518000000000001</v>
      </c>
      <c r="K14" s="26">
        <v>25.036000000000001</v>
      </c>
      <c r="L14" s="26">
        <v>3.28</v>
      </c>
      <c r="M14" s="26">
        <f>Calculo_FlyBack_Simples!$M$17</f>
        <v>0.17933333333333332</v>
      </c>
      <c r="N14" s="26">
        <f>Calculo_FlyBack_Simples!$I$15</f>
        <v>62.5</v>
      </c>
      <c r="O14" s="26">
        <f t="shared" si="0"/>
        <v>59.375</v>
      </c>
      <c r="P14" s="26" t="str">
        <f t="shared" si="1"/>
        <v>Não</v>
      </c>
      <c r="Q14" s="26" t="str">
        <f t="shared" si="2"/>
        <v/>
      </c>
      <c r="R14" s="26">
        <f>Calculo_FlyBack_Simples!$I$9</f>
        <v>0.05</v>
      </c>
      <c r="S14" s="26" t="str">
        <f t="shared" si="3"/>
        <v/>
      </c>
    </row>
    <row r="15" spans="2:19" x14ac:dyDescent="0.25">
      <c r="B15" s="26">
        <v>12</v>
      </c>
      <c r="C15" s="26">
        <v>2.0526</v>
      </c>
      <c r="D15" s="26">
        <v>4.8719999999999999</v>
      </c>
      <c r="E15" s="26">
        <v>3.3090000000000002</v>
      </c>
      <c r="F15" s="26">
        <v>5.1980000000000004</v>
      </c>
      <c r="G15" s="26">
        <v>29.65</v>
      </c>
      <c r="H15" s="26">
        <v>33.726999999999997</v>
      </c>
      <c r="I15" s="26">
        <v>8.2729999999999997</v>
      </c>
      <c r="J15" s="26">
        <v>9.9269999999999996</v>
      </c>
      <c r="K15" s="26">
        <v>19.855</v>
      </c>
      <c r="L15" s="26">
        <v>4.1360000000000001</v>
      </c>
      <c r="M15" s="26">
        <f>Calculo_FlyBack_Simples!$M$17</f>
        <v>0.17933333333333332</v>
      </c>
      <c r="N15" s="26">
        <f>Calculo_FlyBack_Simples!$I$15</f>
        <v>62.5</v>
      </c>
      <c r="O15" s="26">
        <f t="shared" si="0"/>
        <v>59.375</v>
      </c>
      <c r="P15" s="26" t="str">
        <f t="shared" si="1"/>
        <v>Não</v>
      </c>
      <c r="Q15" s="26" t="str">
        <f t="shared" si="2"/>
        <v/>
      </c>
      <c r="R15" s="26">
        <f>Calculo_FlyBack_Simples!$I$9</f>
        <v>0.05</v>
      </c>
      <c r="S15" s="26" t="str">
        <f t="shared" si="3"/>
        <v/>
      </c>
    </row>
    <row r="16" spans="2:19" x14ac:dyDescent="0.25">
      <c r="B16" s="26">
        <v>13</v>
      </c>
      <c r="C16" s="26">
        <v>1.8279000000000001</v>
      </c>
      <c r="D16" s="26">
        <v>5.4710000000000001</v>
      </c>
      <c r="E16" s="26">
        <v>2.6240000000000001</v>
      </c>
      <c r="F16" s="26">
        <v>6.5540000000000003</v>
      </c>
      <c r="G16" s="26">
        <v>23.51</v>
      </c>
      <c r="H16" s="26">
        <v>42.529000000000003</v>
      </c>
      <c r="I16" s="26">
        <v>6.5609999999999999</v>
      </c>
      <c r="J16" s="26">
        <v>7.8730000000000002</v>
      </c>
      <c r="K16" s="26">
        <v>15.746</v>
      </c>
      <c r="L16" s="26">
        <v>5.2160000000000002</v>
      </c>
      <c r="M16" s="26">
        <f>Calculo_FlyBack_Simples!$M$17</f>
        <v>0.17933333333333332</v>
      </c>
      <c r="N16" s="26">
        <f>Calculo_FlyBack_Simples!$I$15</f>
        <v>62.5</v>
      </c>
      <c r="O16" s="26">
        <f t="shared" si="0"/>
        <v>59.375</v>
      </c>
      <c r="P16" s="26" t="str">
        <f t="shared" si="1"/>
        <v>Não</v>
      </c>
      <c r="Q16" s="26" t="str">
        <f t="shared" si="2"/>
        <v/>
      </c>
      <c r="R16" s="26">
        <f>Calculo_FlyBack_Simples!$I$9</f>
        <v>0.05</v>
      </c>
      <c r="S16" s="26" t="str">
        <f t="shared" si="3"/>
        <v/>
      </c>
    </row>
    <row r="17" spans="2:19" x14ac:dyDescent="0.25">
      <c r="B17" s="26">
        <v>14</v>
      </c>
      <c r="C17" s="26">
        <v>1.6277999999999999</v>
      </c>
      <c r="D17" s="26">
        <v>6.1429999999999998</v>
      </c>
      <c r="E17" s="26">
        <v>2.081</v>
      </c>
      <c r="F17" s="26">
        <v>8.2650000000000006</v>
      </c>
      <c r="G17" s="26">
        <v>18.649999999999999</v>
      </c>
      <c r="H17" s="26">
        <v>53.628</v>
      </c>
      <c r="I17" s="26">
        <v>5.2030000000000003</v>
      </c>
      <c r="J17" s="26">
        <v>6.2430000000000003</v>
      </c>
      <c r="K17" s="26">
        <v>12.487</v>
      </c>
      <c r="L17" s="26">
        <v>6.577</v>
      </c>
      <c r="M17" s="26">
        <f>Calculo_FlyBack_Simples!$M$17</f>
        <v>0.17933333333333332</v>
      </c>
      <c r="N17" s="26">
        <f>Calculo_FlyBack_Simples!$I$15</f>
        <v>62.5</v>
      </c>
      <c r="O17" s="26">
        <f t="shared" si="0"/>
        <v>59.375</v>
      </c>
      <c r="P17" s="26" t="str">
        <f t="shared" si="1"/>
        <v>Não</v>
      </c>
      <c r="Q17" s="26" t="str">
        <f t="shared" si="2"/>
        <v/>
      </c>
      <c r="R17" s="26">
        <f>Calculo_FlyBack_Simples!$I$9</f>
        <v>0.05</v>
      </c>
      <c r="S17" s="26" t="str">
        <f t="shared" si="3"/>
        <v/>
      </c>
    </row>
    <row r="18" spans="2:19" x14ac:dyDescent="0.25">
      <c r="B18" s="26">
        <v>15</v>
      </c>
      <c r="C18" s="26">
        <v>1.4496</v>
      </c>
      <c r="D18" s="26">
        <v>6.8979999999999997</v>
      </c>
      <c r="E18" s="26">
        <v>1.65</v>
      </c>
      <c r="F18" s="26">
        <v>10.422000000000001</v>
      </c>
      <c r="G18" s="26">
        <v>14.79</v>
      </c>
      <c r="H18" s="26">
        <v>67.623000000000005</v>
      </c>
      <c r="I18" s="26">
        <v>4.1260000000000003</v>
      </c>
      <c r="J18" s="26">
        <v>4.9509999999999996</v>
      </c>
      <c r="K18" s="26">
        <v>9.9030000000000005</v>
      </c>
      <c r="L18" s="26">
        <v>8.2929999999999993</v>
      </c>
      <c r="M18" s="26">
        <f>Calculo_FlyBack_Simples!$M$17</f>
        <v>0.17933333333333332</v>
      </c>
      <c r="N18" s="26">
        <f>Calculo_FlyBack_Simples!$I$15</f>
        <v>62.5</v>
      </c>
      <c r="O18" s="26">
        <f t="shared" si="0"/>
        <v>59.375</v>
      </c>
      <c r="P18" s="26" t="str">
        <f t="shared" si="1"/>
        <v>Não</v>
      </c>
      <c r="Q18" s="26" t="str">
        <f t="shared" si="2"/>
        <v/>
      </c>
      <c r="R18" s="26">
        <f>Calculo_FlyBack_Simples!$I$9</f>
        <v>0.05</v>
      </c>
      <c r="S18" s="26" t="str">
        <f t="shared" si="3"/>
        <v/>
      </c>
    </row>
    <row r="19" spans="2:19" x14ac:dyDescent="0.25">
      <c r="B19" s="26">
        <v>16</v>
      </c>
      <c r="C19" s="26">
        <v>1.2908999999999999</v>
      </c>
      <c r="D19" s="26">
        <v>7.7460000000000004</v>
      </c>
      <c r="E19" s="26">
        <v>1.3089999999999999</v>
      </c>
      <c r="F19" s="26">
        <v>13.141</v>
      </c>
      <c r="G19" s="26">
        <v>11.73</v>
      </c>
      <c r="H19" s="26">
        <v>85.271000000000001</v>
      </c>
      <c r="I19" s="26">
        <v>3.2719999999999998</v>
      </c>
      <c r="J19" s="26">
        <v>3.927</v>
      </c>
      <c r="K19" s="26">
        <v>7.8529999999999998</v>
      </c>
      <c r="L19" s="26">
        <v>10.457000000000001</v>
      </c>
      <c r="M19" s="26">
        <f>Calculo_FlyBack_Simples!$M$17</f>
        <v>0.17933333333333332</v>
      </c>
      <c r="N19" s="26">
        <f>Calculo_FlyBack_Simples!$I$15</f>
        <v>62.5</v>
      </c>
      <c r="O19" s="26">
        <f t="shared" si="0"/>
        <v>59.375</v>
      </c>
      <c r="P19" s="26" t="str">
        <f t="shared" si="1"/>
        <v>Não</v>
      </c>
      <c r="Q19" s="26" t="str">
        <f t="shared" si="2"/>
        <v/>
      </c>
      <c r="R19" s="26">
        <f>Calculo_FlyBack_Simples!$I$9</f>
        <v>0.05</v>
      </c>
      <c r="S19" s="26" t="str">
        <f t="shared" si="3"/>
        <v/>
      </c>
    </row>
    <row r="20" spans="2:19" x14ac:dyDescent="0.25">
      <c r="B20" s="26">
        <v>17</v>
      </c>
      <c r="C20" s="26">
        <v>1.1496</v>
      </c>
      <c r="D20" s="26">
        <v>8.6989999999999998</v>
      </c>
      <c r="E20" s="26">
        <v>1.038</v>
      </c>
      <c r="F20" s="26">
        <v>16.571000000000002</v>
      </c>
      <c r="G20" s="26">
        <v>9.3000000000000007</v>
      </c>
      <c r="H20" s="26">
        <v>107.52</v>
      </c>
      <c r="I20" s="26">
        <v>2.5950000000000002</v>
      </c>
      <c r="J20" s="26">
        <v>3.1139999999999999</v>
      </c>
      <c r="K20" s="26">
        <v>6.2279999999999998</v>
      </c>
      <c r="L20" s="26">
        <v>13.186999999999999</v>
      </c>
      <c r="M20" s="26">
        <f>Calculo_FlyBack_Simples!$M$17</f>
        <v>0.17933333333333332</v>
      </c>
      <c r="N20" s="26">
        <f>Calculo_FlyBack_Simples!$I$15</f>
        <v>62.5</v>
      </c>
      <c r="O20" s="26">
        <f t="shared" si="0"/>
        <v>59.375</v>
      </c>
      <c r="P20" s="26" t="str">
        <f t="shared" si="1"/>
        <v>Não</v>
      </c>
      <c r="Q20" s="26" t="str">
        <f t="shared" si="2"/>
        <v/>
      </c>
      <c r="R20" s="26">
        <f>Calculo_FlyBack_Simples!$I$9</f>
        <v>0.05</v>
      </c>
      <c r="S20" s="26" t="str">
        <f t="shared" si="3"/>
        <v/>
      </c>
    </row>
    <row r="21" spans="2:19" x14ac:dyDescent="0.25">
      <c r="B21" s="26">
        <v>18</v>
      </c>
      <c r="C21" s="26">
        <v>1.0238</v>
      </c>
      <c r="D21" s="26">
        <v>9.7680000000000007</v>
      </c>
      <c r="E21" s="26">
        <v>0.82299999999999995</v>
      </c>
      <c r="F21" s="26">
        <v>20.895</v>
      </c>
      <c r="G21" s="26">
        <v>7.3760000000000003</v>
      </c>
      <c r="H21" s="26">
        <v>135.58000000000001</v>
      </c>
      <c r="I21" s="26">
        <v>2.0579999999999998</v>
      </c>
      <c r="J21" s="26">
        <v>2.4689999999999999</v>
      </c>
      <c r="K21" s="26">
        <v>4.9390000000000001</v>
      </c>
      <c r="L21" s="26">
        <v>16.628</v>
      </c>
      <c r="M21" s="26">
        <f>Calculo_FlyBack_Simples!$M$17</f>
        <v>0.17933333333333332</v>
      </c>
      <c r="N21" s="26">
        <f>Calculo_FlyBack_Simples!$I$15</f>
        <v>62.5</v>
      </c>
      <c r="O21" s="26">
        <f t="shared" si="0"/>
        <v>59.375</v>
      </c>
      <c r="P21" s="26" t="str">
        <f t="shared" si="1"/>
        <v>Não</v>
      </c>
      <c r="Q21" s="26" t="str">
        <f t="shared" si="2"/>
        <v/>
      </c>
      <c r="R21" s="26">
        <f>Calculo_FlyBack_Simples!$I$9</f>
        <v>0.05</v>
      </c>
      <c r="S21" s="26" t="str">
        <f t="shared" si="3"/>
        <v/>
      </c>
    </row>
    <row r="22" spans="2:19" x14ac:dyDescent="0.25">
      <c r="B22" s="26">
        <v>19</v>
      </c>
      <c r="C22" s="26">
        <v>0.91169999999999995</v>
      </c>
      <c r="D22" s="26">
        <v>10.968999999999999</v>
      </c>
      <c r="E22" s="26">
        <v>0.65300000000000002</v>
      </c>
      <c r="F22" s="26">
        <v>26.347999999999999</v>
      </c>
      <c r="G22" s="26">
        <v>5.8490000000000002</v>
      </c>
      <c r="H22" s="26">
        <v>170.97</v>
      </c>
      <c r="I22" s="26">
        <v>1.6319999999999999</v>
      </c>
      <c r="J22" s="26">
        <v>1.958</v>
      </c>
      <c r="K22" s="26">
        <v>3.9169999999999998</v>
      </c>
      <c r="L22" s="26">
        <v>20.966999999999999</v>
      </c>
      <c r="M22" s="26">
        <f>Calculo_FlyBack_Simples!$M$17</f>
        <v>0.17933333333333332</v>
      </c>
      <c r="N22" s="26">
        <f>Calculo_FlyBack_Simples!$I$15</f>
        <v>62.5</v>
      </c>
      <c r="O22" s="26">
        <f t="shared" si="0"/>
        <v>59.375</v>
      </c>
      <c r="P22" s="26" t="str">
        <f t="shared" si="1"/>
        <v>Não</v>
      </c>
      <c r="Q22" s="26" t="str">
        <f t="shared" si="2"/>
        <v/>
      </c>
      <c r="R22" s="26">
        <f>Calculo_FlyBack_Simples!$I$9</f>
        <v>0.05</v>
      </c>
      <c r="S22" s="26" t="str">
        <f t="shared" si="3"/>
        <v/>
      </c>
    </row>
    <row r="23" spans="2:19" x14ac:dyDescent="0.25">
      <c r="B23" s="26">
        <v>20</v>
      </c>
      <c r="C23" s="26">
        <v>0.81189999999999996</v>
      </c>
      <c r="D23" s="26">
        <v>12.317</v>
      </c>
      <c r="E23" s="26">
        <v>0.51800000000000002</v>
      </c>
      <c r="F23" s="26">
        <v>33.223999999999997</v>
      </c>
      <c r="G23" s="26">
        <v>4.6390000000000002</v>
      </c>
      <c r="H23" s="26">
        <v>215.58</v>
      </c>
      <c r="I23" s="26">
        <v>1.294</v>
      </c>
      <c r="J23" s="26">
        <v>1.5529999999999999</v>
      </c>
      <c r="K23" s="26">
        <v>3.1059999999999999</v>
      </c>
      <c r="L23" s="26">
        <v>26.439</v>
      </c>
      <c r="M23" s="26">
        <f>Calculo_FlyBack_Simples!$M$17</f>
        <v>0.17933333333333332</v>
      </c>
      <c r="N23" s="26">
        <f>Calculo_FlyBack_Simples!$I$15</f>
        <v>62.5</v>
      </c>
      <c r="O23" s="26">
        <f t="shared" si="0"/>
        <v>59.375</v>
      </c>
      <c r="P23" s="26" t="str">
        <f t="shared" si="1"/>
        <v>Não</v>
      </c>
      <c r="Q23" s="26" t="str">
        <f t="shared" si="2"/>
        <v/>
      </c>
      <c r="R23" s="26">
        <f>Calculo_FlyBack_Simples!$I$9</f>
        <v>0.05</v>
      </c>
      <c r="S23" s="26" t="str">
        <f t="shared" si="3"/>
        <v/>
      </c>
    </row>
    <row r="24" spans="2:19" x14ac:dyDescent="0.25">
      <c r="B24" s="26">
        <v>21</v>
      </c>
      <c r="C24" s="26">
        <v>0.72299999999999998</v>
      </c>
      <c r="D24" s="26">
        <v>13.831</v>
      </c>
      <c r="E24" s="26">
        <v>0.41099999999999998</v>
      </c>
      <c r="F24" s="26">
        <v>41.893999999999998</v>
      </c>
      <c r="G24" s="26">
        <v>3.6789999999999998</v>
      </c>
      <c r="H24" s="26">
        <v>271.83999999999997</v>
      </c>
      <c r="I24" s="26">
        <v>1.026</v>
      </c>
      <c r="J24" s="26">
        <v>1.232</v>
      </c>
      <c r="K24" s="26">
        <v>2.4630000000000001</v>
      </c>
      <c r="L24" s="26">
        <v>33.338999999999999</v>
      </c>
      <c r="M24" s="26">
        <f>Calculo_FlyBack_Simples!$M$17</f>
        <v>0.17933333333333332</v>
      </c>
      <c r="N24" s="26">
        <f>Calculo_FlyBack_Simples!$I$15</f>
        <v>62.5</v>
      </c>
      <c r="O24" s="26">
        <f t="shared" si="0"/>
        <v>59.375</v>
      </c>
      <c r="P24" s="26" t="str">
        <f t="shared" si="1"/>
        <v>Não</v>
      </c>
      <c r="Q24" s="26" t="str">
        <f t="shared" si="2"/>
        <v/>
      </c>
      <c r="R24" s="26">
        <f>Calculo_FlyBack_Simples!$I$9</f>
        <v>0.05</v>
      </c>
      <c r="S24" s="26" t="str">
        <f t="shared" si="3"/>
        <v/>
      </c>
    </row>
    <row r="25" spans="2:19" x14ac:dyDescent="0.25">
      <c r="B25" s="26">
        <v>22</v>
      </c>
      <c r="C25" s="26">
        <v>0.64390000000000003</v>
      </c>
      <c r="D25" s="26">
        <v>15.531000000000001</v>
      </c>
      <c r="E25" s="26">
        <v>0.32600000000000001</v>
      </c>
      <c r="F25" s="26">
        <v>52.828000000000003</v>
      </c>
      <c r="G25" s="26">
        <v>2.9169999999999998</v>
      </c>
      <c r="H25" s="26">
        <v>342.79</v>
      </c>
      <c r="I25" s="26">
        <v>0.81399999999999995</v>
      </c>
      <c r="J25" s="26">
        <v>0.97699999999999998</v>
      </c>
      <c r="K25" s="26">
        <v>1.954</v>
      </c>
      <c r="L25" s="26">
        <v>42.039000000000001</v>
      </c>
      <c r="M25" s="26">
        <f>Calculo_FlyBack_Simples!$M$17</f>
        <v>0.17933333333333332</v>
      </c>
      <c r="N25" s="26">
        <f>Calculo_FlyBack_Simples!$I$15</f>
        <v>62.5</v>
      </c>
      <c r="O25" s="26">
        <f t="shared" si="0"/>
        <v>59.375</v>
      </c>
      <c r="P25" s="26" t="str">
        <f t="shared" si="1"/>
        <v>Não</v>
      </c>
      <c r="Q25" s="26" t="str">
        <f t="shared" si="2"/>
        <v/>
      </c>
      <c r="R25" s="26">
        <f>Calculo_FlyBack_Simples!$I$9</f>
        <v>0.05</v>
      </c>
      <c r="S25" s="26" t="str">
        <f t="shared" si="3"/>
        <v/>
      </c>
    </row>
    <row r="26" spans="2:19" x14ac:dyDescent="0.25">
      <c r="B26" s="26">
        <v>23</v>
      </c>
      <c r="C26" s="26">
        <v>0.57340000000000002</v>
      </c>
      <c r="D26" s="26">
        <v>17.440999999999999</v>
      </c>
      <c r="E26" s="26">
        <v>0.25800000000000001</v>
      </c>
      <c r="F26" s="26">
        <v>66.614000000000004</v>
      </c>
      <c r="G26" s="26">
        <v>2.3140000000000001</v>
      </c>
      <c r="H26" s="26">
        <v>432.24</v>
      </c>
      <c r="I26" s="26">
        <v>0.64600000000000002</v>
      </c>
      <c r="J26" s="26">
        <v>0.77500000000000002</v>
      </c>
      <c r="K26" s="26">
        <v>1.5489999999999999</v>
      </c>
      <c r="L26" s="26">
        <v>53.01</v>
      </c>
      <c r="M26" s="26">
        <f>Calculo_FlyBack_Simples!$M$17</f>
        <v>0.17933333333333332</v>
      </c>
      <c r="N26" s="26">
        <f>Calculo_FlyBack_Simples!$I$15</f>
        <v>62.5</v>
      </c>
      <c r="O26" s="26">
        <f t="shared" si="0"/>
        <v>59.375</v>
      </c>
      <c r="P26" s="26" t="str">
        <f t="shared" si="1"/>
        <v>Não</v>
      </c>
      <c r="Q26" s="26" t="str">
        <f t="shared" si="2"/>
        <v/>
      </c>
      <c r="R26" s="26">
        <f>Calculo_FlyBack_Simples!$I$9</f>
        <v>0.05</v>
      </c>
      <c r="S26" s="26" t="str">
        <f t="shared" si="3"/>
        <v/>
      </c>
    </row>
    <row r="27" spans="2:19" x14ac:dyDescent="0.25">
      <c r="B27" s="26">
        <v>24</v>
      </c>
      <c r="C27" s="26">
        <v>0.51060000000000005</v>
      </c>
      <c r="D27" s="26">
        <v>19.585000000000001</v>
      </c>
      <c r="E27" s="26">
        <v>0.20499999999999999</v>
      </c>
      <c r="F27" s="26">
        <v>83.998000000000005</v>
      </c>
      <c r="G27" s="26">
        <v>1.835</v>
      </c>
      <c r="H27" s="26">
        <v>545.04999999999995</v>
      </c>
      <c r="I27" s="26">
        <v>0.51200000000000001</v>
      </c>
      <c r="J27" s="26">
        <v>0.61399999999999999</v>
      </c>
      <c r="K27" s="26">
        <v>1.2290000000000001</v>
      </c>
      <c r="L27" s="26">
        <v>66.843999999999994</v>
      </c>
      <c r="M27" s="26">
        <f>Calculo_FlyBack_Simples!$M$17</f>
        <v>0.17933333333333332</v>
      </c>
      <c r="N27" s="26">
        <f>Calculo_FlyBack_Simples!$I$15</f>
        <v>62.5</v>
      </c>
      <c r="O27" s="26">
        <f t="shared" si="0"/>
        <v>59.375</v>
      </c>
      <c r="P27" s="26" t="str">
        <f t="shared" si="1"/>
        <v>Sim</v>
      </c>
      <c r="Q27" s="26">
        <f t="shared" si="2"/>
        <v>1</v>
      </c>
      <c r="R27" s="26">
        <f>Calculo_FlyBack_Simples!$I$9</f>
        <v>0.05</v>
      </c>
      <c r="S27" s="26" t="str">
        <f t="shared" si="3"/>
        <v/>
      </c>
    </row>
    <row r="28" spans="2:19" x14ac:dyDescent="0.25">
      <c r="B28" s="26">
        <v>25</v>
      </c>
      <c r="C28" s="26">
        <v>0.45469999999999999</v>
      </c>
      <c r="D28" s="26">
        <v>21.992000000000001</v>
      </c>
      <c r="E28" s="26">
        <v>0.16200000000000001</v>
      </c>
      <c r="F28" s="26">
        <v>105.919</v>
      </c>
      <c r="G28" s="26">
        <v>1.4550000000000001</v>
      </c>
      <c r="H28" s="26">
        <v>687.29</v>
      </c>
      <c r="I28" s="26">
        <v>0.40600000000000003</v>
      </c>
      <c r="J28" s="26">
        <v>0.48699999999999999</v>
      </c>
      <c r="K28" s="26">
        <v>0.97399999999999998</v>
      </c>
      <c r="L28" s="26">
        <v>84.287999999999997</v>
      </c>
      <c r="M28" s="26">
        <f>Calculo_FlyBack_Simples!$M$17</f>
        <v>0.17933333333333332</v>
      </c>
      <c r="N28" s="26">
        <f>Calculo_FlyBack_Simples!$I$15</f>
        <v>62.5</v>
      </c>
      <c r="O28" s="26">
        <f t="shared" si="0"/>
        <v>59.375</v>
      </c>
      <c r="P28" s="26" t="str">
        <f t="shared" si="1"/>
        <v>Sim</v>
      </c>
      <c r="Q28" s="26" t="str">
        <f t="shared" si="2"/>
        <v/>
      </c>
      <c r="R28" s="26">
        <f>Calculo_FlyBack_Simples!$I$9</f>
        <v>0.05</v>
      </c>
      <c r="S28" s="26" t="str">
        <f t="shared" si="3"/>
        <v/>
      </c>
    </row>
    <row r="29" spans="2:19" x14ac:dyDescent="0.25">
      <c r="B29" s="26">
        <v>26</v>
      </c>
      <c r="C29" s="26">
        <v>0.40489999999999998</v>
      </c>
      <c r="D29" s="26">
        <v>24.696000000000002</v>
      </c>
      <c r="E29" s="26">
        <v>0.129</v>
      </c>
      <c r="F29" s="26">
        <v>133.56</v>
      </c>
      <c r="G29" s="26">
        <v>1.1539999999999999</v>
      </c>
      <c r="H29" s="26">
        <v>866.65</v>
      </c>
      <c r="I29" s="26">
        <v>0.32200000000000001</v>
      </c>
      <c r="J29" s="26">
        <v>0.38600000000000001</v>
      </c>
      <c r="K29" s="26">
        <v>0.77300000000000002</v>
      </c>
      <c r="L29" s="26">
        <v>106.28400000000001</v>
      </c>
      <c r="M29" s="26">
        <f>Calculo_FlyBack_Simples!$M$17</f>
        <v>0.17933333333333332</v>
      </c>
      <c r="N29" s="26">
        <f>Calculo_FlyBack_Simples!$I$15</f>
        <v>62.5</v>
      </c>
      <c r="O29" s="26">
        <f t="shared" si="0"/>
        <v>59.375</v>
      </c>
      <c r="P29" s="26" t="str">
        <f t="shared" si="1"/>
        <v>Sim</v>
      </c>
      <c r="Q29" s="26" t="str">
        <f t="shared" si="2"/>
        <v/>
      </c>
      <c r="R29" s="26">
        <f>Calculo_FlyBack_Simples!$I$9</f>
        <v>0.05</v>
      </c>
      <c r="S29" s="26" t="str">
        <f t="shared" si="3"/>
        <v/>
      </c>
    </row>
    <row r="30" spans="2:19" x14ac:dyDescent="0.25">
      <c r="B30" s="26">
        <v>27</v>
      </c>
      <c r="C30" s="26">
        <v>0.36059999999999998</v>
      </c>
      <c r="D30" s="26">
        <v>27.731000000000002</v>
      </c>
      <c r="E30" s="26">
        <v>0.10199999999999999</v>
      </c>
      <c r="F30" s="26">
        <v>168.41499999999999</v>
      </c>
      <c r="G30" s="26">
        <v>0.91510000000000002</v>
      </c>
      <c r="H30" s="26">
        <v>1092.8</v>
      </c>
      <c r="I30" s="26">
        <v>0.255</v>
      </c>
      <c r="J30" s="26">
        <v>0.30599999999999999</v>
      </c>
      <c r="K30" s="26">
        <v>0.61299999999999999</v>
      </c>
      <c r="L30" s="26">
        <v>134.02099999999999</v>
      </c>
      <c r="M30" s="26">
        <f>Calculo_FlyBack_Simples!$M$17</f>
        <v>0.17933333333333332</v>
      </c>
      <c r="N30" s="26">
        <f>Calculo_FlyBack_Simples!$I$15</f>
        <v>62.5</v>
      </c>
      <c r="O30" s="26">
        <f t="shared" si="0"/>
        <v>59.375</v>
      </c>
      <c r="P30" s="26" t="str">
        <f t="shared" si="1"/>
        <v>Sim</v>
      </c>
      <c r="Q30" s="26" t="str">
        <f t="shared" si="2"/>
        <v/>
      </c>
      <c r="R30" s="26">
        <f>Calculo_FlyBack_Simples!$I$9</f>
        <v>0.05</v>
      </c>
      <c r="S30" s="26" t="str">
        <f t="shared" si="3"/>
        <v/>
      </c>
    </row>
    <row r="31" spans="2:19" x14ac:dyDescent="0.25">
      <c r="B31" s="26">
        <v>28</v>
      </c>
      <c r="C31" s="26">
        <v>0.3211</v>
      </c>
      <c r="D31" s="26">
        <v>31.14</v>
      </c>
      <c r="E31" s="26">
        <v>8.1000000000000003E-2</v>
      </c>
      <c r="F31" s="26">
        <v>212.36699999999999</v>
      </c>
      <c r="G31" s="26">
        <v>0.72570000000000001</v>
      </c>
      <c r="H31" s="26">
        <v>1378</v>
      </c>
      <c r="I31" s="26">
        <v>0.20200000000000001</v>
      </c>
      <c r="J31" s="26">
        <v>0.24299999999999999</v>
      </c>
      <c r="K31" s="26">
        <v>0.48599999999999999</v>
      </c>
      <c r="L31" s="26">
        <v>168.99600000000001</v>
      </c>
      <c r="M31" s="26">
        <f>Calculo_FlyBack_Simples!$M$17</f>
        <v>0.17933333333333332</v>
      </c>
      <c r="N31" s="26">
        <f>Calculo_FlyBack_Simples!$I$15</f>
        <v>62.5</v>
      </c>
      <c r="O31" s="26">
        <f t="shared" si="0"/>
        <v>59.375</v>
      </c>
      <c r="P31" s="26" t="str">
        <f t="shared" si="1"/>
        <v>Sim</v>
      </c>
      <c r="Q31" s="26" t="str">
        <f t="shared" si="2"/>
        <v/>
      </c>
      <c r="R31" s="26">
        <f>Calculo_FlyBack_Simples!$I$9</f>
        <v>0.05</v>
      </c>
      <c r="S31" s="26" t="str">
        <f t="shared" si="3"/>
        <v/>
      </c>
    </row>
    <row r="32" spans="2:19" x14ac:dyDescent="0.25">
      <c r="B32" s="26">
        <v>29</v>
      </c>
      <c r="C32" s="26">
        <v>0.28599999999999998</v>
      </c>
      <c r="D32" s="26">
        <v>34.968000000000004</v>
      </c>
      <c r="E32" s="26">
        <v>6.4199999999999993E-2</v>
      </c>
      <c r="F32" s="26">
        <v>267.78800000000001</v>
      </c>
      <c r="G32" s="26">
        <v>0.57550000000000001</v>
      </c>
      <c r="H32" s="26">
        <v>1737.6</v>
      </c>
      <c r="I32" s="26">
        <v>0.161</v>
      </c>
      <c r="J32" s="26">
        <v>0.193</v>
      </c>
      <c r="K32" s="26">
        <v>0.38500000000000001</v>
      </c>
      <c r="L32" s="26">
        <v>213.09899999999999</v>
      </c>
      <c r="M32" s="26">
        <f>Calculo_FlyBack_Simples!$M$17</f>
        <v>0.17933333333333332</v>
      </c>
      <c r="N32" s="26">
        <f>Calculo_FlyBack_Simples!$I$15</f>
        <v>62.5</v>
      </c>
      <c r="O32" s="26">
        <f t="shared" si="0"/>
        <v>59.375</v>
      </c>
      <c r="P32" s="26" t="str">
        <f t="shared" si="1"/>
        <v>Sim</v>
      </c>
      <c r="Q32" s="26" t="str">
        <f t="shared" si="2"/>
        <v/>
      </c>
      <c r="R32" s="26">
        <f>Calculo_FlyBack_Simples!$I$9</f>
        <v>0.05</v>
      </c>
      <c r="S32" s="26" t="str">
        <f t="shared" si="3"/>
        <v/>
      </c>
    </row>
    <row r="33" spans="2:19" x14ac:dyDescent="0.25">
      <c r="B33" s="26">
        <v>30</v>
      </c>
      <c r="C33" s="26">
        <v>0.25469999999999998</v>
      </c>
      <c r="D33" s="26">
        <v>39.267000000000003</v>
      </c>
      <c r="E33" s="26">
        <v>5.0900000000000001E-2</v>
      </c>
      <c r="F33" s="26">
        <v>337.67200000000003</v>
      </c>
      <c r="G33" s="26">
        <v>0.45639999999999997</v>
      </c>
      <c r="H33" s="26">
        <v>2191.1</v>
      </c>
      <c r="I33" s="26">
        <v>0.127</v>
      </c>
      <c r="J33" s="26">
        <v>0.153</v>
      </c>
      <c r="K33" s="26">
        <v>0.30599999999999999</v>
      </c>
      <c r="L33" s="26">
        <v>268.71100000000001</v>
      </c>
      <c r="M33" s="26">
        <f>Calculo_FlyBack_Simples!$M$17</f>
        <v>0.17933333333333332</v>
      </c>
      <c r="N33" s="26">
        <f>Calculo_FlyBack_Simples!$I$15</f>
        <v>62.5</v>
      </c>
      <c r="O33" s="26">
        <f t="shared" si="0"/>
        <v>59.375</v>
      </c>
      <c r="P33" s="26" t="str">
        <f t="shared" si="1"/>
        <v>Sim</v>
      </c>
      <c r="Q33" s="26" t="str">
        <f t="shared" si="2"/>
        <v/>
      </c>
      <c r="R33" s="26">
        <f>Calculo_FlyBack_Simples!$I$9</f>
        <v>0.05</v>
      </c>
      <c r="S33" s="26" t="str">
        <f t="shared" si="3"/>
        <v/>
      </c>
    </row>
    <row r="34" spans="2:19" x14ac:dyDescent="0.25">
      <c r="B34" s="26">
        <v>31</v>
      </c>
      <c r="C34" s="26">
        <v>0.2268</v>
      </c>
      <c r="D34" s="26">
        <v>44.094000000000001</v>
      </c>
      <c r="E34" s="26">
        <v>4.0399999999999998E-2</v>
      </c>
      <c r="F34" s="26">
        <v>425.79300000000001</v>
      </c>
      <c r="G34" s="26">
        <v>0.3619</v>
      </c>
      <c r="H34" s="26">
        <v>2762.9</v>
      </c>
      <c r="I34" s="26">
        <v>0.10100000000000001</v>
      </c>
      <c r="J34" s="26">
        <v>0.121</v>
      </c>
      <c r="K34" s="26">
        <v>0.24199999999999999</v>
      </c>
      <c r="L34" s="26">
        <v>338.83600000000001</v>
      </c>
      <c r="M34" s="26">
        <f>Calculo_FlyBack_Simples!$M$17</f>
        <v>0.17933333333333332</v>
      </c>
      <c r="N34" s="26">
        <f>Calculo_FlyBack_Simples!$I$15</f>
        <v>62.5</v>
      </c>
      <c r="O34" s="26">
        <f t="shared" si="0"/>
        <v>59.375</v>
      </c>
      <c r="P34" s="26" t="str">
        <f t="shared" si="1"/>
        <v>Sim</v>
      </c>
      <c r="Q34" s="26" t="str">
        <f t="shared" si="2"/>
        <v/>
      </c>
      <c r="R34" s="26">
        <f>Calculo_FlyBack_Simples!$I$9</f>
        <v>0.05</v>
      </c>
      <c r="S34" s="26" t="str">
        <f t="shared" si="3"/>
        <v/>
      </c>
    </row>
    <row r="35" spans="2:19" x14ac:dyDescent="0.25">
      <c r="B35" s="26">
        <v>32</v>
      </c>
      <c r="C35" s="26">
        <v>0.20200000000000001</v>
      </c>
      <c r="D35" s="26">
        <v>49.514000000000003</v>
      </c>
      <c r="E35" s="26">
        <v>3.2000000000000001E-2</v>
      </c>
      <c r="F35" s="26">
        <v>536.91200000000003</v>
      </c>
      <c r="G35" s="26">
        <v>0.28699999999999998</v>
      </c>
      <c r="H35" s="26">
        <v>3483.9</v>
      </c>
      <c r="I35" s="26">
        <v>8.0100000000000005E-2</v>
      </c>
      <c r="J35" s="26">
        <v>9.6100000000000005E-2</v>
      </c>
      <c r="K35" s="26">
        <v>0.192</v>
      </c>
      <c r="L35" s="26">
        <v>427.26100000000002</v>
      </c>
      <c r="M35" s="26">
        <f>Calculo_FlyBack_Simples!$M$17</f>
        <v>0.17933333333333332</v>
      </c>
      <c r="N35" s="26">
        <f>Calculo_FlyBack_Simples!$I$15</f>
        <v>62.5</v>
      </c>
      <c r="O35" s="26">
        <f t="shared" si="0"/>
        <v>59.375</v>
      </c>
      <c r="P35" s="26" t="str">
        <f t="shared" si="1"/>
        <v>Sim</v>
      </c>
      <c r="Q35" s="26" t="str">
        <f t="shared" si="2"/>
        <v/>
      </c>
      <c r="R35" s="26">
        <f>Calculo_FlyBack_Simples!$I$9</f>
        <v>0.05</v>
      </c>
      <c r="S35" s="26" t="str">
        <f t="shared" si="3"/>
        <v/>
      </c>
    </row>
    <row r="36" spans="2:19" x14ac:dyDescent="0.25">
      <c r="B36" s="26">
        <v>33</v>
      </c>
      <c r="C36" s="26">
        <v>0.1799</v>
      </c>
      <c r="D36" s="26">
        <v>55.600999999999999</v>
      </c>
      <c r="E36" s="26">
        <v>2.5399999999999999E-2</v>
      </c>
      <c r="F36" s="26">
        <v>677.029</v>
      </c>
      <c r="G36" s="26">
        <v>0.2276</v>
      </c>
      <c r="H36" s="26">
        <v>4393.1000000000004</v>
      </c>
      <c r="I36" s="26">
        <v>6.3500000000000001E-2</v>
      </c>
      <c r="J36" s="26">
        <v>7.6200000000000004E-2</v>
      </c>
      <c r="K36" s="26">
        <v>0.152</v>
      </c>
      <c r="L36" s="26">
        <v>538.76300000000003</v>
      </c>
      <c r="M36" s="26">
        <f>Calculo_FlyBack_Simples!$M$17</f>
        <v>0.17933333333333332</v>
      </c>
      <c r="N36" s="26">
        <f>Calculo_FlyBack_Simples!$I$15</f>
        <v>62.5</v>
      </c>
      <c r="O36" s="26">
        <f t="shared" si="0"/>
        <v>59.375</v>
      </c>
      <c r="P36" s="26" t="str">
        <f t="shared" si="1"/>
        <v>Sim</v>
      </c>
      <c r="Q36" s="26" t="str">
        <f t="shared" si="2"/>
        <v/>
      </c>
      <c r="R36" s="26">
        <f>Calculo_FlyBack_Simples!$I$9</f>
        <v>0.05</v>
      </c>
      <c r="S36" s="26" t="str">
        <f t="shared" si="3"/>
        <v/>
      </c>
    </row>
    <row r="37" spans="2:19" x14ac:dyDescent="0.25">
      <c r="B37" s="26">
        <v>34</v>
      </c>
      <c r="C37" s="26">
        <v>0.16020000000000001</v>
      </c>
      <c r="D37" s="26">
        <v>62.436</v>
      </c>
      <c r="E37" s="26">
        <v>2.01E-2</v>
      </c>
      <c r="F37" s="26">
        <v>853.71199999999999</v>
      </c>
      <c r="G37" s="26">
        <v>0.18049999999999999</v>
      </c>
      <c r="H37" s="26">
        <v>5539.6</v>
      </c>
      <c r="I37" s="26">
        <v>5.04E-2</v>
      </c>
      <c r="J37" s="26">
        <v>6.0400000000000002E-2</v>
      </c>
      <c r="K37" s="26">
        <v>0.121</v>
      </c>
      <c r="L37" s="26">
        <v>679.36300000000006</v>
      </c>
      <c r="M37" s="26">
        <f>Calculo_FlyBack_Simples!$M$17</f>
        <v>0.17933333333333332</v>
      </c>
      <c r="N37" s="26">
        <f>Calculo_FlyBack_Simples!$I$15</f>
        <v>62.5</v>
      </c>
      <c r="O37" s="26">
        <f t="shared" si="0"/>
        <v>59.375</v>
      </c>
      <c r="P37" s="26" t="str">
        <f t="shared" si="1"/>
        <v>Sim</v>
      </c>
      <c r="Q37" s="26" t="str">
        <f t="shared" si="2"/>
        <v/>
      </c>
      <c r="R37" s="26">
        <f>Calculo_FlyBack_Simples!$I$9</f>
        <v>0.05</v>
      </c>
      <c r="S37" s="26" t="str">
        <f t="shared" si="3"/>
        <v/>
      </c>
    </row>
    <row r="38" spans="2:19" x14ac:dyDescent="0.25">
      <c r="B38" s="26">
        <v>35</v>
      </c>
      <c r="C38" s="26">
        <v>0.1426</v>
      </c>
      <c r="D38" s="26">
        <v>70.111000000000004</v>
      </c>
      <c r="E38" s="26">
        <v>1.6E-2</v>
      </c>
      <c r="F38" s="26">
        <v>1076.5039999999999</v>
      </c>
      <c r="G38" s="26">
        <v>0.14319999999999999</v>
      </c>
      <c r="H38" s="26">
        <v>6985.2</v>
      </c>
      <c r="I38" s="26">
        <v>3.9899999999999998E-2</v>
      </c>
      <c r="J38" s="26">
        <v>4.7899999999999998E-2</v>
      </c>
      <c r="K38" s="26">
        <v>9.5899999999999999E-2</v>
      </c>
      <c r="L38" s="26">
        <v>856.65499999999997</v>
      </c>
      <c r="M38" s="26">
        <f>Calculo_FlyBack_Simples!$M$17</f>
        <v>0.17933333333333332</v>
      </c>
      <c r="N38" s="26">
        <f>Calculo_FlyBack_Simples!$I$15</f>
        <v>62.5</v>
      </c>
      <c r="O38" s="26">
        <f t="shared" si="0"/>
        <v>59.375</v>
      </c>
      <c r="P38" s="26" t="str">
        <f t="shared" si="1"/>
        <v>Sim</v>
      </c>
      <c r="Q38" s="26" t="str">
        <f t="shared" si="2"/>
        <v/>
      </c>
      <c r="R38" s="26">
        <f>Calculo_FlyBack_Simples!$I$9</f>
        <v>0.05</v>
      </c>
      <c r="S38" s="26" t="str">
        <f t="shared" si="3"/>
        <v/>
      </c>
    </row>
    <row r="39" spans="2:19" x14ac:dyDescent="0.25">
      <c r="B39" s="26">
        <v>36</v>
      </c>
      <c r="C39" s="26">
        <v>0.127</v>
      </c>
      <c r="D39" s="26">
        <v>78.73</v>
      </c>
      <c r="E39" s="26">
        <v>1.2699999999999999E-2</v>
      </c>
      <c r="F39" s="26">
        <v>1357.4369999999999</v>
      </c>
      <c r="G39" s="26">
        <v>0.1135</v>
      </c>
      <c r="H39" s="26">
        <v>8808.1</v>
      </c>
      <c r="I39" s="26">
        <v>3.1699999999999999E-2</v>
      </c>
      <c r="J39" s="26">
        <v>3.7999999999999999E-2</v>
      </c>
      <c r="K39" s="26">
        <v>7.5999999999999998E-2</v>
      </c>
      <c r="L39" s="26">
        <v>1080.2149999999999</v>
      </c>
      <c r="M39" s="26">
        <f>Calculo_FlyBack_Simples!$M$17</f>
        <v>0.17933333333333332</v>
      </c>
      <c r="N39" s="26">
        <f>Calculo_FlyBack_Simples!$I$15</f>
        <v>62.5</v>
      </c>
      <c r="O39" s="26">
        <f t="shared" si="0"/>
        <v>59.375</v>
      </c>
      <c r="P39" s="26" t="str">
        <f t="shared" si="1"/>
        <v>Sim</v>
      </c>
      <c r="Q39" s="26" t="str">
        <f t="shared" si="2"/>
        <v/>
      </c>
      <c r="R39" s="26">
        <f>Calculo_FlyBack_Simples!$I$9</f>
        <v>0.05</v>
      </c>
      <c r="S39" s="26" t="str">
        <f t="shared" si="3"/>
        <v/>
      </c>
    </row>
    <row r="40" spans="2:19" x14ac:dyDescent="0.25">
      <c r="B40" s="26">
        <v>37</v>
      </c>
      <c r="C40" s="26">
        <v>0.11310000000000001</v>
      </c>
      <c r="D40" s="26">
        <v>88.408000000000001</v>
      </c>
      <c r="E40" s="26">
        <v>0.01</v>
      </c>
      <c r="F40" s="26">
        <v>1711.6859999999999</v>
      </c>
      <c r="G40" s="26">
        <v>9.0039999999999995E-2</v>
      </c>
      <c r="H40" s="26">
        <v>11106.8</v>
      </c>
      <c r="I40" s="26">
        <v>2.5100000000000001E-2</v>
      </c>
      <c r="J40" s="26">
        <v>3.0099999999999998E-2</v>
      </c>
      <c r="K40" s="26">
        <v>6.0299999999999999E-2</v>
      </c>
      <c r="L40" s="26">
        <v>1362.116</v>
      </c>
      <c r="M40" s="26">
        <f>Calculo_FlyBack_Simples!$M$17</f>
        <v>0.17933333333333332</v>
      </c>
      <c r="N40" s="26">
        <f>Calculo_FlyBack_Simples!$I$15</f>
        <v>62.5</v>
      </c>
      <c r="O40" s="26">
        <f t="shared" si="0"/>
        <v>59.375</v>
      </c>
      <c r="P40" s="26" t="str">
        <f t="shared" si="1"/>
        <v>Sim</v>
      </c>
      <c r="Q40" s="26" t="str">
        <f t="shared" si="2"/>
        <v/>
      </c>
      <c r="R40" s="26">
        <f>Calculo_FlyBack_Simples!$I$9</f>
        <v>0.05</v>
      </c>
      <c r="S40" s="26" t="str">
        <f t="shared" si="3"/>
        <v/>
      </c>
    </row>
    <row r="41" spans="2:19" x14ac:dyDescent="0.25">
      <c r="B41" s="26">
        <v>38</v>
      </c>
      <c r="C41" s="26">
        <v>0.1007</v>
      </c>
      <c r="D41" s="26">
        <v>99.275999999999996</v>
      </c>
      <c r="E41" s="26">
        <v>7.9699999999999997E-3</v>
      </c>
      <c r="F41" s="26">
        <v>2158.3809999999999</v>
      </c>
      <c r="G41" s="26">
        <v>7.1400000000000005E-2</v>
      </c>
      <c r="H41" s="26">
        <v>14005.3</v>
      </c>
      <c r="I41" s="26">
        <v>1.9900000000000001E-2</v>
      </c>
      <c r="J41" s="26">
        <v>2.3900000000000001E-2</v>
      </c>
      <c r="K41" s="26">
        <v>4.7800000000000002E-2</v>
      </c>
      <c r="L41" s="26">
        <v>1717.586</v>
      </c>
      <c r="M41" s="26">
        <f>Calculo_FlyBack_Simples!$M$17</f>
        <v>0.17933333333333332</v>
      </c>
      <c r="N41" s="26">
        <f>Calculo_FlyBack_Simples!$I$15</f>
        <v>62.5</v>
      </c>
      <c r="O41" s="26">
        <f t="shared" si="0"/>
        <v>59.375</v>
      </c>
      <c r="P41" s="26" t="str">
        <f t="shared" si="1"/>
        <v>Sim</v>
      </c>
      <c r="Q41" s="26" t="str">
        <f t="shared" si="2"/>
        <v/>
      </c>
      <c r="R41" s="26">
        <f>Calculo_FlyBack_Simples!$I$9</f>
        <v>0.05</v>
      </c>
      <c r="S41" s="26" t="str">
        <f t="shared" si="3"/>
        <v/>
      </c>
    </row>
    <row r="42" spans="2:19" x14ac:dyDescent="0.25">
      <c r="B42" s="26">
        <v>39</v>
      </c>
      <c r="C42" s="26">
        <v>8.9700000000000002E-2</v>
      </c>
      <c r="D42" s="26">
        <v>111.48</v>
      </c>
      <c r="E42" s="26">
        <v>6.3200000000000001E-3</v>
      </c>
      <c r="F42" s="26">
        <v>2721.6509999999998</v>
      </c>
      <c r="G42" s="26">
        <v>5.6619999999999997E-2</v>
      </c>
      <c r="H42" s="26">
        <v>17660.2</v>
      </c>
      <c r="I42" s="26">
        <v>1.5800000000000002E-2</v>
      </c>
      <c r="J42" s="26">
        <v>1.9E-2</v>
      </c>
      <c r="K42" s="26">
        <v>3.7900000000000003E-2</v>
      </c>
      <c r="L42" s="26">
        <v>2165.8209999999999</v>
      </c>
      <c r="M42" s="26">
        <f>Calculo_FlyBack_Simples!$M$17</f>
        <v>0.17933333333333332</v>
      </c>
      <c r="N42" s="26">
        <f>Calculo_FlyBack_Simples!$I$15</f>
        <v>62.5</v>
      </c>
      <c r="O42" s="26">
        <f t="shared" si="0"/>
        <v>59.375</v>
      </c>
      <c r="P42" s="26" t="str">
        <f t="shared" si="1"/>
        <v>Sim</v>
      </c>
      <c r="Q42" s="26" t="str">
        <f t="shared" si="2"/>
        <v/>
      </c>
      <c r="R42" s="26">
        <f>Calculo_FlyBack_Simples!$I$9</f>
        <v>0.05</v>
      </c>
      <c r="S42" s="26" t="str">
        <f t="shared" si="3"/>
        <v/>
      </c>
    </row>
    <row r="43" spans="2:19" x14ac:dyDescent="0.25">
      <c r="B43" s="26">
        <v>40</v>
      </c>
      <c r="C43" s="26">
        <v>7.9880000000000007E-2</v>
      </c>
      <c r="D43" s="26">
        <v>125.184</v>
      </c>
      <c r="E43" s="26">
        <v>5.0099999999999997E-3</v>
      </c>
      <c r="F43" s="26">
        <v>3431.9160000000002</v>
      </c>
      <c r="G43" s="26">
        <v>4.4909999999999999E-2</v>
      </c>
      <c r="H43" s="26">
        <v>22269</v>
      </c>
      <c r="I43" s="26">
        <v>1.2500000000000001E-2</v>
      </c>
      <c r="J43" s="26">
        <v>1.4999999999999999E-2</v>
      </c>
      <c r="K43" s="26">
        <v>3.0099999999999998E-2</v>
      </c>
      <c r="L43" s="26">
        <v>2731.0320000000002</v>
      </c>
      <c r="M43" s="26">
        <f>Calculo_FlyBack_Simples!$M$17</f>
        <v>0.17933333333333332</v>
      </c>
      <c r="N43" s="26">
        <f>Calculo_FlyBack_Simples!$I$15</f>
        <v>62.5</v>
      </c>
      <c r="O43" s="26">
        <f t="shared" si="0"/>
        <v>59.375</v>
      </c>
      <c r="P43" s="26" t="str">
        <f t="shared" si="1"/>
        <v>Sim</v>
      </c>
      <c r="Q43" s="26" t="str">
        <f t="shared" si="2"/>
        <v/>
      </c>
      <c r="R43" s="26">
        <f>Calculo_FlyBack_Simples!$I$9</f>
        <v>0.05</v>
      </c>
      <c r="S43" s="26" t="str">
        <f t="shared" si="3"/>
        <v/>
      </c>
    </row>
    <row r="44" spans="2:19" x14ac:dyDescent="0.25">
      <c r="B44" s="26">
        <v>41</v>
      </c>
      <c r="C44" s="26">
        <v>7.1139999999999995E-2</v>
      </c>
      <c r="D44" s="26">
        <v>140.57300000000001</v>
      </c>
      <c r="E44" s="26">
        <v>3.9699999999999996E-3</v>
      </c>
      <c r="F44" s="26">
        <v>4327.5370000000003</v>
      </c>
      <c r="G44" s="26">
        <v>3.5610000000000003E-2</v>
      </c>
      <c r="H44" s="26">
        <v>28080.5</v>
      </c>
      <c r="I44" s="26">
        <v>9.9399999999999992E-3</v>
      </c>
      <c r="J44" s="26">
        <v>1.1900000000000001E-2</v>
      </c>
      <c r="K44" s="26">
        <v>2.3800000000000002E-2</v>
      </c>
      <c r="L44" s="26">
        <v>3443.7449999999999</v>
      </c>
      <c r="M44" s="26">
        <f>Calculo_FlyBack_Simples!$M$17</f>
        <v>0.17933333333333332</v>
      </c>
      <c r="N44" s="26">
        <f>Calculo_FlyBack_Simples!$I$15</f>
        <v>62.5</v>
      </c>
      <c r="O44" s="26">
        <f t="shared" si="0"/>
        <v>59.375</v>
      </c>
      <c r="P44" s="26" t="str">
        <f t="shared" si="1"/>
        <v>Sim</v>
      </c>
      <c r="Q44" s="26" t="str">
        <f t="shared" si="2"/>
        <v/>
      </c>
      <c r="R44" s="26">
        <f>Calculo_FlyBack_Simples!$I$9</f>
        <v>0.05</v>
      </c>
      <c r="S44" s="26" t="str">
        <f t="shared" si="3"/>
        <v/>
      </c>
    </row>
    <row r="45" spans="2:19" x14ac:dyDescent="0.25">
      <c r="B45" s="26">
        <v>42</v>
      </c>
      <c r="C45" s="26">
        <v>6.3350000000000004E-2</v>
      </c>
      <c r="D45" s="26">
        <v>157.85300000000001</v>
      </c>
      <c r="E45" s="26">
        <v>3.15E-3</v>
      </c>
      <c r="F45" s="26">
        <v>5456.8879999999999</v>
      </c>
      <c r="G45" s="26">
        <v>2.8240000000000001E-2</v>
      </c>
      <c r="H45" s="26">
        <v>35408.6</v>
      </c>
      <c r="I45" s="26">
        <v>7.8799999999999999E-3</v>
      </c>
      <c r="J45" s="26">
        <v>9.4599999999999997E-3</v>
      </c>
      <c r="K45" s="26">
        <v>1.89E-2</v>
      </c>
      <c r="L45" s="26">
        <v>4342.4539999999997</v>
      </c>
      <c r="M45" s="26">
        <f>Calculo_FlyBack_Simples!$M$17</f>
        <v>0.17933333333333332</v>
      </c>
      <c r="N45" s="26">
        <f>Calculo_FlyBack_Simples!$I$15</f>
        <v>62.5</v>
      </c>
      <c r="O45" s="26">
        <f t="shared" si="0"/>
        <v>59.375</v>
      </c>
      <c r="P45" s="26" t="str">
        <f t="shared" si="1"/>
        <v>Sim</v>
      </c>
      <c r="Q45" s="26" t="str">
        <f t="shared" si="2"/>
        <v/>
      </c>
      <c r="R45" s="26">
        <f>Calculo_FlyBack_Simples!$I$9</f>
        <v>0.05</v>
      </c>
      <c r="S45" s="26" t="str">
        <f t="shared" si="3"/>
        <v/>
      </c>
    </row>
    <row r="46" spans="2:19" x14ac:dyDescent="0.25">
      <c r="B46" s="26">
        <v>43</v>
      </c>
      <c r="C46" s="26">
        <v>5.6419999999999998E-2</v>
      </c>
      <c r="D46" s="26">
        <v>177.25800000000001</v>
      </c>
      <c r="E46" s="26">
        <v>2.5000000000000001E-3</v>
      </c>
      <c r="F46" s="26">
        <v>6880.9629999999997</v>
      </c>
      <c r="G46" s="26">
        <v>2.24E-2</v>
      </c>
      <c r="H46" s="26">
        <v>44649.1</v>
      </c>
      <c r="I46" s="26">
        <v>6.2500000000000003E-3</v>
      </c>
      <c r="J46" s="26">
        <v>7.4999999999999997E-3</v>
      </c>
      <c r="K46" s="26">
        <v>1.4999999999999999E-2</v>
      </c>
      <c r="L46" s="26">
        <v>5475.6970000000001</v>
      </c>
      <c r="M46" s="26">
        <f>Calculo_FlyBack_Simples!$M$17</f>
        <v>0.17933333333333332</v>
      </c>
      <c r="N46" s="26">
        <f>Calculo_FlyBack_Simples!$I$15</f>
        <v>62.5</v>
      </c>
      <c r="O46" s="26">
        <f t="shared" si="0"/>
        <v>59.375</v>
      </c>
      <c r="P46" s="26" t="str">
        <f t="shared" si="1"/>
        <v>Sim</v>
      </c>
      <c r="Q46" s="26" t="str">
        <f t="shared" si="2"/>
        <v/>
      </c>
      <c r="R46" s="26">
        <f>Calculo_FlyBack_Simples!$I$9</f>
        <v>0.05</v>
      </c>
      <c r="S46" s="26" t="str">
        <f t="shared" si="3"/>
        <v/>
      </c>
    </row>
    <row r="47" spans="2:19" x14ac:dyDescent="0.25">
      <c r="B47" s="26">
        <v>44</v>
      </c>
      <c r="C47" s="26">
        <v>5.024E-2</v>
      </c>
      <c r="D47" s="26">
        <v>199.048</v>
      </c>
      <c r="E47" s="26">
        <v>1.98E-3</v>
      </c>
      <c r="F47" s="26">
        <v>8676.6769999999997</v>
      </c>
      <c r="G47" s="26">
        <v>1.7760000000000001E-2</v>
      </c>
      <c r="H47" s="26">
        <v>56301.1</v>
      </c>
      <c r="I47" s="26">
        <v>4.96E-3</v>
      </c>
      <c r="J47" s="26">
        <v>5.9500000000000004E-3</v>
      </c>
      <c r="K47" s="26">
        <v>1.1900000000000001E-2</v>
      </c>
      <c r="L47" s="26">
        <v>6904.6809999999996</v>
      </c>
      <c r="M47" s="26">
        <f>Calculo_FlyBack_Simples!$M$17</f>
        <v>0.17933333333333332</v>
      </c>
      <c r="N47" s="26">
        <f>Calculo_FlyBack_Simples!$I$15</f>
        <v>62.5</v>
      </c>
      <c r="O47" s="26">
        <f t="shared" si="0"/>
        <v>59.375</v>
      </c>
      <c r="P47" s="26" t="str">
        <f t="shared" si="1"/>
        <v>Sim</v>
      </c>
      <c r="Q47" s="26" t="str">
        <f t="shared" si="2"/>
        <v/>
      </c>
      <c r="R47" s="26">
        <f>Calculo_FlyBack_Simples!$I$9</f>
        <v>0.05</v>
      </c>
      <c r="S47" s="26" t="str">
        <f t="shared" si="3"/>
        <v/>
      </c>
    </row>
  </sheetData>
  <mergeCells count="1">
    <mergeCell ref="I2:K2"/>
  </mergeCells>
  <conditionalFormatting sqref="P1:P47 P50:P1048576">
    <cfRule type="cellIs" dxfId="9" priority="1" operator="equal">
      <formula>"Sim"</formula>
    </cfRule>
    <cfRule type="cellIs" dxfId="8" priority="2" operator="equal">
      <formula>"Não"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BFC3-D446-4D0C-ADB4-CC4CD993D744}">
  <dimension ref="A1:Y45"/>
  <sheetViews>
    <sheetView zoomScale="108" workbookViewId="0">
      <selection activeCell="W27" sqref="W27"/>
    </sheetView>
  </sheetViews>
  <sheetFormatPr defaultRowHeight="15" x14ac:dyDescent="0.25"/>
  <cols>
    <col min="1" max="1" width="7.85546875" bestFit="1" customWidth="1"/>
    <col min="2" max="2" width="17.28515625" bestFit="1" customWidth="1"/>
    <col min="3" max="3" width="12" bestFit="1" customWidth="1"/>
    <col min="4" max="4" width="8.42578125" bestFit="1" customWidth="1"/>
    <col min="5" max="5" width="7.85546875" bestFit="1" customWidth="1"/>
    <col min="6" max="6" width="26.5703125" bestFit="1" customWidth="1"/>
    <col min="7" max="7" width="12" bestFit="1" customWidth="1"/>
    <col min="8" max="8" width="11.85546875" bestFit="1" customWidth="1"/>
    <col min="9" max="9" width="7.85546875" bestFit="1" customWidth="1"/>
    <col min="10" max="10" width="34.28515625" bestFit="1" customWidth="1"/>
    <col min="11" max="11" width="12" bestFit="1" customWidth="1"/>
    <col min="12" max="12" width="8.42578125" bestFit="1" customWidth="1"/>
    <col min="13" max="13" width="7.85546875" bestFit="1" customWidth="1"/>
    <col min="14" max="14" width="34.140625" bestFit="1" customWidth="1"/>
    <col min="15" max="15" width="12" bestFit="1" customWidth="1"/>
    <col min="16" max="16" width="14.42578125" bestFit="1" customWidth="1"/>
    <col min="17" max="17" width="7.85546875" bestFit="1" customWidth="1"/>
    <col min="18" max="18" width="34.7109375" bestFit="1" customWidth="1"/>
    <col min="19" max="19" width="12" bestFit="1" customWidth="1"/>
    <col min="20" max="20" width="14.42578125" bestFit="1" customWidth="1"/>
    <col min="21" max="21" width="7.85546875" bestFit="1" customWidth="1"/>
    <col min="22" max="22" width="32" bestFit="1" customWidth="1"/>
    <col min="23" max="23" width="12" bestFit="1" customWidth="1"/>
    <col min="24" max="24" width="12.42578125" bestFit="1" customWidth="1"/>
  </cols>
  <sheetData>
    <row r="1" spans="1:24" s="61" customFormat="1" ht="15.75" thickBot="1" x14ac:dyDescent="0.3">
      <c r="A1" s="61" t="s">
        <v>202</v>
      </c>
      <c r="E1" s="61" t="s">
        <v>202</v>
      </c>
      <c r="F1" s="61" t="s">
        <v>203</v>
      </c>
      <c r="G1" s="61" t="s">
        <v>65</v>
      </c>
      <c r="H1" s="61" t="s">
        <v>204</v>
      </c>
      <c r="I1" s="61" t="s">
        <v>202</v>
      </c>
      <c r="M1" s="61" t="s">
        <v>202</v>
      </c>
      <c r="Q1" s="61" t="s">
        <v>202</v>
      </c>
      <c r="U1" s="61" t="s">
        <v>202</v>
      </c>
    </row>
    <row r="2" spans="1:24" ht="15.75" thickBot="1" x14ac:dyDescent="0.3">
      <c r="B2" s="87" t="s">
        <v>0</v>
      </c>
      <c r="C2" s="88"/>
      <c r="D2" s="88"/>
      <c r="F2" s="87" t="s">
        <v>205</v>
      </c>
      <c r="G2" s="88"/>
      <c r="H2" s="88"/>
      <c r="J2" s="87" t="s">
        <v>206</v>
      </c>
      <c r="K2" s="88"/>
      <c r="L2" s="88"/>
      <c r="N2" s="87" t="s">
        <v>207</v>
      </c>
      <c r="O2" s="88"/>
      <c r="P2" s="88"/>
      <c r="R2" s="87" t="s">
        <v>208</v>
      </c>
      <c r="S2" s="88"/>
      <c r="T2" s="88"/>
      <c r="V2" s="87" t="s">
        <v>209</v>
      </c>
      <c r="W2" s="88"/>
      <c r="X2" s="88"/>
    </row>
    <row r="3" spans="1:24" ht="15.75" thickBot="1" x14ac:dyDescent="0.3">
      <c r="B3" s="29" t="s">
        <v>3</v>
      </c>
      <c r="C3" s="29" t="s">
        <v>4</v>
      </c>
      <c r="D3" s="29" t="s">
        <v>5</v>
      </c>
      <c r="F3" s="29" t="s">
        <v>3</v>
      </c>
      <c r="G3" s="29" t="s">
        <v>4</v>
      </c>
      <c r="H3" s="29" t="s">
        <v>5</v>
      </c>
      <c r="J3" s="87" t="s">
        <v>210</v>
      </c>
      <c r="K3" s="88"/>
      <c r="L3" s="88"/>
      <c r="N3" s="29" t="s">
        <v>3</v>
      </c>
      <c r="O3" s="29" t="s">
        <v>4</v>
      </c>
      <c r="P3" s="29" t="s">
        <v>5</v>
      </c>
      <c r="R3" s="29" t="s">
        <v>3</v>
      </c>
      <c r="S3" s="29" t="s">
        <v>4</v>
      </c>
      <c r="T3" s="29" t="s">
        <v>5</v>
      </c>
      <c r="V3" s="29" t="s">
        <v>3</v>
      </c>
      <c r="W3" s="29" t="s">
        <v>4</v>
      </c>
      <c r="X3" s="29" t="s">
        <v>5</v>
      </c>
    </row>
    <row r="4" spans="1:24" ht="15.75" thickBot="1" x14ac:dyDescent="0.3">
      <c r="B4" s="18" t="s">
        <v>13</v>
      </c>
      <c r="C4" s="5">
        <f>Dados_Projeto!D4</f>
        <v>12</v>
      </c>
      <c r="D4" s="19" t="s">
        <v>9</v>
      </c>
      <c r="F4" s="16" t="s">
        <v>211</v>
      </c>
      <c r="G4" s="16">
        <f>6.62/SQRT(C25)</f>
        <v>4.1868556220629342E-2</v>
      </c>
      <c r="H4" s="16" t="s">
        <v>212</v>
      </c>
      <c r="J4" s="29" t="s">
        <v>3</v>
      </c>
      <c r="K4" s="29" t="s">
        <v>4</v>
      </c>
      <c r="L4" s="29" t="s">
        <v>5</v>
      </c>
      <c r="N4" s="29" t="s">
        <v>213</v>
      </c>
      <c r="O4" s="83" t="s">
        <v>216</v>
      </c>
      <c r="P4" s="84"/>
      <c r="R4" s="29" t="s">
        <v>214</v>
      </c>
      <c r="S4" s="16" t="e">
        <f>(O33*(C12+C11)*(1-C21-C22))/(C6*C21)</f>
        <v>#REF!</v>
      </c>
      <c r="T4" s="16" t="s">
        <v>18</v>
      </c>
      <c r="V4" s="29" t="s">
        <v>215</v>
      </c>
      <c r="W4" s="16" t="e">
        <f>O25*O33</f>
        <v>#REF!</v>
      </c>
      <c r="X4" s="16" t="s">
        <v>18</v>
      </c>
    </row>
    <row r="5" spans="1:24" ht="15.75" thickBot="1" x14ac:dyDescent="0.3">
      <c r="B5" s="18" t="s">
        <v>16</v>
      </c>
      <c r="C5" s="5">
        <f>Dados_Projeto!D5</f>
        <v>12</v>
      </c>
      <c r="D5" s="19" t="s">
        <v>9</v>
      </c>
      <c r="F5" s="16" t="s">
        <v>217</v>
      </c>
      <c r="G5" s="16">
        <f>2*G4</f>
        <v>8.3737112441258685E-2</v>
      </c>
      <c r="H5" s="16" t="s">
        <v>212</v>
      </c>
      <c r="J5" s="16" t="s">
        <v>218</v>
      </c>
      <c r="K5" s="16">
        <f>(C6/C4)*C21</f>
        <v>0.7</v>
      </c>
      <c r="L5" s="16"/>
      <c r="N5" s="29" t="s">
        <v>219</v>
      </c>
      <c r="O5" s="85" t="s">
        <v>221</v>
      </c>
      <c r="P5" s="86"/>
      <c r="R5" s="29" t="s">
        <v>214</v>
      </c>
      <c r="S5" s="16" t="e">
        <f>ROUND(S4,0)</f>
        <v>#REF!</v>
      </c>
      <c r="T5" s="16" t="s">
        <v>18</v>
      </c>
      <c r="V5" s="29" t="s">
        <v>220</v>
      </c>
      <c r="W5" s="16" t="e">
        <f>S5*S10</f>
        <v>#REF!</v>
      </c>
      <c r="X5" s="16" t="s">
        <v>18</v>
      </c>
    </row>
    <row r="6" spans="1:24" ht="15.75" thickBot="1" x14ac:dyDescent="0.3">
      <c r="B6" s="18" t="s">
        <v>19</v>
      </c>
      <c r="C6" s="5">
        <f>Dados_Projeto!D6</f>
        <v>12</v>
      </c>
      <c r="D6" s="19" t="s">
        <v>9</v>
      </c>
      <c r="F6" s="16" t="s">
        <v>222</v>
      </c>
      <c r="G6" s="16">
        <f>ROUND((PI()*G5^2)/4,5)</f>
        <v>5.5100000000000001E-3</v>
      </c>
      <c r="H6" s="16" t="s">
        <v>223</v>
      </c>
      <c r="J6" s="16" t="s">
        <v>224</v>
      </c>
      <c r="K6" s="16">
        <f>C31*(1-K5)</f>
        <v>1.2000000000000002E-5</v>
      </c>
      <c r="L6" s="16" t="s">
        <v>85</v>
      </c>
      <c r="N6" s="29" t="s">
        <v>225</v>
      </c>
      <c r="O6" s="85" t="s">
        <v>228</v>
      </c>
      <c r="P6" s="86"/>
      <c r="R6" s="29" t="s">
        <v>226</v>
      </c>
      <c r="S6" s="16" t="e">
        <f>(2*C14)/(1-C21-C22)</f>
        <v>#REF!</v>
      </c>
      <c r="T6" s="16" t="s">
        <v>31</v>
      </c>
      <c r="V6" s="29" t="s">
        <v>227</v>
      </c>
      <c r="W6" s="16" t="e">
        <f>S18*S23</f>
        <v>#REF!</v>
      </c>
      <c r="X6" s="16" t="s">
        <v>18</v>
      </c>
    </row>
    <row r="7" spans="1:24" ht="15.75" thickBot="1" x14ac:dyDescent="0.3">
      <c r="B7" s="16" t="s">
        <v>229</v>
      </c>
      <c r="C7" s="16">
        <f>ROUND(C5/C8,2)</f>
        <v>0.05</v>
      </c>
      <c r="D7" s="16" t="s">
        <v>25</v>
      </c>
      <c r="F7" s="87" t="s">
        <v>230</v>
      </c>
      <c r="G7" s="88"/>
      <c r="H7" s="88"/>
      <c r="J7" s="16" t="s">
        <v>231</v>
      </c>
      <c r="K7" s="16">
        <f>ROUND((((C4*K5)^2)*C31)/(2*C10),9)</f>
        <v>4.9500000000000003E-7</v>
      </c>
      <c r="L7" s="16" t="s">
        <v>42</v>
      </c>
      <c r="N7" s="29" t="s">
        <v>232</v>
      </c>
      <c r="O7" s="16">
        <f>_xlfn.XLOOKUP(O4,Toroide_Iron_Powder!H:H,Toroide_Iron_Powder!L:L,"",0,1)</f>
        <v>6.49</v>
      </c>
      <c r="P7" s="16" t="s">
        <v>212</v>
      </c>
      <c r="R7" s="29" t="s">
        <v>233</v>
      </c>
      <c r="S7" s="16" t="e">
        <f>ROUND(S6*SQRT((1-C21-C22)/3),2)</f>
        <v>#REF!</v>
      </c>
      <c r="T7" s="16" t="s">
        <v>31</v>
      </c>
      <c r="V7" s="29" t="s">
        <v>234</v>
      </c>
      <c r="W7" s="16" t="e">
        <f>SUM(W4:W6)</f>
        <v>#REF!</v>
      </c>
      <c r="X7" s="16" t="s">
        <v>18</v>
      </c>
    </row>
    <row r="8" spans="1:24" ht="15.75" thickBot="1" x14ac:dyDescent="0.3">
      <c r="B8" s="16" t="s">
        <v>235</v>
      </c>
      <c r="C8" s="16">
        <f>ROUND(C20/(C6*C9%),2)</f>
        <v>237.5</v>
      </c>
      <c r="D8" s="16" t="s">
        <v>31</v>
      </c>
      <c r="F8" s="16" t="s">
        <v>236</v>
      </c>
      <c r="G8" s="16">
        <f>INDEX(AWG!O:O,MATCH("Sim",AWG!Q:Q,0))</f>
        <v>2.0500000000000002E-3</v>
      </c>
      <c r="H8" s="16" t="s">
        <v>223</v>
      </c>
      <c r="J8" s="16" t="s">
        <v>237</v>
      </c>
      <c r="K8" s="16">
        <f>IF(C28="Contínuo",G21,K7)</f>
        <v>5.6375838926174483E-4</v>
      </c>
      <c r="L8" s="16" t="s">
        <v>42</v>
      </c>
      <c r="N8" s="29" t="s">
        <v>238</v>
      </c>
      <c r="O8" s="16">
        <f>_xlfn.XLOOKUP(O4,Toroide_Iron_Powder!H:H,Toroide_Iron_Powder!J:J,"",0,1)</f>
        <v>29.94</v>
      </c>
      <c r="P8" s="16" t="s">
        <v>239</v>
      </c>
      <c r="R8" s="29" t="s">
        <v>240</v>
      </c>
      <c r="S8" s="16" t="e">
        <f>ROUND(S7/O22,5)</f>
        <v>#REF!</v>
      </c>
      <c r="T8" s="16" t="s">
        <v>223</v>
      </c>
      <c r="V8" s="29" t="s">
        <v>241</v>
      </c>
      <c r="W8" s="16" t="e">
        <f>W7*G12/O12</f>
        <v>#REF!</v>
      </c>
      <c r="X8" s="16" t="s">
        <v>242</v>
      </c>
    </row>
    <row r="9" spans="1:24" ht="15.75" thickBot="1" x14ac:dyDescent="0.3">
      <c r="B9" s="18" t="s">
        <v>50</v>
      </c>
      <c r="C9" s="5">
        <f>Dados_Projeto!D26</f>
        <v>1</v>
      </c>
      <c r="D9" s="19" t="s">
        <v>47</v>
      </c>
      <c r="F9" s="16" t="s">
        <v>62</v>
      </c>
      <c r="G9" s="16">
        <f>INDEX(AWG!B:B,MATCH("Sim",AWG!Q:Q,0))</f>
        <v>24</v>
      </c>
      <c r="H9" s="16" t="s">
        <v>15</v>
      </c>
      <c r="J9" s="16" t="s">
        <v>243</v>
      </c>
      <c r="K9" s="16">
        <f>K8*1000000</f>
        <v>563.75838926174481</v>
      </c>
      <c r="L9" s="16" t="s">
        <v>11</v>
      </c>
      <c r="N9" s="29" t="s">
        <v>244</v>
      </c>
      <c r="O9" s="16">
        <f>_xlfn.XLOOKUP(O4,Toroide_Iron_Powder!H:H,Toroide_Iron_Powder!I:I,"",0,1)</f>
        <v>23.05</v>
      </c>
      <c r="P9" s="16" t="s">
        <v>239</v>
      </c>
      <c r="R9" s="29" t="s">
        <v>245</v>
      </c>
      <c r="S9" s="16" t="e">
        <f>S8/G12</f>
        <v>#REF!</v>
      </c>
      <c r="T9" s="16" t="s">
        <v>246</v>
      </c>
      <c r="V9" s="29" t="s">
        <v>247</v>
      </c>
      <c r="W9" s="16" t="e">
        <f>S13+S26+O37</f>
        <v>#REF!</v>
      </c>
      <c r="X9" s="16" t="s">
        <v>94</v>
      </c>
    </row>
    <row r="10" spans="1:24" ht="15.75" thickBot="1" x14ac:dyDescent="0.3">
      <c r="B10" s="16" t="s">
        <v>248</v>
      </c>
      <c r="C10" s="16">
        <f>ROUND(C20/C9%,2)</f>
        <v>2850</v>
      </c>
      <c r="D10" s="16" t="s">
        <v>94</v>
      </c>
      <c r="F10" s="16" t="s">
        <v>249</v>
      </c>
      <c r="G10" s="16">
        <f>INDEX(AWG!E:E,MATCH("Sim",AWG!Q:Q,0))</f>
        <v>842.1</v>
      </c>
      <c r="H10" s="16" t="s">
        <v>250</v>
      </c>
      <c r="J10" s="16" t="s">
        <v>251</v>
      </c>
      <c r="K10" s="16">
        <f>ROUND((C31*C6*C21)/K8,2)</f>
        <v>0.6</v>
      </c>
      <c r="L10" s="16" t="s">
        <v>31</v>
      </c>
      <c r="N10" s="29" t="s">
        <v>252</v>
      </c>
      <c r="O10" s="16">
        <f>_xlfn.XLOOKUP(O4,Toroide_Iron_Powder!H:H,Toroide_Iron_Powder!K:K,"",0,1)</f>
        <v>3.93</v>
      </c>
      <c r="P10" s="16" t="s">
        <v>212</v>
      </c>
      <c r="R10" s="29" t="s">
        <v>245</v>
      </c>
      <c r="S10" s="16" t="e">
        <f>ROUND(S9,0)</f>
        <v>#REF!</v>
      </c>
      <c r="T10" s="16" t="s">
        <v>246</v>
      </c>
      <c r="V10" s="29" t="s">
        <v>253</v>
      </c>
      <c r="W10" s="16" t="e">
        <f>W9/C20</f>
        <v>#REF!</v>
      </c>
      <c r="X10" s="16" t="s">
        <v>47</v>
      </c>
    </row>
    <row r="11" spans="1:24" ht="15.75" thickBot="1" x14ac:dyDescent="0.3">
      <c r="B11" s="18" t="s">
        <v>51</v>
      </c>
      <c r="C11" s="5">
        <f>Dados_Projeto!D27</f>
        <v>0.7</v>
      </c>
      <c r="D11" s="19" t="s">
        <v>9</v>
      </c>
      <c r="F11" s="18" t="s">
        <v>63</v>
      </c>
      <c r="G11" s="18" t="e">
        <f>Dados_Projeto!#REF!</f>
        <v>#REF!</v>
      </c>
      <c r="H11" s="18" t="s">
        <v>15</v>
      </c>
      <c r="J11" s="16" t="s">
        <v>235</v>
      </c>
      <c r="K11" s="16">
        <f>C8</f>
        <v>237.5</v>
      </c>
      <c r="L11" s="16" t="s">
        <v>31</v>
      </c>
      <c r="N11" s="29" t="s">
        <v>254</v>
      </c>
      <c r="O11" s="16">
        <f>_xlfn.XLOOKUP(O4,Toroide_Iron_Powder!H:H,Toroide_Iron_Powder!O:O,"",0,1)</f>
        <v>0.65900000000000003</v>
      </c>
      <c r="P11" s="16" t="s">
        <v>223</v>
      </c>
      <c r="R11" s="29" t="s">
        <v>255</v>
      </c>
      <c r="S11" s="16" t="e">
        <f>ROUND(G13/S10,0)</f>
        <v>#REF!</v>
      </c>
      <c r="T11" s="16" t="s">
        <v>256</v>
      </c>
      <c r="V11" s="29" t="s">
        <v>257</v>
      </c>
      <c r="W11" s="16" t="e">
        <f>(0.4*PI()*O33*O31*(K12/2)*10^-4)/(O29+(O7/O16))</f>
        <v>#REF!</v>
      </c>
      <c r="X11" s="16" t="s">
        <v>258</v>
      </c>
    </row>
    <row r="12" spans="1:24" ht="15.75" thickBot="1" x14ac:dyDescent="0.3">
      <c r="B12" s="18" t="s">
        <v>22</v>
      </c>
      <c r="C12" s="5">
        <v>5</v>
      </c>
      <c r="D12" s="19" t="s">
        <v>9</v>
      </c>
      <c r="F12" s="16" t="s">
        <v>236</v>
      </c>
      <c r="G12" s="16" t="e">
        <f>_xlfn.XLOOKUP(G11,AWG!B6:B40,AWG!O6:O40,"",0,1)</f>
        <v>#REF!</v>
      </c>
      <c r="H12" s="16" t="s">
        <v>223</v>
      </c>
      <c r="J12" s="16" t="s">
        <v>259</v>
      </c>
      <c r="K12" s="16">
        <f>IF(C28="Contínuo",ROUND((C8/C21)+(K10/2),2),K21)</f>
        <v>339.59</v>
      </c>
      <c r="L12" s="16" t="s">
        <v>31</v>
      </c>
      <c r="N12" s="29" t="s">
        <v>260</v>
      </c>
      <c r="O12" s="16">
        <f>_xlfn.XLOOKUP(O4,Toroide_Iron_Powder!H:H,Toroide_Iron_Powder!P:P,"",0,1)</f>
        <v>1.65</v>
      </c>
      <c r="P12" s="16" t="s">
        <v>223</v>
      </c>
      <c r="R12" s="29" t="s">
        <v>261</v>
      </c>
      <c r="S12" s="56" t="e">
        <f>O10*S5*S11*10^-6</f>
        <v>#REF!</v>
      </c>
      <c r="T12" s="16" t="s">
        <v>25</v>
      </c>
      <c r="V12" s="29" t="s">
        <v>262</v>
      </c>
      <c r="W12" s="16" t="e">
        <f>ROUND(4.855*(10^-5)*(C25^1.63)*(W11^2.62),1)</f>
        <v>#REF!</v>
      </c>
      <c r="X12" s="16" t="s">
        <v>263</v>
      </c>
    </row>
    <row r="13" spans="1:24" ht="15.75" thickBot="1" x14ac:dyDescent="0.3">
      <c r="B13" s="18" t="s">
        <v>24</v>
      </c>
      <c r="C13" s="5">
        <v>1</v>
      </c>
      <c r="D13" s="19" t="s">
        <v>25</v>
      </c>
      <c r="F13" s="16" t="s">
        <v>249</v>
      </c>
      <c r="G13" s="16" t="e">
        <f>_xlfn.XLOOKUP(G11,AWG!B6:B40,AWG!E6:E40,"",0,1)</f>
        <v>#REF!</v>
      </c>
      <c r="H13" s="16" t="s">
        <v>250</v>
      </c>
      <c r="J13" s="16" t="s">
        <v>264</v>
      </c>
      <c r="K13" s="16">
        <f>IF(C28="Contínuo",ROUND(K12*SQRT((C32/(3*C31))),2),K22)</f>
        <v>164.04</v>
      </c>
      <c r="L13" s="16" t="s">
        <v>31</v>
      </c>
      <c r="N13" s="29" t="s">
        <v>265</v>
      </c>
      <c r="O13" s="16">
        <f>_xlfn.XLOOKUP(O4,Toroide_Iron_Powder!H:H,Toroide_Iron_Powder!Q:Q,"",0,1)</f>
        <v>1.0876600000000001</v>
      </c>
      <c r="P13" s="16" t="s">
        <v>266</v>
      </c>
      <c r="R13" s="29" t="s">
        <v>267</v>
      </c>
      <c r="S13" s="16" t="e">
        <f>ROUND((S7^2)*S12,4)</f>
        <v>#REF!</v>
      </c>
      <c r="T13" s="16" t="s">
        <v>94</v>
      </c>
      <c r="V13" s="29" t="s">
        <v>268</v>
      </c>
      <c r="W13" s="16" t="e">
        <f>W12*O8*10^-3</f>
        <v>#REF!</v>
      </c>
      <c r="X13" s="16" t="s">
        <v>94</v>
      </c>
    </row>
    <row r="14" spans="1:24" ht="15.75" thickBot="1" x14ac:dyDescent="0.3">
      <c r="B14" s="16" t="s">
        <v>269</v>
      </c>
      <c r="C14" s="16">
        <f>ROUND(C12/C13,2)</f>
        <v>5</v>
      </c>
      <c r="D14" s="16" t="s">
        <v>31</v>
      </c>
      <c r="N14" s="29" t="s">
        <v>270</v>
      </c>
      <c r="O14" s="16">
        <f>_xlfn.XLOOKUP(O4,Toroide_Iron_Powder!H:H,Toroide_Iron_Powder!R:R,"",0,1)</f>
        <v>7.2989999999999999E-2</v>
      </c>
      <c r="P14" s="16" t="s">
        <v>271</v>
      </c>
      <c r="V14" s="29" t="s">
        <v>272</v>
      </c>
      <c r="W14" s="16" t="e">
        <f>W13+W9</f>
        <v>#REF!</v>
      </c>
      <c r="X14" s="16" t="s">
        <v>94</v>
      </c>
    </row>
    <row r="15" spans="1:24" ht="15.75" thickBot="1" x14ac:dyDescent="0.3">
      <c r="B15" s="16" t="s">
        <v>273</v>
      </c>
      <c r="C15" s="16">
        <f>ROUND((C11+C12)*C14,2)</f>
        <v>28.5</v>
      </c>
      <c r="D15" s="16" t="s">
        <v>94</v>
      </c>
      <c r="F15" s="87" t="s">
        <v>274</v>
      </c>
      <c r="G15" s="88"/>
      <c r="H15" s="88"/>
      <c r="J15" s="87" t="s">
        <v>275</v>
      </c>
      <c r="K15" s="88"/>
      <c r="L15" s="88"/>
      <c r="N15" s="29" t="s">
        <v>276</v>
      </c>
      <c r="O15" s="16">
        <f>_xlfn.XLOOKUP(O4,Toroide_Iron_Powder!H:H,Toroide_Iron_Powder!S:S,"",0,1)</f>
        <v>38</v>
      </c>
      <c r="P15" s="16" t="s">
        <v>212</v>
      </c>
      <c r="R15" s="87" t="s">
        <v>277</v>
      </c>
      <c r="S15" s="88"/>
      <c r="T15" s="88"/>
      <c r="V15" s="29" t="s">
        <v>278</v>
      </c>
      <c r="W15" s="16" t="e">
        <f>W14/O15</f>
        <v>#REF!</v>
      </c>
      <c r="X15" s="16" t="s">
        <v>279</v>
      </c>
    </row>
    <row r="16" spans="1:24" ht="15.75" thickBot="1" x14ac:dyDescent="0.3">
      <c r="B16" s="18" t="s">
        <v>280</v>
      </c>
      <c r="C16" s="5">
        <v>0</v>
      </c>
      <c r="D16" s="19" t="s">
        <v>9</v>
      </c>
      <c r="F16" s="29" t="s">
        <v>3</v>
      </c>
      <c r="G16" s="29" t="s">
        <v>4</v>
      </c>
      <c r="H16" s="29" t="s">
        <v>5</v>
      </c>
      <c r="J16" s="87" t="s">
        <v>210</v>
      </c>
      <c r="K16" s="88"/>
      <c r="L16" s="88"/>
      <c r="N16" s="29" t="s">
        <v>281</v>
      </c>
      <c r="O16" s="16">
        <v>2500</v>
      </c>
      <c r="P16" s="16"/>
      <c r="R16" s="29" t="s">
        <v>3</v>
      </c>
      <c r="S16" s="29" t="s">
        <v>4</v>
      </c>
      <c r="T16" s="29" t="s">
        <v>5</v>
      </c>
      <c r="V16" s="29" t="s">
        <v>282</v>
      </c>
      <c r="W16" s="16" t="e">
        <f>ROUND(450*(W15^0.826),1)</f>
        <v>#REF!</v>
      </c>
      <c r="X16" s="16" t="s">
        <v>283</v>
      </c>
    </row>
    <row r="17" spans="2:24" ht="15.75" thickBot="1" x14ac:dyDescent="0.3">
      <c r="B17" s="18" t="s">
        <v>284</v>
      </c>
      <c r="C17" s="5">
        <v>0</v>
      </c>
      <c r="D17" s="19" t="s">
        <v>25</v>
      </c>
      <c r="F17" s="16" t="s">
        <v>29</v>
      </c>
      <c r="G17" s="68">
        <f>(C12/C5)*((1-C21)/C21)</f>
        <v>0.1785714285714286</v>
      </c>
      <c r="H17" s="16" t="s">
        <v>294</v>
      </c>
      <c r="J17" s="29" t="s">
        <v>3</v>
      </c>
      <c r="K17" s="29" t="s">
        <v>4</v>
      </c>
      <c r="L17" s="29" t="s">
        <v>5</v>
      </c>
      <c r="N17" s="29" t="s">
        <v>285</v>
      </c>
      <c r="O17" s="16">
        <v>0.62</v>
      </c>
      <c r="P17" s="16" t="s">
        <v>212</v>
      </c>
      <c r="R17" s="29" t="s">
        <v>214</v>
      </c>
      <c r="S17" s="16" t="e">
        <f>(O33*(C16+C11)*(1-C21-C22))/(C6*C21)</f>
        <v>#REF!</v>
      </c>
      <c r="T17" s="16" t="s">
        <v>18</v>
      </c>
    </row>
    <row r="18" spans="2:24" ht="15.75" thickBot="1" x14ac:dyDescent="0.3">
      <c r="B18" s="16" t="s">
        <v>286</v>
      </c>
      <c r="C18" s="16">
        <f>IF(OR(C17=0,C16=0),0,C16/C17)</f>
        <v>0</v>
      </c>
      <c r="D18" s="16" t="s">
        <v>31</v>
      </c>
      <c r="F18" s="16" t="s">
        <v>293</v>
      </c>
      <c r="G18" s="68">
        <f>1/G17</f>
        <v>5.5999999999999988</v>
      </c>
      <c r="H18" s="73" t="s">
        <v>294</v>
      </c>
      <c r="J18" s="16" t="s">
        <v>288</v>
      </c>
      <c r="K18" s="16">
        <f>ROUND((C7*C31*C21^2)/2,9)</f>
        <v>4.8999999999999997E-7</v>
      </c>
      <c r="L18" s="16" t="s">
        <v>42</v>
      </c>
      <c r="N18" s="71" t="s">
        <v>289</v>
      </c>
      <c r="O18" s="16">
        <v>93</v>
      </c>
      <c r="P18" s="16" t="s">
        <v>290</v>
      </c>
      <c r="R18" s="29" t="s">
        <v>214</v>
      </c>
      <c r="S18" s="16" t="e">
        <f>ROUND(S17,0)</f>
        <v>#REF!</v>
      </c>
      <c r="T18" s="16" t="s">
        <v>18</v>
      </c>
      <c r="V18" s="87" t="s">
        <v>291</v>
      </c>
      <c r="W18" s="88"/>
      <c r="X18" s="88"/>
    </row>
    <row r="19" spans="2:24" ht="15.75" thickBot="1" x14ac:dyDescent="0.3">
      <c r="B19" s="16" t="s">
        <v>292</v>
      </c>
      <c r="C19" s="16">
        <f>(C16+C11)*C18</f>
        <v>0</v>
      </c>
      <c r="D19" s="16" t="s">
        <v>94</v>
      </c>
      <c r="F19" s="16" t="s">
        <v>296</v>
      </c>
      <c r="G19" s="16">
        <f>ROUND((C12^2)/(C5*C21*C13),2)</f>
        <v>2.98</v>
      </c>
      <c r="H19" s="16" t="s">
        <v>31</v>
      </c>
      <c r="J19" s="16" t="s">
        <v>288</v>
      </c>
      <c r="K19" s="16">
        <f>K18*1000000</f>
        <v>0.49</v>
      </c>
      <c r="L19" s="16" t="s">
        <v>11</v>
      </c>
      <c r="R19" s="29" t="s">
        <v>226</v>
      </c>
      <c r="S19" s="16" t="e">
        <f>(2*C18)/(1-C21-C22)</f>
        <v>#REF!</v>
      </c>
      <c r="T19" s="16" t="s">
        <v>31</v>
      </c>
      <c r="V19" s="29" t="s">
        <v>3</v>
      </c>
      <c r="W19" s="29" t="s">
        <v>4</v>
      </c>
      <c r="X19" s="29" t="s">
        <v>5</v>
      </c>
    </row>
    <row r="20" spans="2:24" ht="15.75" thickBot="1" x14ac:dyDescent="0.3">
      <c r="B20" s="16" t="s">
        <v>295</v>
      </c>
      <c r="C20" s="16">
        <f>ROUND(C19+C15,1)</f>
        <v>28.5</v>
      </c>
      <c r="D20" s="16" t="s">
        <v>94</v>
      </c>
      <c r="F20" s="16" t="s">
        <v>298</v>
      </c>
      <c r="G20" s="16">
        <f>G19*C23%</f>
        <v>0.59599999999999997</v>
      </c>
      <c r="H20" s="16" t="s">
        <v>31</v>
      </c>
      <c r="J20" s="16" t="s">
        <v>235</v>
      </c>
      <c r="K20" s="16">
        <f>C8</f>
        <v>237.5</v>
      </c>
      <c r="L20" s="16" t="s">
        <v>31</v>
      </c>
      <c r="N20" s="87" t="s">
        <v>297</v>
      </c>
      <c r="O20" s="88"/>
      <c r="P20" s="88"/>
      <c r="R20" s="29" t="s">
        <v>233</v>
      </c>
      <c r="S20" s="16" t="e">
        <f>ROUND(S19*SQRT((1-C21-C22)/3),3)</f>
        <v>#REF!</v>
      </c>
      <c r="T20" s="16" t="s">
        <v>31</v>
      </c>
      <c r="V20" s="29" t="s">
        <v>296</v>
      </c>
      <c r="W20" s="16">
        <f>G25</f>
        <v>0</v>
      </c>
      <c r="X20" s="16" t="s">
        <v>31</v>
      </c>
    </row>
    <row r="21" spans="2:24" ht="15.75" thickBot="1" x14ac:dyDescent="0.3">
      <c r="B21" s="18" t="s">
        <v>52</v>
      </c>
      <c r="C21" s="5">
        <f>Dados_Projeto!D28</f>
        <v>0.7</v>
      </c>
      <c r="D21" s="19"/>
      <c r="F21" s="16" t="s">
        <v>10</v>
      </c>
      <c r="G21" s="16">
        <f>(C5*C21)/(G20*C25)</f>
        <v>5.6375838926174483E-4</v>
      </c>
      <c r="H21" s="16" t="s">
        <v>42</v>
      </c>
      <c r="J21" s="16" t="s">
        <v>259</v>
      </c>
      <c r="K21" s="16">
        <f>ROUND((2*C20*C31)/((C9%)*C6*C32),2)</f>
        <v>678.57</v>
      </c>
      <c r="L21" s="16" t="s">
        <v>31</v>
      </c>
      <c r="N21" s="29" t="s">
        <v>3</v>
      </c>
      <c r="O21" s="29" t="s">
        <v>4</v>
      </c>
      <c r="P21" s="29" t="s">
        <v>5</v>
      </c>
      <c r="R21" s="29" t="s">
        <v>240</v>
      </c>
      <c r="S21" s="16" t="e">
        <f>ROUND(S20/O22,5)</f>
        <v>#REF!</v>
      </c>
      <c r="T21" s="16" t="s">
        <v>223</v>
      </c>
      <c r="V21" s="29" t="s">
        <v>298</v>
      </c>
      <c r="W21" s="16">
        <f>ROUND((C5*C21)/(K8*C25),2)</f>
        <v>0.6</v>
      </c>
      <c r="X21" s="16" t="s">
        <v>31</v>
      </c>
    </row>
    <row r="22" spans="2:24" ht="15.75" thickBot="1" x14ac:dyDescent="0.3">
      <c r="B22" s="18" t="s">
        <v>54</v>
      </c>
      <c r="C22" s="5" t="e">
        <f>Dados_Projeto!#REF!</f>
        <v>#REF!</v>
      </c>
      <c r="D22" s="19"/>
      <c r="F22" s="16" t="s">
        <v>10</v>
      </c>
      <c r="G22" s="16">
        <f>ROUND(G21*1000000,0)</f>
        <v>564</v>
      </c>
      <c r="H22" s="16" t="s">
        <v>11</v>
      </c>
      <c r="J22" s="16" t="s">
        <v>264</v>
      </c>
      <c r="K22" s="16">
        <f>ROUND(K21*SQRT((C32/(3*C31))),2)</f>
        <v>327.78</v>
      </c>
      <c r="L22" s="16" t="s">
        <v>31</v>
      </c>
      <c r="N22" s="29" t="s">
        <v>299</v>
      </c>
      <c r="O22" s="16" t="e">
        <f>ROUNDUP((2*(K25)*10^4)/(C27*K28*O13),0)</f>
        <v>#REF!</v>
      </c>
      <c r="P22" s="16" t="s">
        <v>300</v>
      </c>
      <c r="R22" s="29" t="s">
        <v>245</v>
      </c>
      <c r="S22" s="16" t="e">
        <f>S21/G12</f>
        <v>#REF!</v>
      </c>
      <c r="T22" s="16" t="s">
        <v>246</v>
      </c>
      <c r="V22" s="29" t="s">
        <v>301</v>
      </c>
      <c r="W22" s="16">
        <f>W21+(W20/2)</f>
        <v>0.6</v>
      </c>
      <c r="X22" s="16" t="s">
        <v>31</v>
      </c>
    </row>
    <row r="23" spans="2:24" ht="15.75" thickBot="1" x14ac:dyDescent="0.3">
      <c r="B23" s="18" t="s">
        <v>298</v>
      </c>
      <c r="C23" s="5">
        <v>20</v>
      </c>
      <c r="D23" s="19" t="s">
        <v>47</v>
      </c>
      <c r="F23" s="16" t="s">
        <v>303</v>
      </c>
      <c r="G23" s="16">
        <f>G19-(G20/2)</f>
        <v>2.6819999999999999</v>
      </c>
      <c r="H23" s="16" t="s">
        <v>31</v>
      </c>
      <c r="N23" s="29" t="s">
        <v>302</v>
      </c>
      <c r="O23" s="16" t="e">
        <f>K13/O22</f>
        <v>#REF!</v>
      </c>
      <c r="P23" s="16" t="s">
        <v>223</v>
      </c>
      <c r="R23" s="29" t="s">
        <v>245</v>
      </c>
      <c r="S23" s="16" t="e">
        <f>ROUND(S22,0)</f>
        <v>#REF!</v>
      </c>
      <c r="T23" s="16" t="s">
        <v>246</v>
      </c>
      <c r="V23" s="29" t="s">
        <v>306</v>
      </c>
      <c r="W23" s="16">
        <f>G28*G31</f>
        <v>7692.857142857144</v>
      </c>
      <c r="X23" s="16" t="s">
        <v>31</v>
      </c>
    </row>
    <row r="24" spans="2:24" ht="15.75" thickBot="1" x14ac:dyDescent="0.3">
      <c r="B24" s="18" t="s">
        <v>40</v>
      </c>
      <c r="C24" s="5">
        <v>25</v>
      </c>
      <c r="D24" s="19" t="s">
        <v>41</v>
      </c>
      <c r="F24" s="16" t="s">
        <v>307</v>
      </c>
      <c r="G24" s="16">
        <f>G19+(G20/2)</f>
        <v>3.278</v>
      </c>
      <c r="H24" s="16" t="s">
        <v>31</v>
      </c>
      <c r="J24" s="87" t="s">
        <v>304</v>
      </c>
      <c r="K24" s="88"/>
      <c r="L24" s="88"/>
      <c r="N24" s="29" t="s">
        <v>305</v>
      </c>
      <c r="O24" s="16" t="e">
        <f>O23/G12</f>
        <v>#REF!</v>
      </c>
      <c r="P24" s="16" t="s">
        <v>246</v>
      </c>
      <c r="R24" s="29" t="s">
        <v>255</v>
      </c>
      <c r="S24" s="16" t="e">
        <f>IF(S23=0,0,ROUND(G13/S23,0))</f>
        <v>#REF!</v>
      </c>
      <c r="T24" s="16" t="s">
        <v>256</v>
      </c>
      <c r="V24" s="29" t="s">
        <v>310</v>
      </c>
      <c r="W24" s="16" t="e">
        <f>C26%*C12</f>
        <v>#REF!</v>
      </c>
      <c r="X24" s="16" t="s">
        <v>9</v>
      </c>
    </row>
    <row r="25" spans="2:24" ht="15.75" thickBot="1" x14ac:dyDescent="0.3">
      <c r="B25" s="16" t="s">
        <v>40</v>
      </c>
      <c r="C25" s="16">
        <f>C24*1000</f>
        <v>25000</v>
      </c>
      <c r="D25" s="16" t="s">
        <v>42</v>
      </c>
      <c r="F25" s="87" t="s">
        <v>311</v>
      </c>
      <c r="G25" s="88"/>
      <c r="H25" s="88"/>
      <c r="J25" s="16" t="s">
        <v>308</v>
      </c>
      <c r="K25" s="16">
        <f>ROUND((K8*(K12^2))/2,7)</f>
        <v>32.506694400000001</v>
      </c>
      <c r="L25" s="16" t="s">
        <v>309</v>
      </c>
      <c r="N25" s="29" t="s">
        <v>305</v>
      </c>
      <c r="O25" s="16" t="e">
        <f>ROUND(O24,0)</f>
        <v>#REF!</v>
      </c>
      <c r="P25" s="16" t="s">
        <v>246</v>
      </c>
      <c r="R25" s="29" t="s">
        <v>261</v>
      </c>
      <c r="S25" s="16" t="e">
        <f>ROUND(O10*S18*S24*10^-6,4)</f>
        <v>#REF!</v>
      </c>
      <c r="T25" s="16" t="s">
        <v>25</v>
      </c>
      <c r="V25" s="29" t="s">
        <v>314</v>
      </c>
      <c r="W25" s="16" t="e">
        <f>W24/W23</f>
        <v>#REF!</v>
      </c>
      <c r="X25" s="16" t="s">
        <v>25</v>
      </c>
    </row>
    <row r="26" spans="2:24" ht="15.75" thickBot="1" x14ac:dyDescent="0.3">
      <c r="B26" s="18" t="s">
        <v>55</v>
      </c>
      <c r="C26" s="5" t="e">
        <f>Dados_Projeto!#REF!</f>
        <v>#REF!</v>
      </c>
      <c r="D26" s="19" t="s">
        <v>47</v>
      </c>
      <c r="F26" s="112" t="str">
        <f>IF(G23&lt;0,"Descontínuo","Contínuo")</f>
        <v>Contínuo</v>
      </c>
      <c r="G26" s="113"/>
      <c r="H26" s="114"/>
      <c r="J26" s="16" t="s">
        <v>312</v>
      </c>
      <c r="K26" s="16">
        <f>ROUND((0.145*C20*(C27^2)*10^-4),7)</f>
        <v>2.58E-5</v>
      </c>
      <c r="L26" s="16"/>
      <c r="N26" s="29" t="s">
        <v>313</v>
      </c>
      <c r="O26" s="16">
        <f>O12/2</f>
        <v>0.82499999999999996</v>
      </c>
      <c r="P26" s="16" t="s">
        <v>223</v>
      </c>
      <c r="R26" s="29" t="s">
        <v>267</v>
      </c>
      <c r="S26" s="16" t="e">
        <f>ROUND((S20^2)*S25,4)</f>
        <v>#REF!</v>
      </c>
      <c r="T26" s="16" t="s">
        <v>94</v>
      </c>
      <c r="V26" s="29" t="s">
        <v>319</v>
      </c>
      <c r="W26" s="16" t="e">
        <f>(10^-5)/W25</f>
        <v>#REF!</v>
      </c>
      <c r="X26" s="16" t="s">
        <v>320</v>
      </c>
    </row>
    <row r="27" spans="2:24" ht="15.75" thickBot="1" x14ac:dyDescent="0.3">
      <c r="B27" s="18" t="s">
        <v>315</v>
      </c>
      <c r="C27" s="5">
        <v>0.25</v>
      </c>
      <c r="D27" s="19" t="s">
        <v>57</v>
      </c>
      <c r="F27" s="87" t="s">
        <v>321</v>
      </c>
      <c r="G27" s="88"/>
      <c r="H27" s="88"/>
      <c r="J27" s="16" t="s">
        <v>316</v>
      </c>
      <c r="K27" s="16">
        <f>(K25^2)/(K26)</f>
        <v>40956789.954069428</v>
      </c>
      <c r="L27" s="16" t="s">
        <v>271</v>
      </c>
      <c r="N27" s="29" t="s">
        <v>317</v>
      </c>
      <c r="O27" s="16" t="e">
        <f>(K28*O26)/(O25*G12)</f>
        <v>#REF!</v>
      </c>
      <c r="P27" s="16" t="s">
        <v>318</v>
      </c>
      <c r="V27" s="29" t="s">
        <v>323</v>
      </c>
      <c r="W27" s="16">
        <f>INDEX(Tabela3[Em Faraday],MATCH("Sim",Tabela3[C_TCC],0))</f>
        <v>3.2999999999999996E-5</v>
      </c>
      <c r="X27" s="16" t="s">
        <v>320</v>
      </c>
    </row>
    <row r="28" spans="2:24" ht="15.75" thickBot="1" x14ac:dyDescent="0.3">
      <c r="B28" s="18" t="s">
        <v>58</v>
      </c>
      <c r="C28" s="97" t="str">
        <f>Dados_Projeto!D30</f>
        <v>Contínuo</v>
      </c>
      <c r="D28" s="98"/>
      <c r="F28" s="16" t="s">
        <v>289</v>
      </c>
      <c r="G28" s="16">
        <v>3590</v>
      </c>
      <c r="H28" s="16" t="s">
        <v>290</v>
      </c>
      <c r="J28" s="16" t="s">
        <v>322</v>
      </c>
      <c r="K28" s="52" t="e">
        <f>IF(C29="Toroidal",_xlfn.XLOOKUP(G11,AWG!B6:B40,AWG!AC6:AC40,"",0,1),_xlfn.XLOOKUP(G11,AWG!B6:B40,AWG!AB6:AB40,"",0,1))</f>
        <v>#REF!</v>
      </c>
      <c r="L28" s="16"/>
      <c r="N28" s="29" t="s">
        <v>317</v>
      </c>
      <c r="O28" s="16" t="e">
        <f>ROUND(O27,0)</f>
        <v>#REF!</v>
      </c>
      <c r="P28" s="16" t="s">
        <v>318</v>
      </c>
      <c r="V28" s="29" t="s">
        <v>327</v>
      </c>
      <c r="W28" s="16">
        <f>ROUND(C21/(C13*(W27)*C25),4)</f>
        <v>0.84850000000000003</v>
      </c>
      <c r="X28" s="16"/>
    </row>
    <row r="29" spans="2:24" ht="15.75" thickBot="1" x14ac:dyDescent="0.3">
      <c r="B29" s="18" t="s">
        <v>324</v>
      </c>
      <c r="C29" s="99" t="str">
        <f>Dados_Projeto!D31</f>
        <v>Toroidal</v>
      </c>
      <c r="D29" s="100"/>
      <c r="F29" s="16" t="s">
        <v>10</v>
      </c>
      <c r="G29" s="16">
        <f>G22*1000</f>
        <v>564000</v>
      </c>
      <c r="H29" s="16" t="s">
        <v>329</v>
      </c>
      <c r="J29" s="16" t="s">
        <v>325</v>
      </c>
      <c r="K29" s="52">
        <f>IF(C24&gt;=100,1.35,1)</f>
        <v>1</v>
      </c>
      <c r="L29" s="16"/>
      <c r="N29" s="29" t="s">
        <v>326</v>
      </c>
      <c r="O29" s="16" t="e">
        <f>ROUND(((0.4*PI()*(O28^2)*O11*(10^-8))/K8)-(O7/O16),4)</f>
        <v>#REF!</v>
      </c>
      <c r="P29" s="16" t="s">
        <v>212</v>
      </c>
      <c r="V29" s="29" t="s">
        <v>327</v>
      </c>
      <c r="W29" s="16">
        <f>W28*100</f>
        <v>84.850000000000009</v>
      </c>
      <c r="X29" s="16" t="s">
        <v>47</v>
      </c>
    </row>
    <row r="30" spans="2:24" ht="15.75" thickBot="1" x14ac:dyDescent="0.3">
      <c r="B30" s="89" t="s">
        <v>328</v>
      </c>
      <c r="C30" s="89"/>
      <c r="D30" s="89"/>
      <c r="F30" s="16" t="s">
        <v>333</v>
      </c>
      <c r="G30" s="16">
        <f>ROUNDDOWN(SQRT(G29/G28),0)</f>
        <v>12</v>
      </c>
      <c r="H30" s="16" t="s">
        <v>18</v>
      </c>
      <c r="J30" s="16" t="s">
        <v>330</v>
      </c>
      <c r="K30" s="16">
        <f>IF(C24&gt;=100,K27*K29,K27*K29)</f>
        <v>40956789.954069428</v>
      </c>
      <c r="L30" s="16" t="s">
        <v>271</v>
      </c>
      <c r="N30" s="29" t="s">
        <v>331</v>
      </c>
      <c r="O30" s="16" t="e">
        <f>ROUND(O29*393.7,0)</f>
        <v>#REF!</v>
      </c>
      <c r="P30" s="16"/>
      <c r="V30" s="29" t="s">
        <v>336</v>
      </c>
      <c r="W30" s="85" t="e">
        <f>IF(W29&gt;C26,"Real &gt; Proj","Real &lt; Proj")</f>
        <v>#REF!</v>
      </c>
      <c r="X30" s="86"/>
    </row>
    <row r="31" spans="2:24" ht="15.75" thickBot="1" x14ac:dyDescent="0.3">
      <c r="B31" s="16" t="s">
        <v>332</v>
      </c>
      <c r="C31" s="16">
        <f>1/C25</f>
        <v>4.0000000000000003E-5</v>
      </c>
      <c r="D31" s="16" t="s">
        <v>85</v>
      </c>
      <c r="F31" s="16" t="s">
        <v>337</v>
      </c>
      <c r="G31" s="16">
        <f>G30*G17</f>
        <v>2.1428571428571432</v>
      </c>
      <c r="H31" s="16" t="s">
        <v>18</v>
      </c>
      <c r="J31" s="16" t="s">
        <v>334</v>
      </c>
      <c r="K31" s="16">
        <f>O14</f>
        <v>7.2989999999999999E-2</v>
      </c>
      <c r="L31" s="16" t="s">
        <v>271</v>
      </c>
      <c r="N31" s="29" t="s">
        <v>335</v>
      </c>
      <c r="O31" s="16" t="e">
        <f>ROUND(1+(O29/SQRT(K28))*LN((2*O17)/O29),1)</f>
        <v>#REF!</v>
      </c>
      <c r="P31" s="16"/>
    </row>
    <row r="32" spans="2:24" ht="15.75" thickBot="1" x14ac:dyDescent="0.3">
      <c r="B32" s="16" t="s">
        <v>108</v>
      </c>
      <c r="C32" s="16">
        <f>C21*C31</f>
        <v>2.8E-5</v>
      </c>
      <c r="D32" s="16" t="s">
        <v>85</v>
      </c>
      <c r="F32" s="16" t="s">
        <v>340</v>
      </c>
      <c r="G32" s="16">
        <v>3</v>
      </c>
      <c r="H32" s="16" t="s">
        <v>21</v>
      </c>
      <c r="J32" s="16" t="s">
        <v>338</v>
      </c>
      <c r="K32" s="62">
        <f>(K30/K31)*100</f>
        <v>56112878413.576424</v>
      </c>
      <c r="L32" s="16" t="s">
        <v>47</v>
      </c>
      <c r="N32" s="29" t="s">
        <v>339</v>
      </c>
      <c r="O32" s="16" t="e">
        <f>SQRT((O29*K8)/(0.4*PI()*O11*O31*10^-8))</f>
        <v>#REF!</v>
      </c>
      <c r="P32" s="16" t="s">
        <v>318</v>
      </c>
      <c r="V32" s="87" t="s">
        <v>342</v>
      </c>
      <c r="W32" s="88"/>
      <c r="X32" s="88"/>
    </row>
    <row r="33" spans="2:25" ht="15.75" thickBot="1" x14ac:dyDescent="0.3">
      <c r="B33" s="16" t="s">
        <v>111</v>
      </c>
      <c r="C33" s="16" t="e">
        <f>C31*(1-C21-C22)</f>
        <v>#REF!</v>
      </c>
      <c r="D33" s="16" t="s">
        <v>85</v>
      </c>
      <c r="F33" s="16" t="s">
        <v>344</v>
      </c>
      <c r="G33" s="16">
        <v>20</v>
      </c>
      <c r="H33" s="16" t="s">
        <v>15</v>
      </c>
      <c r="J33" s="16" t="s">
        <v>330</v>
      </c>
      <c r="K33" s="85" t="str">
        <f>IF(K30&gt;K31,"Proj &gt; Indutor","Proj &lt; Indutor")</f>
        <v>Proj &gt; Indutor</v>
      </c>
      <c r="L33" s="86"/>
      <c r="N33" s="29" t="s">
        <v>341</v>
      </c>
      <c r="O33" s="16" t="e">
        <f>ROUND(O32,0)</f>
        <v>#REF!</v>
      </c>
      <c r="P33" s="16" t="s">
        <v>318</v>
      </c>
      <c r="V33" s="29" t="s">
        <v>3</v>
      </c>
      <c r="W33" s="29" t="s">
        <v>4</v>
      </c>
      <c r="X33" s="29" t="s">
        <v>5</v>
      </c>
    </row>
    <row r="34" spans="2:25" ht="15.75" thickBot="1" x14ac:dyDescent="0.3">
      <c r="B34" s="16" t="s">
        <v>343</v>
      </c>
      <c r="C34" s="16" t="e">
        <f>C31-(C33+C32)</f>
        <v>#REF!</v>
      </c>
      <c r="D34" s="16" t="s">
        <v>85</v>
      </c>
      <c r="F34" s="16"/>
      <c r="G34" s="16"/>
      <c r="H34" s="16"/>
      <c r="N34" s="29" t="s">
        <v>345</v>
      </c>
      <c r="O34" s="16" t="e">
        <f>ROUND((0.4*PI()*O33*O31*K12*10^-4)/(O29+O7/O16),3)</f>
        <v>#REF!</v>
      </c>
      <c r="P34" s="16" t="s">
        <v>57</v>
      </c>
      <c r="V34" s="29" t="s">
        <v>379</v>
      </c>
      <c r="W34" s="16">
        <v>75</v>
      </c>
      <c r="X34" s="16" t="s">
        <v>9</v>
      </c>
      <c r="Y34" t="s">
        <v>380</v>
      </c>
    </row>
    <row r="35" spans="2:25" ht="15.75" thickBot="1" x14ac:dyDescent="0.3">
      <c r="F35" s="16"/>
      <c r="G35" s="16"/>
      <c r="H35" s="68"/>
      <c r="J35" t="s">
        <v>346</v>
      </c>
      <c r="K35" t="s">
        <v>10</v>
      </c>
      <c r="N35" s="29" t="s">
        <v>347</v>
      </c>
      <c r="O35" s="16" t="e">
        <f>ROUND(G13/O25,0)</f>
        <v>#REF!</v>
      </c>
      <c r="P35" s="16" t="s">
        <v>256</v>
      </c>
      <c r="V35" s="29" t="s">
        <v>381</v>
      </c>
      <c r="W35" s="16">
        <v>20</v>
      </c>
      <c r="X35" s="16" t="s">
        <v>47</v>
      </c>
    </row>
    <row r="36" spans="2:25" ht="15.75" thickBot="1" x14ac:dyDescent="0.3">
      <c r="F36" s="16"/>
      <c r="G36" s="16"/>
      <c r="H36" s="16"/>
      <c r="J36">
        <f>SQRT(K31*K26)</f>
        <v>1.3722762112636071E-3</v>
      </c>
      <c r="K36">
        <f>((J36*2)/(K21^2))</f>
        <v>5.9604935157948552E-9</v>
      </c>
      <c r="N36" s="29" t="s">
        <v>349</v>
      </c>
      <c r="O36" s="16" t="e">
        <f>ROUND(O10*O33*O35*10^-6,4)</f>
        <v>#REF!</v>
      </c>
      <c r="P36" s="16" t="s">
        <v>25</v>
      </c>
      <c r="V36" s="29" t="s">
        <v>382</v>
      </c>
      <c r="W36" s="16">
        <f>W34*(100%-W35%)</f>
        <v>60</v>
      </c>
      <c r="X36" s="16" t="s">
        <v>9</v>
      </c>
    </row>
    <row r="37" spans="2:25" ht="15.75" thickBot="1" x14ac:dyDescent="0.3">
      <c r="F37" s="87" t="s">
        <v>311</v>
      </c>
      <c r="G37" s="88"/>
      <c r="H37" s="88"/>
      <c r="N37" s="29" t="s">
        <v>352</v>
      </c>
      <c r="O37" s="16" t="e">
        <f>ROUND(K13^2*O36,4)</f>
        <v>#REF!</v>
      </c>
      <c r="P37" s="16" t="s">
        <v>94</v>
      </c>
      <c r="V37" s="29" t="s">
        <v>383</v>
      </c>
      <c r="W37" s="16">
        <v>5</v>
      </c>
      <c r="X37" s="16" t="s">
        <v>47</v>
      </c>
      <c r="Y37" t="s">
        <v>384</v>
      </c>
    </row>
    <row r="38" spans="2:25" ht="15.75" thickBot="1" x14ac:dyDescent="0.3">
      <c r="B38" t="s">
        <v>348</v>
      </c>
      <c r="C38">
        <f>C6</f>
        <v>12</v>
      </c>
      <c r="F38" s="83" t="str">
        <f>IF(G32&lt;0,"Descontínuo","Contínuo")</f>
        <v>Contínuo</v>
      </c>
      <c r="G38" s="103"/>
      <c r="H38" s="84"/>
      <c r="V38" s="29" t="s">
        <v>385</v>
      </c>
      <c r="W38" s="16">
        <f>(C11+C12)*G18</f>
        <v>31.919999999999995</v>
      </c>
      <c r="X38" s="16" t="s">
        <v>9</v>
      </c>
    </row>
    <row r="39" spans="2:25" ht="15.75" thickBot="1" x14ac:dyDescent="0.3">
      <c r="B39" t="s">
        <v>351</v>
      </c>
      <c r="C39">
        <f>C12</f>
        <v>5</v>
      </c>
      <c r="V39" s="29" t="s">
        <v>386</v>
      </c>
      <c r="W39" s="16">
        <f>(1/2)*C25*G21*(K21^2)*(W36/(W36-W38))</f>
        <v>6933403.7048270497</v>
      </c>
      <c r="X39" s="16" t="s">
        <v>94</v>
      </c>
    </row>
    <row r="40" spans="2:25" ht="15.75" thickBot="1" x14ac:dyDescent="0.3">
      <c r="B40" t="s">
        <v>353</v>
      </c>
      <c r="C40">
        <f>K21</f>
        <v>678.57</v>
      </c>
      <c r="V40" s="29" t="s">
        <v>354</v>
      </c>
      <c r="W40" s="16">
        <f>ROUND((W36^2)/W39,2)</f>
        <v>0</v>
      </c>
      <c r="X40" s="16" t="s">
        <v>25</v>
      </c>
    </row>
    <row r="41" spans="2:25" ht="15.75" thickBot="1" x14ac:dyDescent="0.3">
      <c r="B41" t="s">
        <v>355</v>
      </c>
      <c r="C41">
        <f>K8</f>
        <v>5.6375838926174483E-4</v>
      </c>
      <c r="V41" s="29" t="s">
        <v>350</v>
      </c>
      <c r="W41" s="16" t="e">
        <f>W36/((W37%*W35)*W40*C25)</f>
        <v>#DIV/0!</v>
      </c>
      <c r="X41" s="16" t="s">
        <v>320</v>
      </c>
    </row>
    <row r="42" spans="2:25" ht="15.75" thickBot="1" x14ac:dyDescent="0.3">
      <c r="B42" t="s">
        <v>357</v>
      </c>
      <c r="C42">
        <f>C25</f>
        <v>25000</v>
      </c>
      <c r="V42" s="29" t="s">
        <v>350</v>
      </c>
      <c r="W42" s="16" t="e">
        <f>ROUND(W41*1000000,2)</f>
        <v>#DIV/0!</v>
      </c>
      <c r="X42" s="16" t="s">
        <v>34</v>
      </c>
    </row>
    <row r="43" spans="2:25" ht="15.75" thickBot="1" x14ac:dyDescent="0.3">
      <c r="B43" t="s">
        <v>358</v>
      </c>
      <c r="C43">
        <v>75</v>
      </c>
      <c r="V43" s="29" t="s">
        <v>356</v>
      </c>
      <c r="W43" s="16">
        <f>INDEX(Tabela3[Em Faraday],MATCH("Sim",Tabela3[C_Sb_off],0))</f>
        <v>4.7000000000000003E-10</v>
      </c>
      <c r="X43" s="16" t="s">
        <v>320</v>
      </c>
    </row>
    <row r="44" spans="2:25" ht="15.75" thickBot="1" x14ac:dyDescent="0.3">
      <c r="B44" t="s">
        <v>360</v>
      </c>
      <c r="C44">
        <f>C43*0.8</f>
        <v>60</v>
      </c>
      <c r="D44" s="74">
        <v>0.2</v>
      </c>
      <c r="V44" s="29" t="s">
        <v>356</v>
      </c>
      <c r="W44" s="16">
        <f>ROUND(W43*1000000,2)</f>
        <v>0</v>
      </c>
      <c r="X44" s="16" t="s">
        <v>34</v>
      </c>
    </row>
    <row r="45" spans="2:25" ht="15.75" thickBot="1" x14ac:dyDescent="0.3">
      <c r="B45" t="s">
        <v>361</v>
      </c>
      <c r="C45" s="74">
        <v>0.05</v>
      </c>
      <c r="V45" s="29" t="s">
        <v>359</v>
      </c>
      <c r="W45" s="16"/>
      <c r="X45" s="16" t="s">
        <v>25</v>
      </c>
    </row>
  </sheetData>
  <mergeCells count="29">
    <mergeCell ref="F27:H27"/>
    <mergeCell ref="V2:X2"/>
    <mergeCell ref="V18:X18"/>
    <mergeCell ref="W30:X30"/>
    <mergeCell ref="V32:X32"/>
    <mergeCell ref="O6:P6"/>
    <mergeCell ref="N20:P20"/>
    <mergeCell ref="R2:T2"/>
    <mergeCell ref="R15:T15"/>
    <mergeCell ref="J15:L15"/>
    <mergeCell ref="N2:P2"/>
    <mergeCell ref="O4:P4"/>
    <mergeCell ref="O5:P5"/>
    <mergeCell ref="F37:H37"/>
    <mergeCell ref="F38:H38"/>
    <mergeCell ref="B30:D30"/>
    <mergeCell ref="B2:D2"/>
    <mergeCell ref="J2:L2"/>
    <mergeCell ref="J3:L3"/>
    <mergeCell ref="J16:L16"/>
    <mergeCell ref="F15:H15"/>
    <mergeCell ref="C29:D29"/>
    <mergeCell ref="C28:D28"/>
    <mergeCell ref="F2:H2"/>
    <mergeCell ref="F7:H7"/>
    <mergeCell ref="J24:L24"/>
    <mergeCell ref="F25:H25"/>
    <mergeCell ref="F26:H26"/>
    <mergeCell ref="K33:L33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4398-4500-44D1-A67B-9B3562F8063F}">
  <dimension ref="A1:X34"/>
  <sheetViews>
    <sheetView topLeftCell="J1" workbookViewId="0">
      <selection activeCell="J36" sqref="J36"/>
    </sheetView>
  </sheetViews>
  <sheetFormatPr defaultRowHeight="15" x14ac:dyDescent="0.25"/>
  <cols>
    <col min="1" max="1" width="7.85546875" bestFit="1" customWidth="1"/>
    <col min="2" max="2" width="17.28515625" bestFit="1" customWidth="1"/>
    <col min="3" max="3" width="10" bestFit="1" customWidth="1"/>
    <col min="4" max="4" width="8.42578125" bestFit="1" customWidth="1"/>
    <col min="5" max="5" width="7.85546875" bestFit="1" customWidth="1"/>
    <col min="6" max="6" width="26.5703125" bestFit="1" customWidth="1"/>
    <col min="7" max="7" width="12" bestFit="1" customWidth="1"/>
    <col min="8" max="8" width="11.85546875" bestFit="1" customWidth="1"/>
    <col min="9" max="9" width="7.85546875" bestFit="1" customWidth="1"/>
    <col min="10" max="10" width="34.28515625" bestFit="1" customWidth="1"/>
    <col min="11" max="11" width="12" bestFit="1" customWidth="1"/>
    <col min="12" max="12" width="8.42578125" bestFit="1" customWidth="1"/>
    <col min="13" max="13" width="7.85546875" bestFit="1" customWidth="1"/>
    <col min="14" max="14" width="34.140625" bestFit="1" customWidth="1"/>
    <col min="15" max="15" width="12" bestFit="1" customWidth="1"/>
    <col min="16" max="16" width="14.42578125" bestFit="1" customWidth="1"/>
    <col min="17" max="17" width="7.85546875" bestFit="1" customWidth="1"/>
    <col min="18" max="18" width="34.7109375" bestFit="1" customWidth="1"/>
    <col min="19" max="19" width="12" bestFit="1" customWidth="1"/>
    <col min="20" max="20" width="14.42578125" bestFit="1" customWidth="1"/>
    <col min="21" max="21" width="7.85546875" bestFit="1" customWidth="1"/>
    <col min="22" max="22" width="32" bestFit="1" customWidth="1"/>
    <col min="23" max="23" width="12" bestFit="1" customWidth="1"/>
    <col min="24" max="24" width="12.42578125" bestFit="1" customWidth="1"/>
  </cols>
  <sheetData>
    <row r="1" spans="1:24" s="61" customFormat="1" ht="15.75" thickBot="1" x14ac:dyDescent="0.3">
      <c r="A1" s="61" t="s">
        <v>202</v>
      </c>
      <c r="E1" s="61" t="s">
        <v>202</v>
      </c>
      <c r="F1" s="61" t="s">
        <v>203</v>
      </c>
      <c r="G1" s="61" t="s">
        <v>65</v>
      </c>
      <c r="H1" s="61" t="s">
        <v>204</v>
      </c>
      <c r="I1" s="61" t="s">
        <v>202</v>
      </c>
      <c r="M1" s="61" t="s">
        <v>202</v>
      </c>
      <c r="Q1" s="61" t="s">
        <v>202</v>
      </c>
      <c r="U1" s="61" t="s">
        <v>202</v>
      </c>
    </row>
    <row r="2" spans="1:24" ht="15.75" thickBot="1" x14ac:dyDescent="0.3">
      <c r="B2" s="87" t="s">
        <v>0</v>
      </c>
      <c r="C2" s="88"/>
      <c r="D2" s="88"/>
      <c r="F2" s="87" t="s">
        <v>205</v>
      </c>
      <c r="G2" s="88"/>
      <c r="H2" s="88"/>
      <c r="J2" s="87" t="s">
        <v>206</v>
      </c>
      <c r="K2" s="88"/>
      <c r="L2" s="88"/>
      <c r="N2" s="87" t="s">
        <v>207</v>
      </c>
      <c r="O2" s="88"/>
      <c r="P2" s="88"/>
      <c r="R2" s="87" t="s">
        <v>208</v>
      </c>
      <c r="S2" s="88"/>
      <c r="T2" s="88"/>
      <c r="V2" s="87" t="s">
        <v>209</v>
      </c>
      <c r="W2" s="88"/>
      <c r="X2" s="88"/>
    </row>
    <row r="3" spans="1:24" ht="15.75" thickBot="1" x14ac:dyDescent="0.3">
      <c r="B3" s="29" t="s">
        <v>3</v>
      </c>
      <c r="C3" s="29" t="s">
        <v>4</v>
      </c>
      <c r="D3" s="29" t="s">
        <v>5</v>
      </c>
      <c r="F3" s="29" t="s">
        <v>3</v>
      </c>
      <c r="G3" s="29" t="s">
        <v>4</v>
      </c>
      <c r="H3" s="29" t="s">
        <v>5</v>
      </c>
      <c r="J3" s="87" t="s">
        <v>210</v>
      </c>
      <c r="K3" s="88"/>
      <c r="L3" s="88"/>
      <c r="N3" s="29" t="s">
        <v>213</v>
      </c>
      <c r="O3" s="83" t="s">
        <v>387</v>
      </c>
      <c r="P3" s="84"/>
      <c r="R3" s="29" t="s">
        <v>214</v>
      </c>
      <c r="S3" s="16">
        <f>(O30*(C12+C11)*(1-C21-C22))/(C6*C21)</f>
        <v>3.2000000000000006</v>
      </c>
      <c r="T3" s="16" t="s">
        <v>18</v>
      </c>
      <c r="V3" s="29" t="s">
        <v>215</v>
      </c>
      <c r="W3" s="16">
        <f>O22*O30</f>
        <v>48</v>
      </c>
      <c r="X3" s="16" t="s">
        <v>18</v>
      </c>
    </row>
    <row r="4" spans="1:24" ht="15.75" thickBot="1" x14ac:dyDescent="0.3">
      <c r="B4" s="18" t="s">
        <v>13</v>
      </c>
      <c r="C4" s="5">
        <v>32</v>
      </c>
      <c r="D4" s="19" t="s">
        <v>9</v>
      </c>
      <c r="F4" s="16" t="s">
        <v>211</v>
      </c>
      <c r="G4" s="16">
        <f>6.62/SQRT(C24)</f>
        <v>2.0934278110314671E-2</v>
      </c>
      <c r="H4" s="16" t="s">
        <v>212</v>
      </c>
      <c r="J4" s="29" t="s">
        <v>3</v>
      </c>
      <c r="K4" s="29" t="s">
        <v>4</v>
      </c>
      <c r="L4" s="29" t="s">
        <v>5</v>
      </c>
      <c r="N4" s="29" t="s">
        <v>219</v>
      </c>
      <c r="O4" s="85" t="s">
        <v>388</v>
      </c>
      <c r="P4" s="86"/>
      <c r="R4" s="29" t="s">
        <v>214</v>
      </c>
      <c r="S4" s="16">
        <f>ROUND(S3,0)</f>
        <v>3</v>
      </c>
      <c r="T4" s="16" t="s">
        <v>18</v>
      </c>
      <c r="V4" s="29" t="s">
        <v>220</v>
      </c>
      <c r="W4" s="16">
        <f>S4*S9</f>
        <v>24</v>
      </c>
      <c r="X4" s="16" t="s">
        <v>18</v>
      </c>
    </row>
    <row r="5" spans="1:24" ht="15.75" thickBot="1" x14ac:dyDescent="0.3">
      <c r="B5" s="18" t="s">
        <v>16</v>
      </c>
      <c r="C5" s="5">
        <v>28</v>
      </c>
      <c r="D5" s="19" t="s">
        <v>9</v>
      </c>
      <c r="F5" s="16" t="s">
        <v>217</v>
      </c>
      <c r="G5" s="16">
        <f>2*G4</f>
        <v>4.1868556220629342E-2</v>
      </c>
      <c r="H5" s="16" t="s">
        <v>212</v>
      </c>
      <c r="J5" s="16" t="s">
        <v>218</v>
      </c>
      <c r="K5" s="16">
        <f>(C6/C4)*C21</f>
        <v>0.375</v>
      </c>
      <c r="L5" s="16"/>
      <c r="N5" s="29" t="s">
        <v>225</v>
      </c>
      <c r="O5" s="85" t="s">
        <v>389</v>
      </c>
      <c r="P5" s="86"/>
      <c r="R5" s="29" t="s">
        <v>226</v>
      </c>
      <c r="S5" s="16">
        <f>(2*C14)/(1-C21-C22)</f>
        <v>10</v>
      </c>
      <c r="T5" s="16" t="s">
        <v>31</v>
      </c>
      <c r="V5" s="29" t="s">
        <v>227</v>
      </c>
      <c r="W5" s="16">
        <f>S16*S21</f>
        <v>14</v>
      </c>
      <c r="X5" s="16" t="s">
        <v>18</v>
      </c>
    </row>
    <row r="6" spans="1:24" ht="15.75" thickBot="1" x14ac:dyDescent="0.3">
      <c r="B6" s="18" t="s">
        <v>19</v>
      </c>
      <c r="C6" s="5">
        <v>24</v>
      </c>
      <c r="D6" s="19" t="s">
        <v>9</v>
      </c>
      <c r="F6" s="16" t="s">
        <v>222</v>
      </c>
      <c r="G6" s="16">
        <f>ROUND((PI()*G5^2)/4,5)</f>
        <v>1.3799999999999999E-3</v>
      </c>
      <c r="H6" s="16" t="s">
        <v>223</v>
      </c>
      <c r="J6" s="16" t="s">
        <v>224</v>
      </c>
      <c r="K6" s="16">
        <f>C30*(1-K5)</f>
        <v>6.2500000000000003E-6</v>
      </c>
      <c r="L6" s="16" t="s">
        <v>85</v>
      </c>
      <c r="N6" s="29" t="s">
        <v>232</v>
      </c>
      <c r="O6" s="16">
        <v>4.7</v>
      </c>
      <c r="P6" s="16" t="s">
        <v>212</v>
      </c>
      <c r="R6" s="29" t="s">
        <v>233</v>
      </c>
      <c r="S6" s="16">
        <f>ROUND(S5*SQRT((1-C21-C22)/3),2)</f>
        <v>3.65</v>
      </c>
      <c r="T6" s="16" t="s">
        <v>31</v>
      </c>
      <c r="V6" s="29" t="s">
        <v>234</v>
      </c>
      <c r="W6" s="16">
        <f>SUM(W3:W5)</f>
        <v>86</v>
      </c>
      <c r="X6" s="16" t="s">
        <v>18</v>
      </c>
    </row>
    <row r="7" spans="1:24" ht="15.75" thickBot="1" x14ac:dyDescent="0.3">
      <c r="B7" s="16" t="s">
        <v>229</v>
      </c>
      <c r="C7" s="16">
        <v>28</v>
      </c>
      <c r="D7" s="16" t="s">
        <v>71</v>
      </c>
      <c r="F7" s="87" t="s">
        <v>230</v>
      </c>
      <c r="G7" s="88"/>
      <c r="H7" s="88"/>
      <c r="J7" s="16" t="s">
        <v>231</v>
      </c>
      <c r="K7" s="16">
        <f>ROUND((((C4*K5)^2)*C30)/(2*C10),9)</f>
        <v>3.5018999999999998E-5</v>
      </c>
      <c r="L7" s="16" t="s">
        <v>42</v>
      </c>
      <c r="N7" s="29" t="s">
        <v>238</v>
      </c>
      <c r="O7" s="16">
        <v>7</v>
      </c>
      <c r="P7" s="16" t="s">
        <v>239</v>
      </c>
      <c r="R7" s="29" t="s">
        <v>240</v>
      </c>
      <c r="S7" s="16">
        <f>ROUND(S6/O19,5)</f>
        <v>9.9500000000000005E-3</v>
      </c>
      <c r="T7" s="16" t="s">
        <v>223</v>
      </c>
      <c r="V7" s="29" t="s">
        <v>241</v>
      </c>
      <c r="W7" s="16">
        <f>W6*G12/O11</f>
        <v>0.21972055888223554</v>
      </c>
      <c r="X7" s="16" t="s">
        <v>242</v>
      </c>
    </row>
    <row r="8" spans="1:24" ht="15.75" thickBot="1" x14ac:dyDescent="0.3">
      <c r="B8" s="16" t="s">
        <v>235</v>
      </c>
      <c r="C8" s="16">
        <v>0.86</v>
      </c>
      <c r="D8" s="16" t="s">
        <v>31</v>
      </c>
      <c r="F8" s="16" t="s">
        <v>236</v>
      </c>
      <c r="G8" s="16">
        <f>INDEX(AWG!O:O,MATCH("Sim",AWG!S:S,0))</f>
        <v>1.2800000000000001E-3</v>
      </c>
      <c r="H8" s="16" t="s">
        <v>223</v>
      </c>
      <c r="J8" s="16" t="s">
        <v>237</v>
      </c>
      <c r="K8" s="16">
        <f>IF(C27="Contínuo",G29,K7)</f>
        <v>3.5018999999999998E-5</v>
      </c>
      <c r="L8" s="16" t="s">
        <v>42</v>
      </c>
      <c r="N8" s="29" t="s">
        <v>244</v>
      </c>
      <c r="O8" s="16">
        <v>6.8</v>
      </c>
      <c r="P8" s="16" t="s">
        <v>239</v>
      </c>
      <c r="R8" s="29" t="s">
        <v>245</v>
      </c>
      <c r="S8" s="16">
        <f>S7/G12</f>
        <v>7.7734375</v>
      </c>
      <c r="T8" s="16" t="s">
        <v>246</v>
      </c>
      <c r="V8" s="29" t="s">
        <v>247</v>
      </c>
      <c r="W8" s="16">
        <f>S12+S24+O34</f>
        <v>9.3700000000000006E-2</v>
      </c>
      <c r="X8" s="16" t="s">
        <v>94</v>
      </c>
    </row>
    <row r="9" spans="1:24" ht="15.75" thickBot="1" x14ac:dyDescent="0.3">
      <c r="B9" s="18" t="s">
        <v>50</v>
      </c>
      <c r="C9" s="5">
        <v>90</v>
      </c>
      <c r="D9" s="19" t="s">
        <v>47</v>
      </c>
      <c r="F9" s="16" t="s">
        <v>62</v>
      </c>
      <c r="G9" s="16">
        <f>INDEX(AWG!B:B,MATCH("Sim",AWG!S:S,0))</f>
        <v>26</v>
      </c>
      <c r="H9" s="16" t="s">
        <v>15</v>
      </c>
      <c r="J9" s="16" t="s">
        <v>243</v>
      </c>
      <c r="K9" s="16">
        <f>K8*1000000</f>
        <v>35.018999999999998</v>
      </c>
      <c r="L9" s="16" t="s">
        <v>11</v>
      </c>
      <c r="N9" s="29" t="s">
        <v>252</v>
      </c>
      <c r="O9" s="16">
        <v>3.8</v>
      </c>
      <c r="P9" s="16" t="s">
        <v>212</v>
      </c>
      <c r="R9" s="29" t="s">
        <v>245</v>
      </c>
      <c r="S9" s="16">
        <f>ROUND(S8,0)</f>
        <v>8</v>
      </c>
      <c r="T9" s="16" t="s">
        <v>246</v>
      </c>
      <c r="V9" s="29" t="s">
        <v>253</v>
      </c>
      <c r="W9" s="16">
        <f>W8/C20</f>
        <v>5.0648648648648651E-3</v>
      </c>
      <c r="X9" s="16" t="s">
        <v>47</v>
      </c>
    </row>
    <row r="10" spans="1:24" ht="15.75" thickBot="1" x14ac:dyDescent="0.3">
      <c r="B10" s="16" t="s">
        <v>248</v>
      </c>
      <c r="C10" s="16">
        <v>20.56</v>
      </c>
      <c r="D10" s="16" t="s">
        <v>94</v>
      </c>
      <c r="F10" s="16" t="s">
        <v>249</v>
      </c>
      <c r="G10" s="16">
        <f>INDEX(AWG!E:E,MATCH("Sim",AWG!S:S,0))</f>
        <v>1345</v>
      </c>
      <c r="H10" s="16" t="s">
        <v>250</v>
      </c>
      <c r="J10" s="16" t="s">
        <v>251</v>
      </c>
      <c r="K10" s="16">
        <f>ROUND((C30*C6*C21)/K8,2)</f>
        <v>3.43</v>
      </c>
      <c r="L10" s="16" t="s">
        <v>31</v>
      </c>
      <c r="N10" s="29" t="s">
        <v>254</v>
      </c>
      <c r="O10" s="16">
        <v>0.31</v>
      </c>
      <c r="P10" s="16" t="s">
        <v>223</v>
      </c>
      <c r="R10" s="29" t="s">
        <v>255</v>
      </c>
      <c r="S10" s="16">
        <f>ROUND(G13/S9,0)</f>
        <v>168</v>
      </c>
      <c r="T10" s="16" t="s">
        <v>256</v>
      </c>
      <c r="V10" s="29" t="s">
        <v>257</v>
      </c>
      <c r="W10" s="16">
        <f>(0.4*PI()*O30*O28*(K12/2)*10^-4)/(O26+(O6/O15))</f>
        <v>0.11156485130796925</v>
      </c>
      <c r="X10" s="16" t="s">
        <v>258</v>
      </c>
    </row>
    <row r="11" spans="1:24" ht="15.75" thickBot="1" x14ac:dyDescent="0.3">
      <c r="B11" s="18" t="s">
        <v>51</v>
      </c>
      <c r="C11" s="5">
        <v>1</v>
      </c>
      <c r="D11" s="19" t="s">
        <v>9</v>
      </c>
      <c r="F11" s="18" t="s">
        <v>63</v>
      </c>
      <c r="G11" s="18">
        <f>G9</f>
        <v>26</v>
      </c>
      <c r="H11" s="18" t="s">
        <v>15</v>
      </c>
      <c r="J11" s="16" t="s">
        <v>235</v>
      </c>
      <c r="K11" s="16">
        <f>C8</f>
        <v>0.86</v>
      </c>
      <c r="L11" s="16" t="s">
        <v>31</v>
      </c>
      <c r="N11" s="29" t="s">
        <v>260</v>
      </c>
      <c r="O11" s="16">
        <v>0.501</v>
      </c>
      <c r="P11" s="16" t="s">
        <v>223</v>
      </c>
      <c r="R11" s="29" t="s">
        <v>261</v>
      </c>
      <c r="S11" s="56">
        <f>O9*S4*S10*10^-6</f>
        <v>1.9151999999999997E-3</v>
      </c>
      <c r="T11" s="16" t="s">
        <v>25</v>
      </c>
      <c r="V11" s="29" t="s">
        <v>262</v>
      </c>
      <c r="W11" s="16">
        <f>ROUND(4.855*(10^-5)*(C24^1.63)*(W10^2.62),1)</f>
        <v>21.9</v>
      </c>
      <c r="X11" s="16" t="s">
        <v>263</v>
      </c>
    </row>
    <row r="12" spans="1:24" ht="15.75" thickBot="1" x14ac:dyDescent="0.3">
      <c r="B12" s="18" t="s">
        <v>22</v>
      </c>
      <c r="C12" s="5">
        <v>5</v>
      </c>
      <c r="D12" s="19" t="s">
        <v>9</v>
      </c>
      <c r="F12" s="16" t="s">
        <v>236</v>
      </c>
      <c r="G12" s="16">
        <f>_xlfn.XLOOKUP(G11,AWG!B6:B40,AWG!O6:O40,"",0,1)</f>
        <v>1.2800000000000001E-3</v>
      </c>
      <c r="H12" s="16" t="s">
        <v>223</v>
      </c>
      <c r="J12" s="16" t="s">
        <v>259</v>
      </c>
      <c r="K12" s="16">
        <f>IF(C27="Contínuo",ROUND((C8/C21)+(K10/2),2),K21)</f>
        <v>3.43</v>
      </c>
      <c r="L12" s="16" t="s">
        <v>31</v>
      </c>
      <c r="N12" s="29" t="s">
        <v>265</v>
      </c>
      <c r="O12" s="16">
        <v>0.155</v>
      </c>
      <c r="P12" s="16" t="s">
        <v>266</v>
      </c>
      <c r="R12" s="29" t="s">
        <v>267</v>
      </c>
      <c r="S12" s="16">
        <f>ROUND((S6^2)*S11,4)</f>
        <v>2.5499999999999998E-2</v>
      </c>
      <c r="T12" s="16" t="s">
        <v>94</v>
      </c>
      <c r="V12" s="29" t="s">
        <v>268</v>
      </c>
      <c r="W12" s="16">
        <f>W11*O7*10^-3</f>
        <v>0.15329999999999999</v>
      </c>
      <c r="X12" s="16" t="s">
        <v>94</v>
      </c>
    </row>
    <row r="13" spans="1:24" ht="15.75" thickBot="1" x14ac:dyDescent="0.3">
      <c r="B13" s="18" t="s">
        <v>24</v>
      </c>
      <c r="C13" s="5">
        <v>2.5</v>
      </c>
      <c r="D13" s="19" t="s">
        <v>71</v>
      </c>
      <c r="F13" s="16" t="s">
        <v>249</v>
      </c>
      <c r="G13" s="16">
        <f>_xlfn.XLOOKUP(G11,AWG!B6:B40,AWG!E6:E40,"",0,1)</f>
        <v>1345</v>
      </c>
      <c r="H13" s="16" t="s">
        <v>250</v>
      </c>
      <c r="J13" s="16" t="s">
        <v>264</v>
      </c>
      <c r="K13" s="16">
        <f>IF(C27="Contínuo",ROUND(K12*SQRT((C31/(3*C30))),2),K22)</f>
        <v>1.4</v>
      </c>
      <c r="L13" s="16" t="s">
        <v>31</v>
      </c>
      <c r="N13" s="29" t="s">
        <v>270</v>
      </c>
      <c r="O13" s="16">
        <v>5.0600000000000003E-3</v>
      </c>
      <c r="P13" s="16" t="s">
        <v>271</v>
      </c>
      <c r="V13" s="29" t="s">
        <v>272</v>
      </c>
      <c r="W13" s="16">
        <f>W12+W8</f>
        <v>0.247</v>
      </c>
      <c r="X13" s="16" t="s">
        <v>94</v>
      </c>
    </row>
    <row r="14" spans="1:24" ht="15.75" thickBot="1" x14ac:dyDescent="0.3">
      <c r="B14" s="16" t="s">
        <v>269</v>
      </c>
      <c r="C14" s="16">
        <v>2</v>
      </c>
      <c r="D14" s="16" t="s">
        <v>31</v>
      </c>
      <c r="N14" s="29" t="s">
        <v>276</v>
      </c>
      <c r="O14" s="16">
        <v>13.3</v>
      </c>
      <c r="P14" s="16" t="s">
        <v>212</v>
      </c>
      <c r="R14" s="87" t="s">
        <v>277</v>
      </c>
      <c r="S14" s="88"/>
      <c r="T14" s="88"/>
      <c r="V14" s="29" t="s">
        <v>278</v>
      </c>
      <c r="W14" s="16">
        <f>W13/O14</f>
        <v>1.8571428571428569E-2</v>
      </c>
      <c r="X14" s="16" t="s">
        <v>279</v>
      </c>
    </row>
    <row r="15" spans="1:24" ht="15.75" thickBot="1" x14ac:dyDescent="0.3">
      <c r="B15" s="16" t="s">
        <v>273</v>
      </c>
      <c r="C15" s="16">
        <v>12</v>
      </c>
      <c r="D15" s="16" t="s">
        <v>94</v>
      </c>
      <c r="F15" s="87" t="s">
        <v>274</v>
      </c>
      <c r="G15" s="88"/>
      <c r="H15" s="88"/>
      <c r="J15" s="87" t="s">
        <v>275</v>
      </c>
      <c r="K15" s="88"/>
      <c r="L15" s="88"/>
      <c r="N15" s="29" t="s">
        <v>281</v>
      </c>
      <c r="O15" s="16">
        <v>2500</v>
      </c>
      <c r="P15" s="16"/>
      <c r="R15" s="29" t="s">
        <v>214</v>
      </c>
      <c r="S15" s="16">
        <f>(O30*(C16+C11)*(1-C21-C22))/(C6*C21)</f>
        <v>6.9333333333333336</v>
      </c>
      <c r="T15" s="16" t="s">
        <v>18</v>
      </c>
      <c r="V15" s="29" t="s">
        <v>282</v>
      </c>
      <c r="W15" s="16">
        <f>ROUND(450*(W14^0.826),1)</f>
        <v>16.7</v>
      </c>
      <c r="X15" s="16" t="s">
        <v>283</v>
      </c>
    </row>
    <row r="16" spans="1:24" ht="15.75" thickBot="1" x14ac:dyDescent="0.3">
      <c r="B16" s="18" t="s">
        <v>280</v>
      </c>
      <c r="C16" s="5">
        <v>12</v>
      </c>
      <c r="D16" s="19" t="s">
        <v>9</v>
      </c>
      <c r="F16" s="29" t="s">
        <v>3</v>
      </c>
      <c r="G16" s="29" t="s">
        <v>4</v>
      </c>
      <c r="H16" s="29" t="s">
        <v>5</v>
      </c>
      <c r="J16" s="87" t="s">
        <v>210</v>
      </c>
      <c r="K16" s="88"/>
      <c r="L16" s="88"/>
      <c r="N16" s="29" t="s">
        <v>285</v>
      </c>
      <c r="O16" s="16">
        <v>1.54</v>
      </c>
      <c r="P16" s="16" t="s">
        <v>212</v>
      </c>
      <c r="R16" s="29" t="s">
        <v>214</v>
      </c>
      <c r="S16" s="16">
        <f>ROUND(S15,0)</f>
        <v>7</v>
      </c>
      <c r="T16" s="16" t="s">
        <v>18</v>
      </c>
    </row>
    <row r="17" spans="2:24" ht="15.75" thickBot="1" x14ac:dyDescent="0.3">
      <c r="B17" s="18" t="s">
        <v>284</v>
      </c>
      <c r="C17" s="5">
        <v>24</v>
      </c>
      <c r="D17" s="19" t="s">
        <v>71</v>
      </c>
      <c r="F17" s="16" t="s">
        <v>296</v>
      </c>
      <c r="G17" s="16">
        <f>ROUND((C12^2)/(C5*C21*C13),2)</f>
        <v>0.71</v>
      </c>
      <c r="H17" s="16" t="s">
        <v>31</v>
      </c>
      <c r="J17" s="29" t="s">
        <v>3</v>
      </c>
      <c r="K17" s="29" t="s">
        <v>4</v>
      </c>
      <c r="L17" s="29" t="s">
        <v>5</v>
      </c>
      <c r="R17" s="29" t="s">
        <v>226</v>
      </c>
      <c r="S17" s="16">
        <f>(2*C18)/(1-C21-C22)</f>
        <v>2.5</v>
      </c>
      <c r="T17" s="16" t="s">
        <v>31</v>
      </c>
      <c r="V17" s="87" t="s">
        <v>291</v>
      </c>
      <c r="W17" s="88"/>
      <c r="X17" s="88"/>
    </row>
    <row r="18" spans="2:24" ht="15.75" thickBot="1" x14ac:dyDescent="0.3">
      <c r="B18" s="16" t="s">
        <v>286</v>
      </c>
      <c r="C18" s="16">
        <v>0.5</v>
      </c>
      <c r="D18" s="16" t="s">
        <v>31</v>
      </c>
      <c r="F18" s="16" t="s">
        <v>298</v>
      </c>
      <c r="G18" s="16">
        <f>ROUND((C5*C21)/(K7*C24),2)</f>
        <v>4</v>
      </c>
      <c r="H18" s="16" t="s">
        <v>31</v>
      </c>
      <c r="J18" s="16" t="s">
        <v>288</v>
      </c>
      <c r="K18" s="16">
        <f>ROUND((C7*C30*C21^2)/2,9)</f>
        <v>3.4999999999999997E-5</v>
      </c>
      <c r="L18" s="16" t="s">
        <v>42</v>
      </c>
      <c r="N18" s="87" t="s">
        <v>297</v>
      </c>
      <c r="O18" s="88"/>
      <c r="P18" s="88"/>
      <c r="R18" s="29" t="s">
        <v>233</v>
      </c>
      <c r="S18" s="16">
        <f>ROUND(S17*SQRT((1-C21-C22)/3),3)</f>
        <v>0.91300000000000003</v>
      </c>
      <c r="T18" s="16" t="s">
        <v>31</v>
      </c>
      <c r="V18" s="29" t="s">
        <v>296</v>
      </c>
      <c r="W18" s="16">
        <f>G25</f>
        <v>0.71</v>
      </c>
      <c r="X18" s="16" t="s">
        <v>31</v>
      </c>
    </row>
    <row r="19" spans="2:24" ht="15.75" thickBot="1" x14ac:dyDescent="0.3">
      <c r="B19" s="16" t="s">
        <v>292</v>
      </c>
      <c r="C19" s="16">
        <v>6.5</v>
      </c>
      <c r="D19" s="16" t="s">
        <v>94</v>
      </c>
      <c r="F19" s="16" t="s">
        <v>303</v>
      </c>
      <c r="G19" s="16">
        <f>G17-(G18/2)</f>
        <v>-1.29</v>
      </c>
      <c r="H19" s="16" t="s">
        <v>31</v>
      </c>
      <c r="J19" s="16" t="s">
        <v>288</v>
      </c>
      <c r="K19" s="16">
        <f>K18*1000000</f>
        <v>35</v>
      </c>
      <c r="L19" s="16" t="s">
        <v>11</v>
      </c>
      <c r="N19" s="29" t="s">
        <v>299</v>
      </c>
      <c r="O19" s="16">
        <f>ROUNDUP((2*(K25)*10^4)/(C26*K28*O12),0)</f>
        <v>367</v>
      </c>
      <c r="P19" s="16" t="s">
        <v>300</v>
      </c>
      <c r="R19" s="29" t="s">
        <v>240</v>
      </c>
      <c r="S19" s="16">
        <f>ROUND(S18/O19,5)</f>
        <v>2.49E-3</v>
      </c>
      <c r="T19" s="16" t="s">
        <v>223</v>
      </c>
      <c r="V19" s="29" t="s">
        <v>298</v>
      </c>
      <c r="W19" s="16">
        <f>ROUND((C5*C21)/(K8*C24),2)</f>
        <v>4</v>
      </c>
      <c r="X19" s="16" t="s">
        <v>31</v>
      </c>
    </row>
    <row r="20" spans="2:24" ht="15.75" thickBot="1" x14ac:dyDescent="0.3">
      <c r="B20" s="16" t="s">
        <v>295</v>
      </c>
      <c r="C20" s="16">
        <v>18.5</v>
      </c>
      <c r="D20" s="16" t="s">
        <v>94</v>
      </c>
      <c r="F20" s="16" t="s">
        <v>307</v>
      </c>
      <c r="G20" s="16">
        <f>G17+(G18/2)</f>
        <v>2.71</v>
      </c>
      <c r="H20" s="16" t="s">
        <v>31</v>
      </c>
      <c r="J20" s="16" t="s">
        <v>235</v>
      </c>
      <c r="K20" s="16">
        <f>C8</f>
        <v>0.86</v>
      </c>
      <c r="L20" s="16" t="s">
        <v>31</v>
      </c>
      <c r="N20" s="29" t="s">
        <v>302</v>
      </c>
      <c r="O20" s="16">
        <f>ROUND(K13/O19,5)</f>
        <v>3.81E-3</v>
      </c>
      <c r="P20" s="16" t="s">
        <v>223</v>
      </c>
      <c r="R20" s="29" t="s">
        <v>245</v>
      </c>
      <c r="S20" s="16">
        <f>S19/G12</f>
        <v>1.9453124999999998</v>
      </c>
      <c r="T20" s="16" t="s">
        <v>246</v>
      </c>
      <c r="V20" s="29" t="s">
        <v>301</v>
      </c>
      <c r="W20" s="16">
        <f>W19+(W18/2)</f>
        <v>4.3550000000000004</v>
      </c>
      <c r="X20" s="16" t="s">
        <v>31</v>
      </c>
    </row>
    <row r="21" spans="2:24" ht="15.75" thickBot="1" x14ac:dyDescent="0.3">
      <c r="B21" s="18" t="s">
        <v>52</v>
      </c>
      <c r="C21" s="5">
        <v>0.5</v>
      </c>
      <c r="D21" s="19"/>
      <c r="F21" s="87" t="s">
        <v>311</v>
      </c>
      <c r="G21" s="88"/>
      <c r="H21" s="88"/>
      <c r="J21" s="16" t="s">
        <v>259</v>
      </c>
      <c r="K21" s="16">
        <f>ROUND((2*C20*C30)/((C9%)*C6*C31),2)</f>
        <v>3.43</v>
      </c>
      <c r="L21" s="16" t="s">
        <v>31</v>
      </c>
      <c r="N21" s="29" t="s">
        <v>305</v>
      </c>
      <c r="O21" s="16">
        <f>O20/G12</f>
        <v>2.9765624999999996</v>
      </c>
      <c r="P21" s="16" t="s">
        <v>246</v>
      </c>
      <c r="R21" s="29" t="s">
        <v>245</v>
      </c>
      <c r="S21" s="16">
        <f>ROUND(S20,0)</f>
        <v>2</v>
      </c>
      <c r="T21" s="16" t="s">
        <v>246</v>
      </c>
      <c r="V21" s="29" t="s">
        <v>306</v>
      </c>
      <c r="W21" s="16">
        <f>G28*G31</f>
        <v>0.38589285714285709</v>
      </c>
      <c r="X21" s="16" t="s">
        <v>31</v>
      </c>
    </row>
    <row r="22" spans="2:24" ht="15.75" thickBot="1" x14ac:dyDescent="0.3">
      <c r="B22" s="18" t="s">
        <v>54</v>
      </c>
      <c r="C22" s="5">
        <v>0.1</v>
      </c>
      <c r="D22" s="19"/>
      <c r="F22" s="83" t="str">
        <f>IF(G19&lt;0,"Descontínuo","Contínuo")</f>
        <v>Descontínuo</v>
      </c>
      <c r="G22" s="103"/>
      <c r="H22" s="84"/>
      <c r="J22" s="16" t="s">
        <v>264</v>
      </c>
      <c r="K22" s="16">
        <f>ROUND(K21*SQRT((C31/(3*C30))),2)</f>
        <v>1.4</v>
      </c>
      <c r="L22" s="16" t="s">
        <v>31</v>
      </c>
      <c r="N22" s="29" t="s">
        <v>305</v>
      </c>
      <c r="O22" s="16">
        <f>ROUND(O21,0)</f>
        <v>3</v>
      </c>
      <c r="P22" s="16" t="s">
        <v>246</v>
      </c>
      <c r="R22" s="29" t="s">
        <v>255</v>
      </c>
      <c r="S22" s="16">
        <f>IF(S21=0,0,ROUND(G13/S21,0))</f>
        <v>673</v>
      </c>
      <c r="T22" s="16" t="s">
        <v>256</v>
      </c>
      <c r="V22" s="29" t="s">
        <v>310</v>
      </c>
      <c r="W22" s="16">
        <f>C25%*C12</f>
        <v>0.1</v>
      </c>
      <c r="X22" s="16" t="s">
        <v>9</v>
      </c>
    </row>
    <row r="23" spans="2:24" ht="15.75" thickBot="1" x14ac:dyDescent="0.3">
      <c r="B23" s="18" t="s">
        <v>40</v>
      </c>
      <c r="C23" s="5">
        <v>100</v>
      </c>
      <c r="D23" s="19" t="s">
        <v>41</v>
      </c>
      <c r="F23" s="87" t="s">
        <v>390</v>
      </c>
      <c r="G23" s="88"/>
      <c r="H23" s="88"/>
      <c r="N23" s="29" t="s">
        <v>313</v>
      </c>
      <c r="O23" s="16">
        <f>O11/2</f>
        <v>0.2505</v>
      </c>
      <c r="P23" s="16" t="s">
        <v>223</v>
      </c>
      <c r="R23" s="29" t="s">
        <v>261</v>
      </c>
      <c r="S23" s="16">
        <f>ROUND(O9*S16*S22*10^-6,4)</f>
        <v>1.7899999999999999E-2</v>
      </c>
      <c r="T23" s="16" t="s">
        <v>25</v>
      </c>
      <c r="V23" s="29" t="s">
        <v>314</v>
      </c>
      <c r="W23" s="16">
        <f>W22/W21</f>
        <v>0.25913928736695979</v>
      </c>
      <c r="X23" s="16" t="s">
        <v>25</v>
      </c>
    </row>
    <row r="24" spans="2:24" ht="15.75" thickBot="1" x14ac:dyDescent="0.3">
      <c r="B24" s="16" t="s">
        <v>40</v>
      </c>
      <c r="C24" s="16">
        <v>100000</v>
      </c>
      <c r="D24" s="16" t="s">
        <v>42</v>
      </c>
      <c r="F24" s="16" t="s">
        <v>391</v>
      </c>
      <c r="G24" s="16">
        <v>140</v>
      </c>
      <c r="H24" s="16" t="s">
        <v>47</v>
      </c>
      <c r="J24" s="87" t="s">
        <v>304</v>
      </c>
      <c r="K24" s="88"/>
      <c r="L24" s="88"/>
      <c r="N24" s="29" t="s">
        <v>317</v>
      </c>
      <c r="O24" s="16">
        <f>(K28*O23)/(O22*G12)</f>
        <v>18.917968749999996</v>
      </c>
      <c r="P24" s="16" t="s">
        <v>318</v>
      </c>
      <c r="R24" s="29" t="s">
        <v>267</v>
      </c>
      <c r="S24" s="16">
        <f>ROUND((S18^2)*S23,4)</f>
        <v>1.49E-2</v>
      </c>
      <c r="T24" s="16" t="s">
        <v>94</v>
      </c>
      <c r="V24" s="29" t="s">
        <v>319</v>
      </c>
      <c r="W24" s="16">
        <f>(10^-5)/W23</f>
        <v>3.8589285714285712E-5</v>
      </c>
      <c r="X24" s="16" t="s">
        <v>320</v>
      </c>
    </row>
    <row r="25" spans="2:24" ht="15.75" thickBot="1" x14ac:dyDescent="0.3">
      <c r="B25" s="18" t="s">
        <v>55</v>
      </c>
      <c r="C25" s="5">
        <v>2</v>
      </c>
      <c r="D25" s="19" t="s">
        <v>47</v>
      </c>
      <c r="F25" s="16" t="s">
        <v>296</v>
      </c>
      <c r="G25" s="16">
        <f>ROUND((C12^2)/(C5*C21*C13),2)</f>
        <v>0.71</v>
      </c>
      <c r="H25" s="16" t="s">
        <v>31</v>
      </c>
      <c r="J25" s="16" t="s">
        <v>308</v>
      </c>
      <c r="K25" s="16">
        <f>ROUND((K8*(K12^2))/2,7)</f>
        <v>2.0599999999999999E-4</v>
      </c>
      <c r="L25" s="16" t="s">
        <v>309</v>
      </c>
      <c r="N25" s="29" t="s">
        <v>317</v>
      </c>
      <c r="O25" s="16">
        <f>ROUND(O24,0)</f>
        <v>19</v>
      </c>
      <c r="P25" s="16" t="s">
        <v>318</v>
      </c>
      <c r="V25" s="29" t="s">
        <v>323</v>
      </c>
      <c r="W25" s="16" t="e">
        <f>INDEX(Tabela3[Em Faraday],MATCH("Sim",#REF!,0))</f>
        <v>#REF!</v>
      </c>
      <c r="X25" s="16" t="s">
        <v>320</v>
      </c>
    </row>
    <row r="26" spans="2:24" ht="15.75" thickBot="1" x14ac:dyDescent="0.3">
      <c r="B26" s="18" t="s">
        <v>315</v>
      </c>
      <c r="C26" s="5">
        <v>0.25</v>
      </c>
      <c r="D26" s="19" t="s">
        <v>57</v>
      </c>
      <c r="F26" s="16" t="s">
        <v>298</v>
      </c>
      <c r="G26" s="16">
        <f>G24%*G19*-1</f>
        <v>1.8059999999999998</v>
      </c>
      <c r="H26" s="16" t="s">
        <v>31</v>
      </c>
      <c r="J26" s="16" t="s">
        <v>312</v>
      </c>
      <c r="K26" s="16">
        <f>ROUND((0.145*C20*(C26^2)*10^-4),7)</f>
        <v>1.6799999999999998E-5</v>
      </c>
      <c r="L26" s="16"/>
      <c r="N26" s="29" t="s">
        <v>326</v>
      </c>
      <c r="O26" s="16">
        <f>ROUND(((0.4*PI()*(O25^2)*O10*(10^-8))/K8)-(O6/O15),4)</f>
        <v>3.8300000000000001E-2</v>
      </c>
      <c r="P26" s="16" t="s">
        <v>212</v>
      </c>
      <c r="V26" s="29" t="s">
        <v>327</v>
      </c>
      <c r="W26" s="16" t="e">
        <f>ROUND(C21/(C13*(W25)*C24),4)</f>
        <v>#REF!</v>
      </c>
      <c r="X26" s="16"/>
    </row>
    <row r="27" spans="2:24" ht="15.75" thickBot="1" x14ac:dyDescent="0.3">
      <c r="B27" s="18" t="s">
        <v>58</v>
      </c>
      <c r="C27" s="115" t="s">
        <v>392</v>
      </c>
      <c r="D27" s="116"/>
      <c r="F27" s="16" t="s">
        <v>393</v>
      </c>
      <c r="G27" s="16">
        <f>G26-(G25/2)</f>
        <v>1.4509999999999998</v>
      </c>
      <c r="H27" s="16" t="s">
        <v>31</v>
      </c>
      <c r="J27" s="16" t="s">
        <v>316</v>
      </c>
      <c r="K27" s="16">
        <f>(K25^2)/(K26)</f>
        <v>2.5259523809523809E-3</v>
      </c>
      <c r="L27" s="16" t="s">
        <v>271</v>
      </c>
      <c r="N27" s="29" t="s">
        <v>331</v>
      </c>
      <c r="O27" s="16">
        <f>ROUND(O26*393.7,0)</f>
        <v>15</v>
      </c>
      <c r="P27" s="16"/>
      <c r="V27" s="29" t="s">
        <v>327</v>
      </c>
      <c r="W27" s="16" t="e">
        <f>W26*100</f>
        <v>#REF!</v>
      </c>
      <c r="X27" s="16" t="s">
        <v>47</v>
      </c>
    </row>
    <row r="28" spans="2:24" ht="15.75" thickBot="1" x14ac:dyDescent="0.3">
      <c r="B28" s="18" t="s">
        <v>324</v>
      </c>
      <c r="C28" s="97" t="s">
        <v>394</v>
      </c>
      <c r="D28" s="98"/>
      <c r="F28" s="16" t="s">
        <v>301</v>
      </c>
      <c r="G28" s="16">
        <f>G26+(G25/2)</f>
        <v>2.1609999999999996</v>
      </c>
      <c r="H28" s="16" t="s">
        <v>31</v>
      </c>
      <c r="J28" s="16" t="s">
        <v>322</v>
      </c>
      <c r="K28" s="52">
        <f>IF(C28="Toroidal",_xlfn.XLOOKUP(G11,AWG!B6:B40,AWG!AC6:AC40,"",0,1),_xlfn.XLOOKUP(G11,AWG!B6:B40,AWG!AB6:AB40,"",0,1))</f>
        <v>0.28999999999999998</v>
      </c>
      <c r="L28" s="16"/>
      <c r="N28" s="29" t="s">
        <v>335</v>
      </c>
      <c r="O28" s="16">
        <f>ROUND(1+(O26/SQRT(K28))*LN((2*O16)/O26),1)</f>
        <v>1.3</v>
      </c>
      <c r="P28" s="16"/>
      <c r="V28" s="29" t="s">
        <v>336</v>
      </c>
      <c r="W28" s="85" t="e">
        <f>IF(W27&gt;C25,"Real &gt; Proj","Real &lt; Proj")</f>
        <v>#REF!</v>
      </c>
      <c r="X28" s="86"/>
    </row>
    <row r="29" spans="2:24" ht="15.75" thickBot="1" x14ac:dyDescent="0.3">
      <c r="B29" s="89" t="s">
        <v>328</v>
      </c>
      <c r="C29" s="89"/>
      <c r="D29" s="89"/>
      <c r="F29" s="16" t="s">
        <v>10</v>
      </c>
      <c r="G29" s="16">
        <f>ROUND((C5*C21)/(G26*C24),9)</f>
        <v>7.7519000000000001E-5</v>
      </c>
      <c r="H29" s="16" t="s">
        <v>42</v>
      </c>
      <c r="J29" s="16" t="s">
        <v>325</v>
      </c>
      <c r="K29" s="52">
        <f>IF(C23&gt;=100,1.35,1)</f>
        <v>1.35</v>
      </c>
      <c r="L29" s="16"/>
      <c r="N29" s="29" t="s">
        <v>339</v>
      </c>
      <c r="O29" s="16">
        <f>SQRT((O26*K8)/(0.4*PI()*O10*O28*10^-8))</f>
        <v>16.273980902817769</v>
      </c>
      <c r="P29" s="16" t="s">
        <v>318</v>
      </c>
    </row>
    <row r="30" spans="2:24" ht="15.75" thickBot="1" x14ac:dyDescent="0.3">
      <c r="B30" s="16" t="s">
        <v>332</v>
      </c>
      <c r="C30" s="16">
        <f>1/C24</f>
        <v>1.0000000000000001E-5</v>
      </c>
      <c r="D30" s="16" t="s">
        <v>85</v>
      </c>
      <c r="F30" s="16" t="s">
        <v>29</v>
      </c>
      <c r="G30" s="16">
        <f>ROUND((C5/C12)*((1-C21)/C21),2)</f>
        <v>5.6</v>
      </c>
      <c r="H30" s="16">
        <f>W4/W3</f>
        <v>0.5</v>
      </c>
      <c r="J30" s="16" t="s">
        <v>330</v>
      </c>
      <c r="K30" s="16">
        <f>IF(C23&gt;=100,K27*K29,K27*K29)</f>
        <v>3.4100357142857144E-3</v>
      </c>
      <c r="L30" s="16" t="s">
        <v>271</v>
      </c>
      <c r="N30" s="29" t="s">
        <v>341</v>
      </c>
      <c r="O30" s="16">
        <f>ROUND(O29,0)</f>
        <v>16</v>
      </c>
      <c r="P30" s="16" t="s">
        <v>318</v>
      </c>
    </row>
    <row r="31" spans="2:24" ht="15.75" thickBot="1" x14ac:dyDescent="0.3">
      <c r="B31" s="16" t="s">
        <v>108</v>
      </c>
      <c r="C31" s="16">
        <f>C21*C30</f>
        <v>5.0000000000000004E-6</v>
      </c>
      <c r="D31" s="16" t="s">
        <v>85</v>
      </c>
      <c r="F31" s="16" t="s">
        <v>293</v>
      </c>
      <c r="G31" s="16">
        <f>1/G30</f>
        <v>0.17857142857142858</v>
      </c>
      <c r="H31" s="16">
        <f>1/H30</f>
        <v>2</v>
      </c>
      <c r="J31" s="16" t="s">
        <v>334</v>
      </c>
      <c r="K31" s="16">
        <f>O13</f>
        <v>5.0600000000000003E-3</v>
      </c>
      <c r="L31" s="16" t="s">
        <v>271</v>
      </c>
      <c r="N31" s="29" t="s">
        <v>345</v>
      </c>
      <c r="O31" s="16">
        <f>ROUND((0.4*PI()*O30*O28*K12*10^-4)/(O26+O6/O15),3)</f>
        <v>0.223</v>
      </c>
      <c r="P31" s="16" t="s">
        <v>57</v>
      </c>
    </row>
    <row r="32" spans="2:24" ht="15.75" thickBot="1" x14ac:dyDescent="0.3">
      <c r="B32" s="16" t="s">
        <v>111</v>
      </c>
      <c r="C32" s="16">
        <f>C30*(1-C21-C22)</f>
        <v>4.0000000000000007E-6</v>
      </c>
      <c r="D32" s="16" t="s">
        <v>85</v>
      </c>
      <c r="F32" s="87" t="s">
        <v>311</v>
      </c>
      <c r="G32" s="88"/>
      <c r="H32" s="88"/>
      <c r="J32" s="16" t="s">
        <v>338</v>
      </c>
      <c r="K32" s="62">
        <f>(K30/K31)*100</f>
        <v>67.392010163749291</v>
      </c>
      <c r="L32" s="16" t="s">
        <v>47</v>
      </c>
      <c r="N32" s="29" t="s">
        <v>347</v>
      </c>
      <c r="O32" s="16">
        <f>ROUND(G13/O22,0)</f>
        <v>448</v>
      </c>
      <c r="P32" s="16" t="s">
        <v>256</v>
      </c>
    </row>
    <row r="33" spans="2:16" ht="15.75" thickBot="1" x14ac:dyDescent="0.3">
      <c r="B33" s="16" t="s">
        <v>343</v>
      </c>
      <c r="C33" s="16">
        <f>C30-(C32+C31)</f>
        <v>9.999999999999989E-7</v>
      </c>
      <c r="D33" s="16" t="s">
        <v>85</v>
      </c>
      <c r="F33" s="83" t="str">
        <f>IF(G27&lt;0,"Descontínuo","Contínuo")</f>
        <v>Contínuo</v>
      </c>
      <c r="G33" s="103"/>
      <c r="H33" s="84"/>
      <c r="J33" s="16" t="s">
        <v>330</v>
      </c>
      <c r="K33" s="85" t="str">
        <f>IF(K30&gt;K31,"Proj &gt; Indutor","Proj &lt; Indutor")</f>
        <v>Proj &lt; Indutor</v>
      </c>
      <c r="L33" s="86"/>
      <c r="N33" s="29" t="s">
        <v>349</v>
      </c>
      <c r="O33" s="16">
        <f>ROUND(O9*O30*O32*10^-6,4)</f>
        <v>2.7199999999999998E-2</v>
      </c>
      <c r="P33" s="16" t="s">
        <v>25</v>
      </c>
    </row>
    <row r="34" spans="2:16" ht="15.75" thickBot="1" x14ac:dyDescent="0.3">
      <c r="N34" s="29" t="s">
        <v>352</v>
      </c>
      <c r="O34" s="16">
        <f>ROUND(K13^2*O33,4)</f>
        <v>5.33E-2</v>
      </c>
      <c r="P34" s="16" t="s">
        <v>94</v>
      </c>
    </row>
  </sheetData>
  <mergeCells count="28">
    <mergeCell ref="F33:H33"/>
    <mergeCell ref="K33:L33"/>
    <mergeCell ref="V17:X17"/>
    <mergeCell ref="W28:X28"/>
    <mergeCell ref="F23:H23"/>
    <mergeCell ref="J24:L24"/>
    <mergeCell ref="C27:D27"/>
    <mergeCell ref="C28:D28"/>
    <mergeCell ref="B29:D29"/>
    <mergeCell ref="F32:H32"/>
    <mergeCell ref="F15:H15"/>
    <mergeCell ref="J15:L15"/>
    <mergeCell ref="J16:L16"/>
    <mergeCell ref="N18:P18"/>
    <mergeCell ref="F21:H21"/>
    <mergeCell ref="F22:H22"/>
    <mergeCell ref="V2:X2"/>
    <mergeCell ref="R14:T14"/>
    <mergeCell ref="B2:D2"/>
    <mergeCell ref="F2:H2"/>
    <mergeCell ref="J2:L2"/>
    <mergeCell ref="N2:P2"/>
    <mergeCell ref="R2:T2"/>
    <mergeCell ref="J3:L3"/>
    <mergeCell ref="O3:P3"/>
    <mergeCell ref="O4:P4"/>
    <mergeCell ref="O5:P5"/>
    <mergeCell ref="F7:H7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A540-9D0F-4B53-95AA-88EF9828490F}">
  <dimension ref="A1:T21"/>
  <sheetViews>
    <sheetView workbookViewId="0">
      <selection activeCell="Q15" sqref="Q15"/>
    </sheetView>
  </sheetViews>
  <sheetFormatPr defaultRowHeight="15" x14ac:dyDescent="0.25"/>
  <cols>
    <col min="1" max="1" width="12.7109375" bestFit="1" customWidth="1"/>
    <col min="2" max="2" width="13" bestFit="1" customWidth="1"/>
    <col min="3" max="3" width="12.140625" bestFit="1" customWidth="1"/>
    <col min="4" max="4" width="12.5703125" bestFit="1" customWidth="1"/>
    <col min="5" max="5" width="12.7109375" bestFit="1" customWidth="1"/>
    <col min="6" max="6" width="14" bestFit="1" customWidth="1"/>
    <col min="8" max="8" width="12.7109375" bestFit="1" customWidth="1"/>
    <col min="9" max="9" width="11.7109375" bestFit="1" customWidth="1"/>
    <col min="10" max="10" width="11.42578125" bestFit="1" customWidth="1"/>
    <col min="11" max="11" width="13.7109375" bestFit="1" customWidth="1"/>
    <col min="12" max="12" width="13.85546875" bestFit="1" customWidth="1"/>
    <col min="13" max="13" width="13.7109375" bestFit="1" customWidth="1"/>
    <col min="14" max="14" width="13.7109375" customWidth="1"/>
    <col min="15" max="15" width="13" bestFit="1" customWidth="1"/>
    <col min="16" max="16" width="13.7109375" bestFit="1" customWidth="1"/>
    <col min="17" max="17" width="13.140625" bestFit="1" customWidth="1"/>
    <col min="18" max="18" width="7.7109375" bestFit="1" customWidth="1"/>
    <col min="19" max="19" width="13.140625" bestFit="1" customWidth="1"/>
    <col min="20" max="20" width="15.140625" bestFit="1" customWidth="1"/>
  </cols>
  <sheetData>
    <row r="1" spans="1:20" x14ac:dyDescent="0.25">
      <c r="A1" s="57" t="s">
        <v>395</v>
      </c>
      <c r="B1" s="57" t="s">
        <v>396</v>
      </c>
      <c r="C1" s="57" t="s">
        <v>397</v>
      </c>
      <c r="D1" s="57" t="s">
        <v>398</v>
      </c>
      <c r="E1" s="57" t="s">
        <v>399</v>
      </c>
      <c r="F1" s="57" t="s">
        <v>400</v>
      </c>
      <c r="G1" s="2"/>
      <c r="H1" s="2" t="s">
        <v>395</v>
      </c>
      <c r="I1" s="2" t="s">
        <v>401</v>
      </c>
      <c r="J1" s="2" t="s">
        <v>402</v>
      </c>
      <c r="K1" s="2" t="s">
        <v>403</v>
      </c>
      <c r="L1" s="2" t="s">
        <v>404</v>
      </c>
      <c r="M1" s="2" t="s">
        <v>405</v>
      </c>
      <c r="N1" s="2" t="s">
        <v>512</v>
      </c>
      <c r="O1" s="2" t="s">
        <v>406</v>
      </c>
      <c r="P1" s="2" t="s">
        <v>407</v>
      </c>
      <c r="Q1" s="2" t="s">
        <v>408</v>
      </c>
      <c r="R1" s="2" t="s">
        <v>409</v>
      </c>
      <c r="S1" s="2" t="s">
        <v>410</v>
      </c>
      <c r="T1" s="2" t="s">
        <v>411</v>
      </c>
    </row>
    <row r="2" spans="1:20" x14ac:dyDescent="0.25">
      <c r="A2" s="39" t="s">
        <v>412</v>
      </c>
      <c r="B2" s="39">
        <v>0.50800000000000001</v>
      </c>
      <c r="C2" s="39">
        <v>0.224</v>
      </c>
      <c r="D2" s="39">
        <v>0.17799999999999999</v>
      </c>
      <c r="E2" s="39">
        <f t="shared" ref="E2:E21" si="0">((B2-C2)*D2)/2</f>
        <v>2.5276E-2</v>
      </c>
      <c r="F2" s="39">
        <f>(Dimensoes_Toroide_Iron_Powder[[#This Row],[OD (cm)]]-Dimensoes_Toroide_Iron_Powder[[#This Row],[ID (cm)]])/2</f>
        <v>0.14200000000000002</v>
      </c>
      <c r="G2" s="2"/>
      <c r="H2" s="58" t="s">
        <v>412</v>
      </c>
      <c r="I2" s="58">
        <v>0.1</v>
      </c>
      <c r="J2" s="58">
        <v>0.19</v>
      </c>
      <c r="K2" s="58">
        <v>0.7</v>
      </c>
      <c r="L2" s="58">
        <v>1.1499999999999999</v>
      </c>
      <c r="M2" s="58">
        <v>1.7130000000000001</v>
      </c>
      <c r="N2" s="58"/>
      <c r="O2" s="58">
        <v>2.3E-2</v>
      </c>
      <c r="P2" s="58">
        <v>3.9E-2</v>
      </c>
      <c r="Q2" s="58">
        <v>8.9999999999999998E-4</v>
      </c>
      <c r="R2" s="58">
        <v>1.0000000000000001E-5</v>
      </c>
      <c r="S2" s="58">
        <v>1.2</v>
      </c>
      <c r="T2" s="58">
        <v>18.5</v>
      </c>
    </row>
    <row r="3" spans="1:20" x14ac:dyDescent="0.25">
      <c r="A3" s="39" t="s">
        <v>413</v>
      </c>
      <c r="B3" s="39">
        <v>0.64800000000000002</v>
      </c>
      <c r="C3" s="39">
        <v>0.30499999999999999</v>
      </c>
      <c r="D3" s="39">
        <v>0.24399999999999999</v>
      </c>
      <c r="E3" s="39">
        <f t="shared" si="0"/>
        <v>4.1846000000000001E-2</v>
      </c>
      <c r="F3" s="39">
        <f>(Dimensoes_Toroide_Iron_Powder[[#This Row],[OD (cm)]]-Dimensoes_Toroide_Iron_Powder[[#This Row],[ID (cm)]])/2</f>
        <v>0.17150000000000001</v>
      </c>
      <c r="G3" s="2"/>
      <c r="H3" s="58" t="s">
        <v>413</v>
      </c>
      <c r="I3" s="58">
        <v>0.24</v>
      </c>
      <c r="J3" s="58">
        <v>0.39</v>
      </c>
      <c r="K3" s="58">
        <v>0.9</v>
      </c>
      <c r="L3" s="58">
        <v>1.5</v>
      </c>
      <c r="M3" s="58">
        <v>1.9730000000000001</v>
      </c>
      <c r="N3" s="58"/>
      <c r="O3" s="58">
        <v>3.6999999999999998E-2</v>
      </c>
      <c r="P3" s="58">
        <v>7.2999999999999995E-2</v>
      </c>
      <c r="Q3" s="58">
        <v>2.7000000000000001E-3</v>
      </c>
      <c r="R3" s="58">
        <v>3.8000000000000002E-5</v>
      </c>
      <c r="S3" s="58">
        <v>2</v>
      </c>
      <c r="T3" s="58">
        <v>24.5</v>
      </c>
    </row>
    <row r="4" spans="1:20" x14ac:dyDescent="0.25">
      <c r="A4" s="39" t="s">
        <v>414</v>
      </c>
      <c r="B4" s="39">
        <v>0.67300000000000004</v>
      </c>
      <c r="C4" s="39">
        <v>0.26700000000000002</v>
      </c>
      <c r="D4" s="39">
        <v>0.48299999999999998</v>
      </c>
      <c r="E4" s="39">
        <f t="shared" si="0"/>
        <v>9.8048999999999997E-2</v>
      </c>
      <c r="F4" s="39">
        <f>(Dimensoes_Toroide_Iron_Powder[[#This Row],[OD (cm)]]-Dimensoes_Toroide_Iron_Powder[[#This Row],[ID (cm)]])/2</f>
        <v>0.20300000000000001</v>
      </c>
      <c r="G4" s="2"/>
      <c r="H4" s="58" t="s">
        <v>414</v>
      </c>
      <c r="I4" s="58">
        <v>0.26</v>
      </c>
      <c r="J4" s="58">
        <v>0.93</v>
      </c>
      <c r="K4" s="58">
        <v>1.3</v>
      </c>
      <c r="L4" s="58">
        <v>1.47</v>
      </c>
      <c r="M4" s="58">
        <v>0.64400000000000002</v>
      </c>
      <c r="N4" s="58"/>
      <c r="O4" s="58">
        <v>0.09</v>
      </c>
      <c r="P4" s="58">
        <v>5.8000000000000003E-2</v>
      </c>
      <c r="Q4" s="58">
        <v>5.0299999999999997E-3</v>
      </c>
      <c r="R4" s="58">
        <v>1.2999999999999999E-4</v>
      </c>
      <c r="S4" s="58">
        <v>2.6</v>
      </c>
      <c r="T4" s="58">
        <v>57</v>
      </c>
    </row>
    <row r="5" spans="1:20" x14ac:dyDescent="0.25">
      <c r="A5" s="39" t="s">
        <v>415</v>
      </c>
      <c r="B5" s="39">
        <v>0.78</v>
      </c>
      <c r="C5" s="39">
        <v>0.38400000000000001</v>
      </c>
      <c r="D5" s="39">
        <v>0.32500000000000001</v>
      </c>
      <c r="E5" s="39">
        <f t="shared" si="0"/>
        <v>6.4350000000000004E-2</v>
      </c>
      <c r="F5" s="39">
        <f>(Dimensoes_Toroide_Iron_Powder[[#This Row],[OD (cm)]]-Dimensoes_Toroide_Iron_Powder[[#This Row],[ID (cm)]])/2</f>
        <v>0.19800000000000001</v>
      </c>
      <c r="G5" s="2"/>
      <c r="H5" s="58" t="s">
        <v>415</v>
      </c>
      <c r="I5" s="58">
        <v>0.47</v>
      </c>
      <c r="J5" s="58">
        <v>0.77</v>
      </c>
      <c r="K5" s="58">
        <v>1.1399999999999999</v>
      </c>
      <c r="L5" s="58">
        <v>1.84</v>
      </c>
      <c r="M5" s="58">
        <v>1.9330000000000001</v>
      </c>
      <c r="N5" s="58"/>
      <c r="O5" s="58">
        <v>0.06</v>
      </c>
      <c r="P5" s="58">
        <v>0.11600000000000001</v>
      </c>
      <c r="Q5" s="58">
        <v>6.94E-3</v>
      </c>
      <c r="R5" s="58">
        <v>1.3999999999999999E-4</v>
      </c>
      <c r="S5" s="58">
        <v>3.1</v>
      </c>
      <c r="T5" s="58">
        <v>33.5</v>
      </c>
    </row>
    <row r="6" spans="1:20" x14ac:dyDescent="0.25">
      <c r="A6" s="39" t="s">
        <v>416</v>
      </c>
      <c r="B6" s="39">
        <v>0.95299999999999996</v>
      </c>
      <c r="C6" s="39">
        <v>0.52100000000000002</v>
      </c>
      <c r="D6" s="39">
        <v>0.32500000000000001</v>
      </c>
      <c r="E6" s="39">
        <f t="shared" si="0"/>
        <v>7.0199999999999999E-2</v>
      </c>
      <c r="F6" s="39">
        <f>(Dimensoes_Toroide_Iron_Powder[[#This Row],[OD (cm)]]-Dimensoes_Toroide_Iron_Powder[[#This Row],[ID (cm)]])/2</f>
        <v>0.21599999999999997</v>
      </c>
      <c r="G6" s="2"/>
      <c r="H6" s="58" t="s">
        <v>416</v>
      </c>
      <c r="I6" s="58">
        <v>0.97</v>
      </c>
      <c r="J6" s="58">
        <v>1.04</v>
      </c>
      <c r="K6" s="58">
        <v>1.28</v>
      </c>
      <c r="L6" s="58">
        <v>2.31</v>
      </c>
      <c r="M6" s="58">
        <v>3.3279999999999998</v>
      </c>
      <c r="N6" s="58"/>
      <c r="O6" s="58">
        <v>6.4000000000000001E-2</v>
      </c>
      <c r="P6" s="58">
        <v>0.21299999999999999</v>
      </c>
      <c r="Q6" s="58">
        <v>1.363E-2</v>
      </c>
      <c r="R6" s="58">
        <v>2.7E-4</v>
      </c>
      <c r="S6" s="58">
        <v>4.5</v>
      </c>
      <c r="T6" s="58">
        <v>28.5</v>
      </c>
    </row>
    <row r="7" spans="1:20" x14ac:dyDescent="0.25">
      <c r="A7" s="39" t="s">
        <v>417</v>
      </c>
      <c r="B7" s="39">
        <v>0.95299999999999996</v>
      </c>
      <c r="C7" s="39">
        <v>0.44500000000000001</v>
      </c>
      <c r="D7" s="39">
        <v>0.48299999999999998</v>
      </c>
      <c r="E7" s="39">
        <f t="shared" si="0"/>
        <v>0.122682</v>
      </c>
      <c r="F7" s="39">
        <f>(Dimensoes_Toroide_Iron_Powder[[#This Row],[OD (cm)]]-Dimensoes_Toroide_Iron_Powder[[#This Row],[ID (cm)]])/2</f>
        <v>0.254</v>
      </c>
      <c r="G7" s="2"/>
      <c r="H7" s="58" t="s">
        <v>417</v>
      </c>
      <c r="I7" s="58">
        <v>0.85</v>
      </c>
      <c r="J7" s="58">
        <v>1.74</v>
      </c>
      <c r="K7" s="58">
        <v>1.5</v>
      </c>
      <c r="L7" s="58">
        <v>2.1800000000000002</v>
      </c>
      <c r="M7" s="58">
        <v>1.36</v>
      </c>
      <c r="N7" s="58"/>
      <c r="O7" s="58">
        <v>0.114</v>
      </c>
      <c r="P7" s="58">
        <v>0.155</v>
      </c>
      <c r="Q7" s="58">
        <v>1.77E-2</v>
      </c>
      <c r="R7" s="58">
        <v>5.1999999999999995E-4</v>
      </c>
      <c r="S7" s="58">
        <v>4.8</v>
      </c>
      <c r="T7" s="58">
        <v>49</v>
      </c>
    </row>
    <row r="8" spans="1:20" x14ac:dyDescent="0.25">
      <c r="A8" s="39" t="s">
        <v>418</v>
      </c>
      <c r="B8" s="39">
        <v>1.1200000000000001</v>
      </c>
      <c r="C8" s="39">
        <v>0.58199999999999996</v>
      </c>
      <c r="D8" s="39">
        <v>0.80400000000000005</v>
      </c>
      <c r="E8" s="39">
        <f t="shared" si="0"/>
        <v>0.21627600000000008</v>
      </c>
      <c r="F8" s="39">
        <f>(Dimensoes_Toroide_Iron_Powder[[#This Row],[OD (cm)]]-Dimensoes_Toroide_Iron_Powder[[#This Row],[ID (cm)]])/2</f>
        <v>0.26900000000000007</v>
      </c>
      <c r="G8" s="2"/>
      <c r="H8" s="58" t="s">
        <v>418</v>
      </c>
      <c r="I8" s="58">
        <v>1.46</v>
      </c>
      <c r="J8" s="58">
        <v>1.86</v>
      </c>
      <c r="K8" s="58">
        <v>1.5</v>
      </c>
      <c r="L8" s="58">
        <v>2.68</v>
      </c>
      <c r="M8" s="58">
        <v>2.6869999999999998</v>
      </c>
      <c r="N8" s="58"/>
      <c r="O8" s="58">
        <v>9.9000000000000005E-2</v>
      </c>
      <c r="P8" s="58">
        <v>0.26600000000000001</v>
      </c>
      <c r="Q8" s="58">
        <v>2.632E-2</v>
      </c>
      <c r="R8" s="58">
        <v>6.7000000000000002E-4</v>
      </c>
      <c r="S8" s="58">
        <v>6.2</v>
      </c>
      <c r="T8" s="58">
        <v>37</v>
      </c>
    </row>
    <row r="9" spans="1:20" x14ac:dyDescent="0.25">
      <c r="A9" s="39" t="s">
        <v>419</v>
      </c>
      <c r="B9" s="39">
        <v>1.27</v>
      </c>
      <c r="C9" s="39">
        <v>0.77</v>
      </c>
      <c r="D9" s="39">
        <v>0.48299999999999998</v>
      </c>
      <c r="E9" s="39">
        <f>((B9-C9)*D9)/2</f>
        <v>0.12075</v>
      </c>
      <c r="F9" s="39">
        <f>(Dimensoes_Toroide_Iron_Powder[[#This Row],[OD (cm)]]-Dimensoes_Toroide_Iron_Powder[[#This Row],[ID (cm)]])/2</f>
        <v>0.25</v>
      </c>
      <c r="G9" s="2"/>
      <c r="H9" s="58" t="s">
        <v>419</v>
      </c>
      <c r="I9" s="58">
        <v>2.96</v>
      </c>
      <c r="J9" s="58">
        <v>2.5</v>
      </c>
      <c r="K9" s="58">
        <v>1.8</v>
      </c>
      <c r="L9" s="58">
        <v>3.19</v>
      </c>
      <c r="M9" s="58">
        <v>4.0709999999999997</v>
      </c>
      <c r="N9" s="58"/>
      <c r="O9" s="58">
        <v>0.112</v>
      </c>
      <c r="P9" s="58">
        <v>0.45600000000000002</v>
      </c>
      <c r="Q9" s="58">
        <v>5.212E-2</v>
      </c>
      <c r="R9" s="58">
        <v>1.2999999999999999E-3</v>
      </c>
      <c r="S9" s="58">
        <v>8.8000000000000007</v>
      </c>
      <c r="T9" s="58">
        <v>33</v>
      </c>
    </row>
    <row r="10" spans="1:20" x14ac:dyDescent="0.25">
      <c r="A10" s="39" t="s">
        <v>420</v>
      </c>
      <c r="B10" s="39">
        <v>1.52</v>
      </c>
      <c r="C10" s="39">
        <v>0.85299999999999998</v>
      </c>
      <c r="D10" s="39">
        <v>0.59399999999999997</v>
      </c>
      <c r="E10" s="39">
        <f t="shared" si="0"/>
        <v>0.198099</v>
      </c>
      <c r="F10" s="39">
        <f>(Dimensoes_Toroide_Iron_Powder[[#This Row],[OD (cm)]]-Dimensoes_Toroide_Iron_Powder[[#This Row],[ID (cm)]])/2</f>
        <v>0.33350000000000002</v>
      </c>
      <c r="G10" s="2"/>
      <c r="H10" s="58" t="s">
        <v>420</v>
      </c>
      <c r="I10" s="58">
        <v>4.4000000000000004</v>
      </c>
      <c r="J10" s="58">
        <v>4.8899999999999997</v>
      </c>
      <c r="K10" s="58">
        <v>2.2000000000000002</v>
      </c>
      <c r="L10" s="58">
        <v>3.74</v>
      </c>
      <c r="M10" s="58">
        <v>3.7469999999999999</v>
      </c>
      <c r="N10" s="58"/>
      <c r="O10" s="58">
        <v>0.187</v>
      </c>
      <c r="P10" s="58">
        <v>0.57099999999999995</v>
      </c>
      <c r="Q10" s="58">
        <v>0.10680000000000001</v>
      </c>
      <c r="R10" s="58">
        <v>3.6800000000000001E-3</v>
      </c>
      <c r="S10" s="58">
        <v>12.2</v>
      </c>
      <c r="T10" s="58">
        <v>50</v>
      </c>
    </row>
    <row r="11" spans="1:20" x14ac:dyDescent="0.25">
      <c r="A11" s="39" t="s">
        <v>421</v>
      </c>
      <c r="B11" s="39">
        <v>1.75</v>
      </c>
      <c r="C11" s="39">
        <v>0.94</v>
      </c>
      <c r="D11" s="39">
        <v>0.48299999999999998</v>
      </c>
      <c r="E11" s="39">
        <f t="shared" si="0"/>
        <v>0.19561500000000001</v>
      </c>
      <c r="F11" s="39">
        <f>(Dimensoes_Toroide_Iron_Powder[[#This Row],[OD (cm)]]-Dimensoes_Toroide_Iron_Powder[[#This Row],[ID (cm)]])/2</f>
        <v>0.40500000000000003</v>
      </c>
      <c r="G11" s="2"/>
      <c r="H11" s="58" t="s">
        <v>421</v>
      </c>
      <c r="I11" s="58">
        <v>5.36</v>
      </c>
      <c r="J11" s="58">
        <v>5.3</v>
      </c>
      <c r="K11" s="58">
        <v>2.17</v>
      </c>
      <c r="L11" s="58">
        <v>4.2300000000000004</v>
      </c>
      <c r="M11" s="58">
        <v>3.8769999999999998</v>
      </c>
      <c r="N11" s="58"/>
      <c r="O11" s="58">
        <v>0.17899999999999999</v>
      </c>
      <c r="P11" s="58">
        <v>0.69399999999999995</v>
      </c>
      <c r="Q11" s="58">
        <v>0.12415</v>
      </c>
      <c r="R11" s="58">
        <v>4.0899999999999999E-3</v>
      </c>
      <c r="S11" s="58">
        <v>14.4</v>
      </c>
      <c r="T11" s="58">
        <v>43.5</v>
      </c>
    </row>
    <row r="12" spans="1:20" x14ac:dyDescent="0.25">
      <c r="A12" s="39" t="s">
        <v>422</v>
      </c>
      <c r="B12" s="39">
        <v>2.02</v>
      </c>
      <c r="C12" s="39">
        <v>1.26</v>
      </c>
      <c r="D12" s="39">
        <v>0.63500000000000001</v>
      </c>
      <c r="E12" s="39">
        <f t="shared" si="0"/>
        <v>0.24130000000000001</v>
      </c>
      <c r="F12" s="39">
        <f>(Dimensoes_Toroide_Iron_Powder[[#This Row],[OD (cm)]]-Dimensoes_Toroide_Iron_Powder[[#This Row],[ID (cm)]])/2</f>
        <v>0.38</v>
      </c>
      <c r="G12" s="2"/>
      <c r="H12" s="58" t="s">
        <v>422</v>
      </c>
      <c r="I12" s="58">
        <v>11.66</v>
      </c>
      <c r="J12" s="58">
        <v>8.31</v>
      </c>
      <c r="K12" s="58">
        <v>2.63</v>
      </c>
      <c r="L12" s="58">
        <v>5.14</v>
      </c>
      <c r="M12" s="58">
        <v>5.3940000000000001</v>
      </c>
      <c r="N12" s="58"/>
      <c r="O12" s="58">
        <v>0.23100000000000001</v>
      </c>
      <c r="P12" s="58">
        <v>1.246</v>
      </c>
      <c r="Q12" s="58">
        <v>0.28788000000000002</v>
      </c>
      <c r="R12" s="58">
        <v>1.01E-2</v>
      </c>
      <c r="S12" s="58">
        <v>21.4</v>
      </c>
      <c r="T12" s="58">
        <v>46</v>
      </c>
    </row>
    <row r="13" spans="1:20" x14ac:dyDescent="0.25">
      <c r="A13" s="39" t="s">
        <v>423</v>
      </c>
      <c r="B13" s="39">
        <v>2.39</v>
      </c>
      <c r="C13" s="39">
        <v>1.42</v>
      </c>
      <c r="D13" s="39">
        <v>0.79200000000000004</v>
      </c>
      <c r="E13" s="39">
        <f t="shared" si="0"/>
        <v>0.38412000000000007</v>
      </c>
      <c r="F13" s="39">
        <f>(Dimensoes_Toroide_Iron_Powder[[#This Row],[OD (cm)]]-Dimensoes_Toroide_Iron_Powder[[#This Row],[ID (cm)]])/2</f>
        <v>0.4850000000000001</v>
      </c>
      <c r="G13" s="2"/>
      <c r="H13" s="58" t="s">
        <v>423</v>
      </c>
      <c r="I13" s="58">
        <v>17.440000000000001</v>
      </c>
      <c r="J13" s="58">
        <v>15.13</v>
      </c>
      <c r="K13" s="58">
        <v>3.1</v>
      </c>
      <c r="L13" s="58">
        <v>5.97</v>
      </c>
      <c r="M13" s="58">
        <v>4.3730000000000002</v>
      </c>
      <c r="N13" s="58"/>
      <c r="O13" s="58">
        <v>0.36199999999999999</v>
      </c>
      <c r="P13" s="58">
        <v>1.583</v>
      </c>
      <c r="Q13" s="58">
        <v>0.57299999999999995</v>
      </c>
      <c r="R13" s="58">
        <v>2.6769999999999999E-2</v>
      </c>
      <c r="S13" s="58">
        <v>29.6</v>
      </c>
      <c r="T13" s="58">
        <v>60</v>
      </c>
    </row>
    <row r="14" spans="1:20" x14ac:dyDescent="0.25">
      <c r="A14" s="39" t="s">
        <v>424</v>
      </c>
      <c r="B14" s="39">
        <v>2.29</v>
      </c>
      <c r="C14" s="39">
        <v>1.4</v>
      </c>
      <c r="D14" s="39">
        <v>0.95299999999999996</v>
      </c>
      <c r="E14" s="39">
        <f t="shared" si="0"/>
        <v>0.42408500000000005</v>
      </c>
      <c r="F14" s="39">
        <f>(Dimensoes_Toroide_Iron_Powder[[#This Row],[OD (cm)]]-Dimensoes_Toroide_Iron_Powder[[#This Row],[ID (cm)]])/2</f>
        <v>0.44500000000000006</v>
      </c>
      <c r="G14" s="2"/>
      <c r="H14" s="58" t="s">
        <v>424</v>
      </c>
      <c r="I14" s="58">
        <v>18.37</v>
      </c>
      <c r="J14" s="58">
        <v>15.98</v>
      </c>
      <c r="K14" s="58">
        <v>3.4</v>
      </c>
      <c r="L14" s="58">
        <v>5.78</v>
      </c>
      <c r="M14" s="58">
        <v>3.8940000000000001</v>
      </c>
      <c r="N14" s="58"/>
      <c r="O14" s="58">
        <v>0.39500000000000002</v>
      </c>
      <c r="P14" s="58">
        <v>1.538</v>
      </c>
      <c r="Q14" s="58">
        <v>0.60773999999999995</v>
      </c>
      <c r="R14" s="58">
        <v>2.9600000000000001E-2</v>
      </c>
      <c r="S14" s="58">
        <v>29.4</v>
      </c>
      <c r="T14" s="58">
        <v>70</v>
      </c>
    </row>
    <row r="15" spans="1:20" x14ac:dyDescent="0.25">
      <c r="A15" s="39" t="s">
        <v>216</v>
      </c>
      <c r="B15" s="59">
        <v>2.69</v>
      </c>
      <c r="C15" s="59">
        <v>1.45</v>
      </c>
      <c r="D15" s="59">
        <v>1.1100000000000001</v>
      </c>
      <c r="E15" s="39">
        <f t="shared" si="0"/>
        <v>0.68820000000000003</v>
      </c>
      <c r="F15" s="39">
        <f>(Dimensoes_Toroide_Iron_Powder[[#This Row],[OD (cm)]]-Dimensoes_Toroide_Iron_Powder[[#This Row],[ID (cm)]])/2</f>
        <v>0.62</v>
      </c>
      <c r="G15" s="2"/>
      <c r="H15" s="60" t="s">
        <v>216</v>
      </c>
      <c r="I15" s="60">
        <v>23.05</v>
      </c>
      <c r="J15" s="60">
        <v>29.94</v>
      </c>
      <c r="K15" s="60">
        <v>3.93</v>
      </c>
      <c r="L15" s="60">
        <v>6.49</v>
      </c>
      <c r="M15" s="60">
        <v>2.504</v>
      </c>
      <c r="N15" s="60"/>
      <c r="O15" s="60">
        <v>0.65900000000000003</v>
      </c>
      <c r="P15" s="60">
        <v>1.65</v>
      </c>
      <c r="Q15" s="60">
        <v>1.0876600000000001</v>
      </c>
      <c r="R15" s="60">
        <v>7.2989999999999999E-2</v>
      </c>
      <c r="S15" s="60">
        <v>38</v>
      </c>
      <c r="T15" s="60">
        <v>93</v>
      </c>
    </row>
    <row r="16" spans="1:20" x14ac:dyDescent="0.25">
      <c r="A16" s="39" t="s">
        <v>425</v>
      </c>
      <c r="B16" s="39">
        <v>3.3</v>
      </c>
      <c r="C16" s="39">
        <v>1.98</v>
      </c>
      <c r="D16" s="39">
        <v>1.1100000000000001</v>
      </c>
      <c r="E16" s="39">
        <f t="shared" si="0"/>
        <v>0.73260000000000003</v>
      </c>
      <c r="F16" s="39">
        <f>(Dimensoes_Toroide_Iron_Powder[[#This Row],[OD (cm)]]-Dimensoes_Toroide_Iron_Powder[[#This Row],[ID (cm)]])/2</f>
        <v>0.65999999999999992</v>
      </c>
      <c r="G16" s="2"/>
      <c r="H16" s="58" t="s">
        <v>425</v>
      </c>
      <c r="I16" s="58">
        <v>48.33</v>
      </c>
      <c r="J16" s="58">
        <v>40.46</v>
      </c>
      <c r="K16" s="58">
        <v>4.4000000000000004</v>
      </c>
      <c r="L16" s="58">
        <v>8.2799999999999994</v>
      </c>
      <c r="M16" s="58">
        <v>4.4080000000000004</v>
      </c>
      <c r="N16" s="58"/>
      <c r="O16" s="58">
        <v>0.68899999999999995</v>
      </c>
      <c r="P16" s="58">
        <v>3.077</v>
      </c>
      <c r="Q16" s="58">
        <v>2.1488</v>
      </c>
      <c r="R16" s="58">
        <v>0.13580999999999999</v>
      </c>
      <c r="S16" s="58">
        <v>56.9</v>
      </c>
      <c r="T16" s="58">
        <v>81</v>
      </c>
    </row>
    <row r="17" spans="1:20" x14ac:dyDescent="0.25">
      <c r="A17" s="39" t="s">
        <v>426</v>
      </c>
      <c r="B17" s="39">
        <v>3.3</v>
      </c>
      <c r="C17" s="39">
        <v>1.78</v>
      </c>
      <c r="D17" s="39">
        <v>1.1100000000000001</v>
      </c>
      <c r="E17" s="39">
        <f t="shared" si="0"/>
        <v>0.84359999999999991</v>
      </c>
      <c r="F17" s="39">
        <f>(Dimensoes_Toroide_Iron_Powder[[#This Row],[OD (cm)]]-Dimensoes_Toroide_Iron_Powder[[#This Row],[ID (cm)]])/2</f>
        <v>0.7599999999999999</v>
      </c>
      <c r="G17" s="2"/>
      <c r="H17" s="58" t="s">
        <v>426</v>
      </c>
      <c r="I17" s="58">
        <v>39.049999999999997</v>
      </c>
      <c r="J17" s="58">
        <v>44.85</v>
      </c>
      <c r="K17" s="58">
        <v>4.4000000000000004</v>
      </c>
      <c r="L17" s="58">
        <v>7.96</v>
      </c>
      <c r="M17" s="58">
        <v>3.089</v>
      </c>
      <c r="N17" s="58"/>
      <c r="O17" s="58">
        <v>0.80500000000000005</v>
      </c>
      <c r="P17" s="58">
        <v>2.4870000000000001</v>
      </c>
      <c r="Q17" s="58">
        <v>2.0021900000000001</v>
      </c>
      <c r="R17" s="58">
        <v>0.14599000000000001</v>
      </c>
      <c r="S17" s="58">
        <v>53.9</v>
      </c>
      <c r="T17" s="58">
        <v>103</v>
      </c>
    </row>
    <row r="18" spans="1:20" x14ac:dyDescent="0.25">
      <c r="A18" s="39" t="s">
        <v>427</v>
      </c>
      <c r="B18" s="39">
        <v>3.3</v>
      </c>
      <c r="C18" s="39">
        <v>1.63</v>
      </c>
      <c r="D18" s="39">
        <v>1.1100000000000001</v>
      </c>
      <c r="E18" s="39">
        <f t="shared" si="0"/>
        <v>0.92685000000000006</v>
      </c>
      <c r="F18" s="39">
        <f>(Dimensoes_Toroide_Iron_Powder[[#This Row],[OD (cm)]]-Dimensoes_Toroide_Iron_Powder[[#This Row],[ID (cm)]])/2</f>
        <v>0.83499999999999996</v>
      </c>
      <c r="G18" s="2"/>
      <c r="H18" s="58" t="s">
        <v>427</v>
      </c>
      <c r="I18" s="58">
        <v>32.75</v>
      </c>
      <c r="J18" s="58">
        <v>47.83</v>
      </c>
      <c r="K18" s="58">
        <v>4.4000000000000004</v>
      </c>
      <c r="L18" s="58">
        <v>7.72</v>
      </c>
      <c r="M18" s="58">
        <v>2.3570000000000002</v>
      </c>
      <c r="N18" s="58"/>
      <c r="O18" s="58">
        <v>0.88500000000000001</v>
      </c>
      <c r="P18" s="58">
        <v>2.0859999999999999</v>
      </c>
      <c r="Q18" s="58">
        <v>1.84582</v>
      </c>
      <c r="R18" s="58">
        <v>0.14796000000000001</v>
      </c>
      <c r="S18" s="58">
        <v>51.7</v>
      </c>
      <c r="T18" s="58">
        <v>116</v>
      </c>
    </row>
    <row r="19" spans="1:20" x14ac:dyDescent="0.25">
      <c r="A19" s="39" t="s">
        <v>428</v>
      </c>
      <c r="B19" s="39">
        <v>3.59</v>
      </c>
      <c r="C19" s="39">
        <v>2.2400000000000002</v>
      </c>
      <c r="D19" s="39">
        <v>1.05</v>
      </c>
      <c r="E19" s="39">
        <f t="shared" si="0"/>
        <v>0.70874999999999988</v>
      </c>
      <c r="F19" s="39">
        <f>(Dimensoes_Toroide_Iron_Powder[[#This Row],[OD (cm)]]-Dimensoes_Toroide_Iron_Powder[[#This Row],[ID (cm)]])/2</f>
        <v>0.67499999999999982</v>
      </c>
      <c r="G19" s="2"/>
      <c r="H19" s="58" t="s">
        <v>428</v>
      </c>
      <c r="I19" s="58">
        <v>62.7</v>
      </c>
      <c r="J19" s="58">
        <v>45.7</v>
      </c>
      <c r="K19" s="58">
        <v>4.5999999999999996</v>
      </c>
      <c r="L19" s="58">
        <v>9.14</v>
      </c>
      <c r="M19" s="58">
        <v>5.7430000000000003</v>
      </c>
      <c r="N19" s="58"/>
      <c r="O19" s="58">
        <v>0.67400000000000004</v>
      </c>
      <c r="P19" s="58">
        <v>3.871</v>
      </c>
      <c r="Q19" s="58">
        <v>2.6088870000000002</v>
      </c>
      <c r="R19" s="58">
        <v>0.15451599999999999</v>
      </c>
      <c r="S19" s="58">
        <v>66.599999999999994</v>
      </c>
      <c r="T19" s="58">
        <v>75</v>
      </c>
    </row>
    <row r="20" spans="1:20" x14ac:dyDescent="0.25">
      <c r="A20" s="39" t="s">
        <v>429</v>
      </c>
      <c r="B20" s="39">
        <v>3.84</v>
      </c>
      <c r="C20" s="39">
        <v>2.15</v>
      </c>
      <c r="D20" s="39">
        <v>1.1100000000000001</v>
      </c>
      <c r="E20" s="39">
        <f t="shared" si="0"/>
        <v>0.93795000000000006</v>
      </c>
      <c r="F20" s="39">
        <f>(Dimensoes_Toroide_Iron_Powder[[#This Row],[OD (cm)]]-Dimensoes_Toroide_Iron_Powder[[#This Row],[ID (cm)]])/2</f>
        <v>0.84499999999999997</v>
      </c>
      <c r="G20" s="2"/>
      <c r="H20" s="58" t="s">
        <v>429</v>
      </c>
      <c r="I20" s="58">
        <v>62.55</v>
      </c>
      <c r="J20" s="58">
        <v>58.24</v>
      </c>
      <c r="K20" s="58">
        <v>4.8499999999999996</v>
      </c>
      <c r="L20" s="58">
        <v>9.3800000000000008</v>
      </c>
      <c r="M20" s="58">
        <v>4.0910000000000002</v>
      </c>
      <c r="N20" s="58"/>
      <c r="O20" s="58">
        <v>0.88700000000000001</v>
      </c>
      <c r="P20" s="58">
        <v>3.629</v>
      </c>
      <c r="Q20" s="58">
        <v>3.21862</v>
      </c>
      <c r="R20" s="58">
        <v>0.23555000000000001</v>
      </c>
      <c r="S20" s="58">
        <v>71.599999999999994</v>
      </c>
      <c r="T20" s="58">
        <v>96</v>
      </c>
    </row>
    <row r="21" spans="1:20" x14ac:dyDescent="0.25">
      <c r="A21" s="39" t="s">
        <v>430</v>
      </c>
      <c r="B21" s="39">
        <v>4.45</v>
      </c>
      <c r="C21" s="39">
        <v>2.72</v>
      </c>
      <c r="D21" s="39">
        <v>1.65</v>
      </c>
      <c r="E21" s="39">
        <f t="shared" si="0"/>
        <v>1.4272499999999999</v>
      </c>
      <c r="F21" s="39">
        <f>(Dimensoes_Toroide_Iron_Powder[[#This Row],[OD (cm)]]-Dimensoes_Toroide_Iron_Powder[[#This Row],[ID (cm)]])/2</f>
        <v>0.86499999999999999</v>
      </c>
      <c r="G21" s="2"/>
      <c r="H21" s="58" t="s">
        <v>430</v>
      </c>
      <c r="I21" s="58">
        <v>128.04</v>
      </c>
      <c r="J21" s="58">
        <v>105.05</v>
      </c>
      <c r="K21" s="58">
        <v>6.2</v>
      </c>
      <c r="L21" s="58">
        <v>11.2</v>
      </c>
      <c r="M21" s="58">
        <v>4.3339999999999996</v>
      </c>
      <c r="N21" s="58"/>
      <c r="O21" s="58">
        <v>1.34</v>
      </c>
      <c r="P21" s="58">
        <v>5.8079999999999998</v>
      </c>
      <c r="Q21" s="58">
        <v>7.7823000000000002</v>
      </c>
      <c r="R21" s="58">
        <v>0.67279</v>
      </c>
      <c r="S21" s="58">
        <v>107.4</v>
      </c>
      <c r="T21" s="58">
        <v>105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211D-CDF1-4771-BDD8-4F875B32110A}">
  <dimension ref="A1:AC43"/>
  <sheetViews>
    <sheetView topLeftCell="A4" workbookViewId="0">
      <selection activeCell="Q21" sqref="Q21"/>
    </sheetView>
  </sheetViews>
  <sheetFormatPr defaultRowHeight="15" x14ac:dyDescent="0.25"/>
  <cols>
    <col min="2" max="2" width="5.140625" bestFit="1" customWidth="1"/>
    <col min="3" max="3" width="10.7109375" bestFit="1" customWidth="1"/>
    <col min="4" max="5" width="11.5703125" bestFit="1" customWidth="1"/>
    <col min="6" max="6" width="10.7109375" bestFit="1" customWidth="1"/>
    <col min="7" max="7" width="11.5703125" bestFit="1" customWidth="1"/>
    <col min="8" max="9" width="7.5703125" bestFit="1" customWidth="1"/>
    <col min="10" max="11" width="9.5703125" bestFit="1" customWidth="1"/>
    <col min="12" max="12" width="11.5703125" bestFit="1" customWidth="1"/>
    <col min="13" max="13" width="12.5703125" bestFit="1" customWidth="1"/>
    <col min="14" max="14" width="7.5703125" bestFit="1" customWidth="1"/>
    <col min="15" max="15" width="9.7109375" bestFit="1" customWidth="1"/>
    <col min="16" max="16" width="11.42578125" bestFit="1" customWidth="1"/>
    <col min="17" max="17" width="9.7109375" bestFit="1" customWidth="1"/>
    <col min="18" max="18" width="13.28515625" bestFit="1" customWidth="1"/>
    <col min="19" max="19" width="9.140625" bestFit="1" customWidth="1"/>
    <col min="20" max="20" width="5.5703125" bestFit="1" customWidth="1"/>
    <col min="21" max="21" width="12.28515625" bestFit="1" customWidth="1"/>
    <col min="22" max="22" width="15.42578125" bestFit="1" customWidth="1"/>
    <col min="23" max="23" width="16.5703125" bestFit="1" customWidth="1"/>
    <col min="24" max="24" width="7.140625" bestFit="1" customWidth="1"/>
    <col min="25" max="25" width="19.5703125" bestFit="1" customWidth="1"/>
    <col min="26" max="26" width="21.5703125" bestFit="1" customWidth="1"/>
    <col min="27" max="27" width="3" customWidth="1"/>
    <col min="28" max="28" width="23.85546875" bestFit="1" customWidth="1"/>
    <col min="29" max="29" width="15.42578125" bestFit="1" customWidth="1"/>
  </cols>
  <sheetData>
    <row r="1" spans="1:29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25">
      <c r="A2" s="2"/>
      <c r="B2" s="117" t="s">
        <v>15</v>
      </c>
      <c r="C2" s="117" t="s">
        <v>431</v>
      </c>
      <c r="D2" s="117"/>
      <c r="E2" s="118" t="s">
        <v>432</v>
      </c>
      <c r="F2" s="117" t="s">
        <v>433</v>
      </c>
      <c r="G2" s="117"/>
      <c r="H2" s="117"/>
      <c r="I2" s="117"/>
      <c r="J2" s="117"/>
      <c r="K2" s="117"/>
      <c r="L2" s="117"/>
      <c r="M2" s="117"/>
      <c r="N2" s="117"/>
      <c r="O2" s="2"/>
      <c r="P2" s="2"/>
      <c r="Q2" s="2"/>
      <c r="R2" s="2"/>
      <c r="S2" s="2"/>
      <c r="T2" s="2"/>
      <c r="U2" s="26" t="s">
        <v>434</v>
      </c>
      <c r="V2" s="26" t="s">
        <v>434</v>
      </c>
      <c r="W2" s="2"/>
      <c r="X2" s="2"/>
      <c r="Y2" s="2"/>
      <c r="Z2" s="2"/>
      <c r="AA2" s="2"/>
      <c r="AB2" s="2"/>
      <c r="AC2" s="2"/>
    </row>
    <row r="3" spans="1:29" x14ac:dyDescent="0.25">
      <c r="A3" s="2"/>
      <c r="B3" s="117"/>
      <c r="C3" s="117"/>
      <c r="D3" s="117"/>
      <c r="E3" s="118"/>
      <c r="F3" s="117" t="s">
        <v>435</v>
      </c>
      <c r="G3" s="117"/>
      <c r="H3" s="117" t="s">
        <v>436</v>
      </c>
      <c r="I3" s="117"/>
      <c r="J3" s="117" t="s">
        <v>437</v>
      </c>
      <c r="K3" s="117"/>
      <c r="L3" s="117" t="s">
        <v>437</v>
      </c>
      <c r="M3" s="117"/>
      <c r="N3" s="26" t="s">
        <v>438</v>
      </c>
      <c r="O3" s="2"/>
      <c r="P3" s="2"/>
      <c r="Q3" s="2"/>
      <c r="R3" s="2"/>
      <c r="S3" s="2"/>
      <c r="T3" s="2"/>
      <c r="U3" s="26" t="s">
        <v>439</v>
      </c>
      <c r="V3" s="26" t="s">
        <v>439</v>
      </c>
      <c r="X3" s="117" t="s">
        <v>440</v>
      </c>
      <c r="Y3" s="117"/>
      <c r="Z3" s="117"/>
      <c r="AA3" s="2"/>
      <c r="AB3" s="118" t="s">
        <v>441</v>
      </c>
      <c r="AC3" s="2"/>
    </row>
    <row r="4" spans="1:29" x14ac:dyDescent="0.25">
      <c r="A4" s="2"/>
      <c r="B4" s="117"/>
      <c r="C4" s="26" t="s">
        <v>442</v>
      </c>
      <c r="D4" s="26" t="s">
        <v>443</v>
      </c>
      <c r="E4" s="118"/>
      <c r="F4" s="26" t="s">
        <v>442</v>
      </c>
      <c r="G4" s="26" t="s">
        <v>443</v>
      </c>
      <c r="H4" s="26" t="s">
        <v>212</v>
      </c>
      <c r="I4" s="26" t="s">
        <v>444</v>
      </c>
      <c r="J4" s="26" t="s">
        <v>212</v>
      </c>
      <c r="K4" s="26" t="s">
        <v>444</v>
      </c>
      <c r="L4" s="26" t="s">
        <v>445</v>
      </c>
      <c r="M4" s="26" t="s">
        <v>446</v>
      </c>
      <c r="N4" s="26" t="s">
        <v>447</v>
      </c>
      <c r="O4" s="2"/>
      <c r="P4" s="2"/>
      <c r="Q4" s="2"/>
      <c r="R4" s="2"/>
      <c r="S4" s="2"/>
      <c r="T4" s="2"/>
      <c r="U4" s="26" t="s">
        <v>448</v>
      </c>
      <c r="V4" s="26" t="s">
        <v>449</v>
      </c>
      <c r="W4" s="2"/>
      <c r="X4" s="26" t="s">
        <v>450</v>
      </c>
      <c r="Y4" s="26" t="s">
        <v>451</v>
      </c>
      <c r="Z4" s="26" t="s">
        <v>452</v>
      </c>
      <c r="AA4" s="3"/>
      <c r="AB4" s="118"/>
      <c r="AC4" s="2"/>
    </row>
    <row r="5" spans="1:29" x14ac:dyDescent="0.25">
      <c r="A5" s="2"/>
      <c r="B5" s="54">
        <v>1</v>
      </c>
      <c r="C5" s="54">
        <v>2</v>
      </c>
      <c r="D5" s="54">
        <v>3</v>
      </c>
      <c r="E5" s="54">
        <v>4</v>
      </c>
      <c r="F5" s="54">
        <v>5</v>
      </c>
      <c r="G5" s="54">
        <v>6</v>
      </c>
      <c r="H5" s="54">
        <v>7</v>
      </c>
      <c r="I5" s="54">
        <v>8</v>
      </c>
      <c r="J5" s="54">
        <v>9</v>
      </c>
      <c r="K5" s="54">
        <v>10</v>
      </c>
      <c r="L5" s="54">
        <v>11</v>
      </c>
      <c r="M5" s="54">
        <v>12</v>
      </c>
      <c r="N5" s="54">
        <v>13</v>
      </c>
      <c r="O5" s="26" t="s">
        <v>453</v>
      </c>
      <c r="P5" s="26" t="s">
        <v>454</v>
      </c>
      <c r="Q5" s="26" t="s">
        <v>455</v>
      </c>
      <c r="R5" s="26" t="s">
        <v>456</v>
      </c>
      <c r="S5" s="26" t="s">
        <v>457</v>
      </c>
      <c r="T5" s="26" t="s">
        <v>458</v>
      </c>
      <c r="U5" s="26" t="s">
        <v>459</v>
      </c>
      <c r="V5" s="26" t="s">
        <v>459</v>
      </c>
      <c r="W5" s="67" t="s">
        <v>460</v>
      </c>
      <c r="X5" s="26" t="s">
        <v>461</v>
      </c>
      <c r="Y5" s="26" t="s">
        <v>461</v>
      </c>
      <c r="Z5" s="26" t="s">
        <v>462</v>
      </c>
      <c r="AA5" s="26" t="s">
        <v>463</v>
      </c>
      <c r="AB5" s="26" t="s">
        <v>464</v>
      </c>
      <c r="AC5" s="26" t="s">
        <v>465</v>
      </c>
    </row>
    <row r="6" spans="1:29" x14ac:dyDescent="0.25">
      <c r="A6" s="2"/>
      <c r="B6" s="53">
        <v>10</v>
      </c>
      <c r="C6" s="55">
        <v>52.61</v>
      </c>
      <c r="D6" s="55">
        <v>10384</v>
      </c>
      <c r="E6" s="55">
        <v>32.700000000000003</v>
      </c>
      <c r="F6" s="55">
        <v>55.9</v>
      </c>
      <c r="G6" s="55">
        <v>11046</v>
      </c>
      <c r="H6" s="55">
        <v>0.26700000000000002</v>
      </c>
      <c r="I6" s="55">
        <v>0.105</v>
      </c>
      <c r="J6" s="55">
        <v>3.9</v>
      </c>
      <c r="K6" s="55">
        <v>10</v>
      </c>
      <c r="L6" s="55">
        <v>11</v>
      </c>
      <c r="M6" s="55">
        <v>69</v>
      </c>
      <c r="N6" s="55">
        <v>0.46800000000000003</v>
      </c>
      <c r="O6" s="64">
        <f>ROUND(C6*0.001,5)</f>
        <v>5.2609999999999997E-2</v>
      </c>
      <c r="P6" s="64">
        <f>Calculo_FlyBack_Simples!$Q$6</f>
        <v>2.2000000000000001E-3</v>
      </c>
      <c r="Q6" s="64" t="str">
        <f>IF(O6&gt;P6,"Não","Sim")</f>
        <v>Não</v>
      </c>
      <c r="R6" s="64">
        <f>Calculo_Flyback_MCLYMAN!$G$6</f>
        <v>1.3799999999999999E-3</v>
      </c>
      <c r="S6" s="64" t="str">
        <f>IF(O6&gt;R6,"Não","Sim")</f>
        <v>Não</v>
      </c>
      <c r="T6" s="65">
        <f t="shared" ref="T6:T40" si="0">C6/F6</f>
        <v>0.94114490161001785</v>
      </c>
      <c r="U6" s="26">
        <v>0.9</v>
      </c>
      <c r="V6" s="26">
        <v>0.9</v>
      </c>
      <c r="W6" s="26">
        <v>0.61</v>
      </c>
      <c r="X6" s="26">
        <v>0.25</v>
      </c>
      <c r="Y6" s="26">
        <v>0.01</v>
      </c>
      <c r="Z6" s="26">
        <v>0.75</v>
      </c>
      <c r="AA6" s="26">
        <v>1</v>
      </c>
      <c r="AB6" s="66">
        <f>ROUND(T6*W6*0.6*AA6,2)</f>
        <v>0.34</v>
      </c>
      <c r="AC6" s="66">
        <f>ROUND(T6*W6*Z6*AA6,1)</f>
        <v>0.4</v>
      </c>
    </row>
    <row r="7" spans="1:29" x14ac:dyDescent="0.25">
      <c r="A7" s="2"/>
      <c r="B7" s="53">
        <v>11</v>
      </c>
      <c r="C7" s="55">
        <v>41.68</v>
      </c>
      <c r="D7" s="55">
        <v>8226</v>
      </c>
      <c r="E7" s="55">
        <v>41.4</v>
      </c>
      <c r="F7" s="55">
        <v>44.5</v>
      </c>
      <c r="G7" s="55">
        <v>8798</v>
      </c>
      <c r="H7" s="55">
        <v>0.23799999999999999</v>
      </c>
      <c r="I7" s="55">
        <v>9.4E-2</v>
      </c>
      <c r="J7" s="55">
        <v>4.4000000000000004</v>
      </c>
      <c r="K7" s="55">
        <v>11</v>
      </c>
      <c r="L7" s="55">
        <v>13</v>
      </c>
      <c r="M7" s="55">
        <v>90</v>
      </c>
      <c r="N7" s="55">
        <v>0.375</v>
      </c>
      <c r="O7" s="64">
        <f t="shared" ref="O7:O40" si="1">ROUND(C7*0.001,5)</f>
        <v>4.1680000000000002E-2</v>
      </c>
      <c r="P7" s="64">
        <f>Calculo_FlyBack_Simples!$Q$6</f>
        <v>2.2000000000000001E-3</v>
      </c>
      <c r="Q7" s="64" t="str">
        <f t="shared" ref="Q7:Q40" si="2">IF(O7&gt;P7,"Não","Sim")</f>
        <v>Não</v>
      </c>
      <c r="R7" s="64">
        <f>Calculo_Flyback_MCLYMAN!$G$6</f>
        <v>1.3799999999999999E-3</v>
      </c>
      <c r="S7" s="64" t="str">
        <f t="shared" ref="S7:S40" si="3">IF(O7&gt;R7,"Não","Sim")</f>
        <v>Não</v>
      </c>
      <c r="T7" s="65">
        <f t="shared" si="0"/>
        <v>0.93662921348314609</v>
      </c>
      <c r="U7" s="26">
        <v>0.9</v>
      </c>
      <c r="V7" s="26">
        <v>0.9</v>
      </c>
      <c r="W7" s="26">
        <v>0.61</v>
      </c>
      <c r="X7" s="26">
        <v>0.25</v>
      </c>
      <c r="Y7" s="26">
        <v>0.01</v>
      </c>
      <c r="Z7" s="26">
        <v>0.75</v>
      </c>
      <c r="AA7" s="26">
        <v>1</v>
      </c>
      <c r="AB7" s="66">
        <f t="shared" ref="AB7:AB40" si="4">ROUND(T7*W7*0.6*AA7,2)</f>
        <v>0.34</v>
      </c>
      <c r="AC7" s="66">
        <f t="shared" ref="AC7:AC15" si="5">ROUND(T7*W7*Z7*AA7,1)</f>
        <v>0.4</v>
      </c>
    </row>
    <row r="8" spans="1:29" x14ac:dyDescent="0.25">
      <c r="A8" s="2"/>
      <c r="B8" s="53">
        <v>12</v>
      </c>
      <c r="C8" s="55">
        <v>33.08</v>
      </c>
      <c r="D8" s="55">
        <v>6529</v>
      </c>
      <c r="E8" s="55">
        <v>52.1</v>
      </c>
      <c r="F8" s="55">
        <v>35.64</v>
      </c>
      <c r="G8" s="55">
        <v>7022</v>
      </c>
      <c r="H8" s="55">
        <v>0.21299999999999999</v>
      </c>
      <c r="I8" s="55">
        <v>8.4000000000000005E-2</v>
      </c>
      <c r="J8" s="55">
        <v>4.9000000000000004</v>
      </c>
      <c r="K8" s="55">
        <v>12</v>
      </c>
      <c r="L8" s="55">
        <v>17</v>
      </c>
      <c r="M8" s="55">
        <v>108</v>
      </c>
      <c r="N8" s="55">
        <v>0.29770000000000002</v>
      </c>
      <c r="O8" s="64">
        <f t="shared" si="1"/>
        <v>3.3079999999999998E-2</v>
      </c>
      <c r="P8" s="64">
        <f>Calculo_FlyBack_Simples!$Q$6</f>
        <v>2.2000000000000001E-3</v>
      </c>
      <c r="Q8" s="64" t="str">
        <f t="shared" si="2"/>
        <v>Não</v>
      </c>
      <c r="R8" s="64">
        <f>Calculo_Flyback_MCLYMAN!$G$6</f>
        <v>1.3799999999999999E-3</v>
      </c>
      <c r="S8" s="64" t="str">
        <f t="shared" si="3"/>
        <v>Não</v>
      </c>
      <c r="T8" s="65">
        <f t="shared" si="0"/>
        <v>0.92817059483726139</v>
      </c>
      <c r="U8" s="26">
        <v>0.9</v>
      </c>
      <c r="V8" s="26">
        <v>0.9</v>
      </c>
      <c r="W8" s="26">
        <v>0.61</v>
      </c>
      <c r="X8" s="26">
        <v>0.25</v>
      </c>
      <c r="Y8" s="26">
        <v>0.01</v>
      </c>
      <c r="Z8" s="26">
        <v>0.75</v>
      </c>
      <c r="AA8" s="26">
        <v>1</v>
      </c>
      <c r="AB8" s="66">
        <f t="shared" si="4"/>
        <v>0.34</v>
      </c>
      <c r="AC8" s="66">
        <f t="shared" si="5"/>
        <v>0.4</v>
      </c>
    </row>
    <row r="9" spans="1:29" x14ac:dyDescent="0.25">
      <c r="A9" s="2"/>
      <c r="B9" s="53">
        <v>13</v>
      </c>
      <c r="C9" s="55">
        <v>26.26</v>
      </c>
      <c r="D9" s="55">
        <v>5184</v>
      </c>
      <c r="E9" s="55">
        <v>65.599999999999994</v>
      </c>
      <c r="F9" s="55">
        <v>28.36</v>
      </c>
      <c r="G9" s="55">
        <v>5610</v>
      </c>
      <c r="H9" s="55">
        <v>0.19</v>
      </c>
      <c r="I9" s="55">
        <v>7.4999999999999997E-2</v>
      </c>
      <c r="J9" s="55">
        <v>5.5</v>
      </c>
      <c r="K9" s="55">
        <v>13</v>
      </c>
      <c r="L9" s="55">
        <v>21</v>
      </c>
      <c r="M9" s="55">
        <v>136</v>
      </c>
      <c r="N9" s="55">
        <v>0.23669999999999999</v>
      </c>
      <c r="O9" s="64">
        <f t="shared" si="1"/>
        <v>2.6259999999999999E-2</v>
      </c>
      <c r="P9" s="64">
        <f>Calculo_FlyBack_Simples!$Q$6</f>
        <v>2.2000000000000001E-3</v>
      </c>
      <c r="Q9" s="64" t="str">
        <f t="shared" si="2"/>
        <v>Não</v>
      </c>
      <c r="R9" s="64">
        <f>Calculo_Flyback_MCLYMAN!$G$6</f>
        <v>1.3799999999999999E-3</v>
      </c>
      <c r="S9" s="64" t="str">
        <f t="shared" si="3"/>
        <v>Não</v>
      </c>
      <c r="T9" s="65">
        <f t="shared" si="0"/>
        <v>0.92595204513399165</v>
      </c>
      <c r="U9" s="26">
        <v>0.9</v>
      </c>
      <c r="V9" s="26">
        <v>0.9</v>
      </c>
      <c r="W9" s="26">
        <v>0.61</v>
      </c>
      <c r="X9" s="26">
        <v>0.25</v>
      </c>
      <c r="Y9" s="26">
        <v>0.01</v>
      </c>
      <c r="Z9" s="26">
        <v>0.75</v>
      </c>
      <c r="AA9" s="26">
        <v>1</v>
      </c>
      <c r="AB9" s="66">
        <f t="shared" si="4"/>
        <v>0.34</v>
      </c>
      <c r="AC9" s="66">
        <f t="shared" si="5"/>
        <v>0.4</v>
      </c>
    </row>
    <row r="10" spans="1:29" x14ac:dyDescent="0.25">
      <c r="A10" s="2"/>
      <c r="B10" s="53">
        <v>14</v>
      </c>
      <c r="C10" s="55">
        <v>20.82</v>
      </c>
      <c r="D10" s="55">
        <v>4109</v>
      </c>
      <c r="E10" s="55">
        <v>82.8</v>
      </c>
      <c r="F10" s="55">
        <v>22.95</v>
      </c>
      <c r="G10" s="55">
        <v>4556</v>
      </c>
      <c r="H10" s="55">
        <v>0.17100000000000001</v>
      </c>
      <c r="I10" s="55">
        <v>6.8000000000000005E-2</v>
      </c>
      <c r="J10" s="55">
        <v>6</v>
      </c>
      <c r="K10" s="55">
        <v>15</v>
      </c>
      <c r="L10" s="55">
        <v>26</v>
      </c>
      <c r="M10" s="55">
        <v>169</v>
      </c>
      <c r="N10" s="55">
        <v>0.18790000000000001</v>
      </c>
      <c r="O10" s="64">
        <f t="shared" si="1"/>
        <v>2.0820000000000002E-2</v>
      </c>
      <c r="P10" s="64">
        <f>Calculo_FlyBack_Simples!$Q$6</f>
        <v>2.2000000000000001E-3</v>
      </c>
      <c r="Q10" s="64" t="str">
        <f t="shared" si="2"/>
        <v>Não</v>
      </c>
      <c r="R10" s="64">
        <f>Calculo_Flyback_MCLYMAN!$G$6</f>
        <v>1.3799999999999999E-3</v>
      </c>
      <c r="S10" s="64" t="str">
        <f t="shared" si="3"/>
        <v>Não</v>
      </c>
      <c r="T10" s="65">
        <f t="shared" si="0"/>
        <v>0.90718954248366013</v>
      </c>
      <c r="U10" s="26">
        <v>0.9</v>
      </c>
      <c r="V10" s="26">
        <v>0.9</v>
      </c>
      <c r="W10" s="26">
        <v>0.61</v>
      </c>
      <c r="X10" s="26">
        <v>0.25</v>
      </c>
      <c r="Y10" s="26">
        <v>0.01</v>
      </c>
      <c r="Z10" s="26">
        <v>0.75</v>
      </c>
      <c r="AA10" s="26">
        <v>1</v>
      </c>
      <c r="AB10" s="66">
        <f t="shared" si="4"/>
        <v>0.33</v>
      </c>
      <c r="AC10" s="66">
        <f t="shared" si="5"/>
        <v>0.4</v>
      </c>
    </row>
    <row r="11" spans="1:29" x14ac:dyDescent="0.25">
      <c r="A11" s="2"/>
      <c r="B11" s="53">
        <v>15</v>
      </c>
      <c r="C11" s="55">
        <v>16.510000000000002</v>
      </c>
      <c r="D11" s="55">
        <v>3260</v>
      </c>
      <c r="E11" s="55">
        <v>104.3</v>
      </c>
      <c r="F11" s="55">
        <v>18.37</v>
      </c>
      <c r="G11" s="55">
        <v>3624</v>
      </c>
      <c r="H11" s="55">
        <v>0.153</v>
      </c>
      <c r="I11" s="55">
        <v>0.06</v>
      </c>
      <c r="J11" s="55">
        <v>6.8</v>
      </c>
      <c r="K11" s="55">
        <v>17</v>
      </c>
      <c r="L11" s="55">
        <v>33</v>
      </c>
      <c r="M11" s="55">
        <v>211</v>
      </c>
      <c r="N11" s="55">
        <v>0.1492</v>
      </c>
      <c r="O11" s="64">
        <f t="shared" si="1"/>
        <v>1.651E-2</v>
      </c>
      <c r="P11" s="64">
        <f>Calculo_FlyBack_Simples!$Q$6</f>
        <v>2.2000000000000001E-3</v>
      </c>
      <c r="Q11" s="64" t="str">
        <f t="shared" si="2"/>
        <v>Não</v>
      </c>
      <c r="R11" s="64">
        <f>Calculo_Flyback_MCLYMAN!$G$6</f>
        <v>1.3799999999999999E-3</v>
      </c>
      <c r="S11" s="64" t="str">
        <f t="shared" si="3"/>
        <v>Não</v>
      </c>
      <c r="T11" s="65">
        <f t="shared" si="0"/>
        <v>0.89874795862819823</v>
      </c>
      <c r="U11" s="26">
        <v>0.9</v>
      </c>
      <c r="V11" s="26">
        <v>0.9</v>
      </c>
      <c r="W11" s="26">
        <v>0.61</v>
      </c>
      <c r="X11" s="26">
        <v>0.25</v>
      </c>
      <c r="Y11" s="26">
        <v>0.01</v>
      </c>
      <c r="Z11" s="26">
        <v>0.75</v>
      </c>
      <c r="AA11" s="26">
        <v>1</v>
      </c>
      <c r="AB11" s="66">
        <f t="shared" si="4"/>
        <v>0.33</v>
      </c>
      <c r="AC11" s="66">
        <f t="shared" si="5"/>
        <v>0.4</v>
      </c>
    </row>
    <row r="12" spans="1:29" x14ac:dyDescent="0.25">
      <c r="A12" s="2"/>
      <c r="B12" s="53">
        <v>16</v>
      </c>
      <c r="C12" s="55">
        <v>13.07</v>
      </c>
      <c r="D12" s="55">
        <v>2581</v>
      </c>
      <c r="E12" s="55">
        <v>131.80000000000001</v>
      </c>
      <c r="F12" s="55">
        <v>14.73</v>
      </c>
      <c r="G12" s="55">
        <v>2905</v>
      </c>
      <c r="H12" s="55">
        <v>0.13700000000000001</v>
      </c>
      <c r="I12" s="55">
        <v>5.3999999999999999E-2</v>
      </c>
      <c r="J12" s="55">
        <v>7.3</v>
      </c>
      <c r="K12" s="55">
        <v>19</v>
      </c>
      <c r="L12" s="55">
        <v>41</v>
      </c>
      <c r="M12" s="55">
        <v>263</v>
      </c>
      <c r="N12" s="55">
        <v>0.11840000000000001</v>
      </c>
      <c r="O12" s="64">
        <f t="shared" si="1"/>
        <v>1.307E-2</v>
      </c>
      <c r="P12" s="64">
        <f>Calculo_FlyBack_Simples!$Q$6</f>
        <v>2.2000000000000001E-3</v>
      </c>
      <c r="Q12" s="64" t="str">
        <f t="shared" si="2"/>
        <v>Não</v>
      </c>
      <c r="R12" s="64">
        <f>Calculo_Flyback_MCLYMAN!$G$6</f>
        <v>1.3799999999999999E-3</v>
      </c>
      <c r="S12" s="64" t="str">
        <f t="shared" si="3"/>
        <v>Não</v>
      </c>
      <c r="T12" s="65">
        <f t="shared" si="0"/>
        <v>0.88730482009504408</v>
      </c>
      <c r="U12" s="26">
        <v>0.9</v>
      </c>
      <c r="V12" s="26">
        <v>0.9</v>
      </c>
      <c r="W12" s="26">
        <v>0.61</v>
      </c>
      <c r="X12" s="26">
        <v>0.187</v>
      </c>
      <c r="Y12" s="2">
        <v>0.01</v>
      </c>
      <c r="Z12" s="2">
        <v>0.75</v>
      </c>
      <c r="AA12" s="2">
        <v>1</v>
      </c>
      <c r="AB12" s="66">
        <f t="shared" si="4"/>
        <v>0.32</v>
      </c>
      <c r="AC12" s="66">
        <f t="shared" si="5"/>
        <v>0.4</v>
      </c>
    </row>
    <row r="13" spans="1:29" x14ac:dyDescent="0.25">
      <c r="A13" s="2"/>
      <c r="B13" s="53">
        <v>17</v>
      </c>
      <c r="C13" s="55">
        <v>10.39</v>
      </c>
      <c r="D13" s="55">
        <v>2052</v>
      </c>
      <c r="E13" s="55">
        <v>165.8</v>
      </c>
      <c r="F13" s="55">
        <v>11.68</v>
      </c>
      <c r="G13" s="55">
        <v>2323</v>
      </c>
      <c r="H13" s="55">
        <v>0.122</v>
      </c>
      <c r="I13" s="55">
        <v>4.8000000000000001E-2</v>
      </c>
      <c r="J13" s="55">
        <v>8.1999999999999993</v>
      </c>
      <c r="K13" s="55">
        <v>21</v>
      </c>
      <c r="L13" s="55">
        <v>51</v>
      </c>
      <c r="M13" s="55">
        <v>331</v>
      </c>
      <c r="N13" s="55">
        <v>9.4299999999999995E-2</v>
      </c>
      <c r="O13" s="64">
        <f t="shared" si="1"/>
        <v>1.039E-2</v>
      </c>
      <c r="P13" s="64">
        <f>Calculo_FlyBack_Simples!$Q$6</f>
        <v>2.2000000000000001E-3</v>
      </c>
      <c r="Q13" s="64" t="str">
        <f t="shared" si="2"/>
        <v>Não</v>
      </c>
      <c r="R13" s="64">
        <f>Calculo_Flyback_MCLYMAN!$G$6</f>
        <v>1.3799999999999999E-3</v>
      </c>
      <c r="S13" s="64" t="str">
        <f t="shared" si="3"/>
        <v>Não</v>
      </c>
      <c r="T13" s="65">
        <f t="shared" si="0"/>
        <v>0.88955479452054798</v>
      </c>
      <c r="U13" s="26">
        <v>0.9</v>
      </c>
      <c r="V13" s="26">
        <v>0.9</v>
      </c>
      <c r="W13" s="26">
        <v>0.61</v>
      </c>
      <c r="X13" s="26">
        <v>0.187</v>
      </c>
      <c r="Y13" s="26">
        <v>7.0000000000000001E-3</v>
      </c>
      <c r="Z13" s="26">
        <v>0.75</v>
      </c>
      <c r="AA13" s="26">
        <v>1</v>
      </c>
      <c r="AB13" s="66">
        <f t="shared" si="4"/>
        <v>0.33</v>
      </c>
      <c r="AC13" s="66">
        <f t="shared" si="5"/>
        <v>0.4</v>
      </c>
    </row>
    <row r="14" spans="1:29" x14ac:dyDescent="0.25">
      <c r="A14" s="2"/>
      <c r="B14" s="53">
        <v>18</v>
      </c>
      <c r="C14" s="55">
        <v>8.2279999999999998</v>
      </c>
      <c r="D14" s="55">
        <v>1624</v>
      </c>
      <c r="E14" s="55">
        <v>209.5</v>
      </c>
      <c r="F14" s="55">
        <v>9.3260000000000005</v>
      </c>
      <c r="G14" s="55">
        <v>1857</v>
      </c>
      <c r="H14" s="55">
        <v>0.109</v>
      </c>
      <c r="I14" s="55">
        <v>4.2999999999999997E-2</v>
      </c>
      <c r="J14" s="55">
        <v>9.1</v>
      </c>
      <c r="K14" s="55">
        <v>23</v>
      </c>
      <c r="L14" s="55">
        <v>64</v>
      </c>
      <c r="M14" s="55">
        <v>415</v>
      </c>
      <c r="N14" s="55">
        <v>7.4740000000000001E-2</v>
      </c>
      <c r="O14" s="64">
        <f t="shared" si="1"/>
        <v>8.2299999999999995E-3</v>
      </c>
      <c r="P14" s="64">
        <f>Calculo_FlyBack_Simples!$Q$6</f>
        <v>2.2000000000000001E-3</v>
      </c>
      <c r="Q14" s="64" t="str">
        <f t="shared" si="2"/>
        <v>Não</v>
      </c>
      <c r="R14" s="64">
        <f>Calculo_Flyback_MCLYMAN!$G$6</f>
        <v>1.3799999999999999E-3</v>
      </c>
      <c r="S14" s="64" t="str">
        <f t="shared" si="3"/>
        <v>Não</v>
      </c>
      <c r="T14" s="65">
        <f t="shared" si="0"/>
        <v>0.88226463650010711</v>
      </c>
      <c r="U14" s="26">
        <v>0.9</v>
      </c>
      <c r="V14" s="26">
        <v>0.9</v>
      </c>
      <c r="W14" s="26">
        <v>0.61</v>
      </c>
      <c r="X14" s="26">
        <v>0.187</v>
      </c>
      <c r="Y14" s="26">
        <v>7.0000000000000001E-3</v>
      </c>
      <c r="Z14" s="26">
        <v>0.75</v>
      </c>
      <c r="AA14" s="26">
        <v>1</v>
      </c>
      <c r="AB14" s="66">
        <f t="shared" si="4"/>
        <v>0.32</v>
      </c>
      <c r="AC14" s="66">
        <f t="shared" si="5"/>
        <v>0.4</v>
      </c>
    </row>
    <row r="15" spans="1:29" x14ac:dyDescent="0.25">
      <c r="A15" s="2"/>
      <c r="B15" s="53">
        <v>19</v>
      </c>
      <c r="C15" s="55">
        <v>6.5309999999999997</v>
      </c>
      <c r="D15" s="55">
        <v>1289</v>
      </c>
      <c r="E15" s="55">
        <v>263.89999999999998</v>
      </c>
      <c r="F15" s="55">
        <v>7.5389999999999997</v>
      </c>
      <c r="G15" s="55">
        <v>1490</v>
      </c>
      <c r="H15" s="55">
        <v>9.8000000000000004E-2</v>
      </c>
      <c r="I15" s="55">
        <v>3.9E-2</v>
      </c>
      <c r="J15" s="55">
        <v>10.199999999999999</v>
      </c>
      <c r="K15" s="55">
        <v>26</v>
      </c>
      <c r="L15" s="55">
        <v>80</v>
      </c>
      <c r="M15" s="55">
        <v>515</v>
      </c>
      <c r="N15" s="55">
        <v>5.9400000000000001E-2</v>
      </c>
      <c r="O15" s="64">
        <f t="shared" si="1"/>
        <v>6.5300000000000002E-3</v>
      </c>
      <c r="P15" s="64">
        <f>Calculo_FlyBack_Simples!$Q$6</f>
        <v>2.2000000000000001E-3</v>
      </c>
      <c r="Q15" s="64" t="str">
        <f t="shared" si="2"/>
        <v>Não</v>
      </c>
      <c r="R15" s="64">
        <f>Calculo_Flyback_MCLYMAN!$G$6</f>
        <v>1.3799999999999999E-3</v>
      </c>
      <c r="S15" s="64" t="str">
        <f t="shared" si="3"/>
        <v>Não</v>
      </c>
      <c r="T15" s="65">
        <f t="shared" si="0"/>
        <v>0.86629526462395545</v>
      </c>
      <c r="U15" s="26">
        <v>0.9</v>
      </c>
      <c r="V15" s="26">
        <v>0.9</v>
      </c>
      <c r="W15" s="26">
        <v>0.61</v>
      </c>
      <c r="X15" s="26">
        <v>0.156</v>
      </c>
      <c r="Y15" s="26">
        <v>7.0000000000000001E-3</v>
      </c>
      <c r="Z15" s="26">
        <v>0.75</v>
      </c>
      <c r="AA15" s="26">
        <v>1</v>
      </c>
      <c r="AB15" s="66">
        <f t="shared" si="4"/>
        <v>0.32</v>
      </c>
      <c r="AC15" s="66">
        <f t="shared" si="5"/>
        <v>0.4</v>
      </c>
    </row>
    <row r="16" spans="1:29" x14ac:dyDescent="0.25">
      <c r="A16" s="2"/>
      <c r="B16" s="53">
        <v>20</v>
      </c>
      <c r="C16" s="55">
        <v>5.1879999999999997</v>
      </c>
      <c r="D16" s="55">
        <v>1024</v>
      </c>
      <c r="E16" s="55">
        <v>332.3</v>
      </c>
      <c r="F16" s="55">
        <v>6.0650000000000004</v>
      </c>
      <c r="G16" s="55">
        <v>1197</v>
      </c>
      <c r="H16" s="55">
        <v>8.7900000000000006E-2</v>
      </c>
      <c r="I16" s="55">
        <v>3.5000000000000003E-2</v>
      </c>
      <c r="J16" s="55">
        <v>11.4</v>
      </c>
      <c r="K16" s="55">
        <v>29</v>
      </c>
      <c r="L16" s="55">
        <v>99</v>
      </c>
      <c r="M16" s="55">
        <v>638</v>
      </c>
      <c r="N16" s="55">
        <v>4.7260000000000003E-2</v>
      </c>
      <c r="O16" s="64">
        <f t="shared" si="1"/>
        <v>5.1900000000000002E-3</v>
      </c>
      <c r="P16" s="64">
        <f>Calculo_FlyBack_Simples!$Q$6</f>
        <v>2.2000000000000001E-3</v>
      </c>
      <c r="Q16" s="64" t="str">
        <f t="shared" si="2"/>
        <v>Não</v>
      </c>
      <c r="R16" s="64">
        <f>Calculo_Flyback_MCLYMAN!$G$6</f>
        <v>1.3799999999999999E-3</v>
      </c>
      <c r="S16" s="64" t="str">
        <f t="shared" si="3"/>
        <v>Não</v>
      </c>
      <c r="T16" s="65">
        <f t="shared" si="0"/>
        <v>0.85539983511953821</v>
      </c>
      <c r="U16" s="26">
        <v>0.9</v>
      </c>
      <c r="V16" s="26">
        <v>0.9</v>
      </c>
      <c r="W16" s="26">
        <v>0.61</v>
      </c>
      <c r="X16" s="26">
        <v>0.156</v>
      </c>
      <c r="Y16" s="26">
        <v>5.0000000000000001E-3</v>
      </c>
      <c r="Z16" s="26">
        <v>0.75</v>
      </c>
      <c r="AA16" s="26">
        <v>1</v>
      </c>
      <c r="AB16" s="66">
        <f t="shared" si="4"/>
        <v>0.31</v>
      </c>
      <c r="AC16" s="66">
        <f>ROUND(T16*W16*Z16*AA16,1)</f>
        <v>0.4</v>
      </c>
    </row>
    <row r="17" spans="1:29" x14ac:dyDescent="0.25">
      <c r="A17" s="2"/>
      <c r="B17" s="53">
        <v>21</v>
      </c>
      <c r="C17" s="55">
        <v>4.1159999999999997</v>
      </c>
      <c r="D17" s="55">
        <v>812.3</v>
      </c>
      <c r="E17" s="55">
        <v>418.9</v>
      </c>
      <c r="F17" s="55">
        <v>4.8369999999999997</v>
      </c>
      <c r="G17" s="55">
        <v>954.8</v>
      </c>
      <c r="H17" s="55">
        <v>7.85E-2</v>
      </c>
      <c r="I17" s="55">
        <v>3.1E-2</v>
      </c>
      <c r="J17" s="55">
        <v>12.8</v>
      </c>
      <c r="K17" s="55">
        <v>32</v>
      </c>
      <c r="L17" s="55">
        <v>124</v>
      </c>
      <c r="M17" s="55">
        <v>800</v>
      </c>
      <c r="N17" s="55">
        <v>3.7569999999999999E-2</v>
      </c>
      <c r="O17" s="64">
        <f t="shared" si="1"/>
        <v>4.1200000000000004E-3</v>
      </c>
      <c r="P17" s="64">
        <f>Calculo_FlyBack_Simples!$Q$6</f>
        <v>2.2000000000000001E-3</v>
      </c>
      <c r="Q17" s="64" t="str">
        <f t="shared" si="2"/>
        <v>Não</v>
      </c>
      <c r="R17" s="64">
        <f>Calculo_Flyback_MCLYMAN!$G$6</f>
        <v>1.3799999999999999E-3</v>
      </c>
      <c r="S17" s="64" t="str">
        <f t="shared" si="3"/>
        <v>Não</v>
      </c>
      <c r="T17" s="65">
        <f t="shared" si="0"/>
        <v>0.85094066570188132</v>
      </c>
      <c r="U17" s="26">
        <v>0.9</v>
      </c>
      <c r="V17" s="26">
        <v>0.9</v>
      </c>
      <c r="W17" s="26">
        <v>0.61</v>
      </c>
      <c r="X17" s="26">
        <v>0.156</v>
      </c>
      <c r="Y17" s="26">
        <v>5.0000000000000001E-3</v>
      </c>
      <c r="Z17" s="26">
        <v>0.75</v>
      </c>
      <c r="AA17" s="26">
        <v>1</v>
      </c>
      <c r="AB17" s="66">
        <f t="shared" si="4"/>
        <v>0.31</v>
      </c>
      <c r="AC17" s="66">
        <f t="shared" ref="AC17:AC40" si="6">ROUND(T17*W17*Z17*AA17,1)</f>
        <v>0.4</v>
      </c>
    </row>
    <row r="18" spans="1:29" x14ac:dyDescent="0.25">
      <c r="A18" s="2"/>
      <c r="B18" s="53">
        <v>22</v>
      </c>
      <c r="C18" s="55">
        <v>3.2429999999999999</v>
      </c>
      <c r="D18" s="55">
        <v>640.1</v>
      </c>
      <c r="E18" s="55">
        <v>531.4</v>
      </c>
      <c r="F18" s="55">
        <v>3.8570000000000002</v>
      </c>
      <c r="G18" s="55">
        <v>761.7</v>
      </c>
      <c r="H18" s="55">
        <v>7.0099999999999996E-2</v>
      </c>
      <c r="I18" s="55">
        <v>2.8000000000000001E-2</v>
      </c>
      <c r="J18" s="55">
        <v>14.3</v>
      </c>
      <c r="K18" s="55">
        <v>36</v>
      </c>
      <c r="L18" s="55">
        <v>156</v>
      </c>
      <c r="M18" s="55">
        <v>1003</v>
      </c>
      <c r="N18" s="55">
        <v>2.9649999999999999E-2</v>
      </c>
      <c r="O18" s="64">
        <f t="shared" si="1"/>
        <v>3.2399999999999998E-3</v>
      </c>
      <c r="P18" s="64">
        <f>Calculo_FlyBack_Simples!$Q$6</f>
        <v>2.2000000000000001E-3</v>
      </c>
      <c r="Q18" s="64" t="str">
        <f t="shared" si="2"/>
        <v>Não</v>
      </c>
      <c r="R18" s="64">
        <f>Calculo_Flyback_MCLYMAN!$G$6</f>
        <v>1.3799999999999999E-3</v>
      </c>
      <c r="S18" s="64" t="str">
        <f t="shared" si="3"/>
        <v>Não</v>
      </c>
      <c r="T18" s="65">
        <f t="shared" si="0"/>
        <v>0.84080891884884623</v>
      </c>
      <c r="U18" s="26">
        <v>0.9</v>
      </c>
      <c r="V18" s="26">
        <v>0.9</v>
      </c>
      <c r="W18" s="26">
        <v>0.61</v>
      </c>
      <c r="X18" s="26">
        <v>0.125</v>
      </c>
      <c r="Y18" s="26">
        <v>3.0000000000000001E-3</v>
      </c>
      <c r="Z18" s="26">
        <v>0.75</v>
      </c>
      <c r="AA18" s="26">
        <v>1</v>
      </c>
      <c r="AB18" s="66">
        <f t="shared" si="4"/>
        <v>0.31</v>
      </c>
      <c r="AC18" s="66">
        <f t="shared" si="6"/>
        <v>0.4</v>
      </c>
    </row>
    <row r="19" spans="1:29" x14ac:dyDescent="0.25">
      <c r="A19" s="2"/>
      <c r="B19" s="53">
        <v>23</v>
      </c>
      <c r="C19" s="55">
        <v>2.5880000000000001</v>
      </c>
      <c r="D19" s="55">
        <v>510.8</v>
      </c>
      <c r="E19" s="55">
        <v>666</v>
      </c>
      <c r="F19" s="55">
        <v>3.1349999999999998</v>
      </c>
      <c r="G19" s="55">
        <v>620</v>
      </c>
      <c r="H19" s="55">
        <v>6.3200000000000006E-2</v>
      </c>
      <c r="I19" s="55">
        <v>2.5000000000000001E-2</v>
      </c>
      <c r="J19" s="55">
        <v>15.8</v>
      </c>
      <c r="K19" s="55">
        <v>40</v>
      </c>
      <c r="L19" s="55">
        <v>191</v>
      </c>
      <c r="M19" s="55">
        <v>1234</v>
      </c>
      <c r="N19" s="55">
        <v>2.3720000000000001E-2</v>
      </c>
      <c r="O19" s="64">
        <f t="shared" si="1"/>
        <v>2.5899999999999999E-3</v>
      </c>
      <c r="P19" s="64">
        <f>Calculo_FlyBack_Simples!$Q$6</f>
        <v>2.2000000000000001E-3</v>
      </c>
      <c r="Q19" s="64" t="str">
        <f t="shared" si="2"/>
        <v>Não</v>
      </c>
      <c r="R19" s="64">
        <f>Calculo_Flyback_MCLYMAN!$G$6</f>
        <v>1.3799999999999999E-3</v>
      </c>
      <c r="S19" s="64" t="str">
        <f t="shared" si="3"/>
        <v>Não</v>
      </c>
      <c r="T19" s="65">
        <f t="shared" si="0"/>
        <v>0.8255183413078151</v>
      </c>
      <c r="U19" s="26">
        <v>0.9</v>
      </c>
      <c r="V19" s="26">
        <v>0.85</v>
      </c>
      <c r="W19" s="26">
        <v>0.61</v>
      </c>
      <c r="X19" s="26">
        <v>0.125</v>
      </c>
      <c r="Y19" s="26">
        <v>3.0000000000000001E-3</v>
      </c>
      <c r="Z19" s="26">
        <v>0.75</v>
      </c>
      <c r="AA19" s="26">
        <v>1</v>
      </c>
      <c r="AB19" s="66">
        <f t="shared" si="4"/>
        <v>0.3</v>
      </c>
      <c r="AC19" s="66">
        <f t="shared" si="6"/>
        <v>0.4</v>
      </c>
    </row>
    <row r="20" spans="1:29" x14ac:dyDescent="0.25">
      <c r="A20" s="2"/>
      <c r="B20" s="53">
        <v>24</v>
      </c>
      <c r="C20" s="55">
        <v>2.0470000000000002</v>
      </c>
      <c r="D20" s="55">
        <v>404</v>
      </c>
      <c r="E20" s="55">
        <v>842.1</v>
      </c>
      <c r="F20" s="55">
        <v>2.5139999999999998</v>
      </c>
      <c r="G20" s="55">
        <v>497.3</v>
      </c>
      <c r="H20" s="55">
        <v>5.6599999999999998E-2</v>
      </c>
      <c r="I20" s="55">
        <v>2.1999999999999999E-2</v>
      </c>
      <c r="J20" s="55">
        <v>17.600000000000001</v>
      </c>
      <c r="K20" s="55">
        <v>45</v>
      </c>
      <c r="L20" s="55">
        <v>239</v>
      </c>
      <c r="M20" s="55">
        <v>1539</v>
      </c>
      <c r="N20" s="55">
        <v>1.8839999999999999E-2</v>
      </c>
      <c r="O20" s="64">
        <f t="shared" si="1"/>
        <v>2.0500000000000002E-3</v>
      </c>
      <c r="P20" s="64">
        <f>Calculo_FlyBack_Simples!$Q$6</f>
        <v>2.2000000000000001E-3</v>
      </c>
      <c r="Q20" s="64" t="str">
        <f t="shared" si="2"/>
        <v>Sim</v>
      </c>
      <c r="R20" s="64">
        <f>Calculo_Flyback_MCLYMAN!$G$6</f>
        <v>1.3799999999999999E-3</v>
      </c>
      <c r="S20" s="64" t="str">
        <f t="shared" si="3"/>
        <v>Não</v>
      </c>
      <c r="T20" s="65">
        <f t="shared" si="0"/>
        <v>0.81424025457438354</v>
      </c>
      <c r="U20" s="26">
        <v>0.9</v>
      </c>
      <c r="V20" s="26">
        <v>0.85</v>
      </c>
      <c r="W20" s="26">
        <v>0.61</v>
      </c>
      <c r="X20" s="26">
        <v>0.125</v>
      </c>
      <c r="Y20" s="26">
        <v>2E-3</v>
      </c>
      <c r="Z20" s="26">
        <v>0.75</v>
      </c>
      <c r="AA20" s="26">
        <v>1</v>
      </c>
      <c r="AB20" s="66">
        <f t="shared" si="4"/>
        <v>0.3</v>
      </c>
      <c r="AC20" s="66">
        <f t="shared" si="6"/>
        <v>0.4</v>
      </c>
    </row>
    <row r="21" spans="1:29" x14ac:dyDescent="0.25">
      <c r="A21" s="2"/>
      <c r="B21" s="53">
        <v>25</v>
      </c>
      <c r="C21" s="55">
        <v>1.623</v>
      </c>
      <c r="D21" s="55">
        <v>320.39999999999998</v>
      </c>
      <c r="E21" s="55">
        <v>1062</v>
      </c>
      <c r="F21" s="55">
        <v>2.0019999999999998</v>
      </c>
      <c r="G21" s="55">
        <v>396</v>
      </c>
      <c r="H21" s="55">
        <v>5.0500000000000003E-2</v>
      </c>
      <c r="I21" s="55">
        <v>0.02</v>
      </c>
      <c r="J21" s="55">
        <v>19.8</v>
      </c>
      <c r="K21" s="55">
        <v>50</v>
      </c>
      <c r="L21" s="55">
        <v>300</v>
      </c>
      <c r="M21" s="55">
        <v>1933</v>
      </c>
      <c r="N21" s="55">
        <v>1.498E-2</v>
      </c>
      <c r="O21" s="64">
        <f t="shared" si="1"/>
        <v>1.6199999999999999E-3</v>
      </c>
      <c r="P21" s="64">
        <f>Calculo_FlyBack_Simples!$Q$6</f>
        <v>2.2000000000000001E-3</v>
      </c>
      <c r="Q21" s="64" t="str">
        <f t="shared" si="2"/>
        <v>Sim</v>
      </c>
      <c r="R21" s="64">
        <f>Calculo_Flyback_MCLYMAN!$G$6</f>
        <v>1.3799999999999999E-3</v>
      </c>
      <c r="S21" s="64" t="str">
        <f t="shared" si="3"/>
        <v>Não</v>
      </c>
      <c r="T21" s="65">
        <f t="shared" si="0"/>
        <v>0.81068931068931083</v>
      </c>
      <c r="U21" s="26">
        <v>0.9</v>
      </c>
      <c r="V21" s="26">
        <v>0.85</v>
      </c>
      <c r="W21" s="26">
        <v>0.61</v>
      </c>
      <c r="X21" s="26">
        <v>0.125</v>
      </c>
      <c r="Y21" s="26">
        <v>2E-3</v>
      </c>
      <c r="Z21" s="26">
        <v>0.75</v>
      </c>
      <c r="AA21" s="26">
        <v>1</v>
      </c>
      <c r="AB21" s="66">
        <f t="shared" si="4"/>
        <v>0.3</v>
      </c>
      <c r="AC21" s="66">
        <f t="shared" si="6"/>
        <v>0.4</v>
      </c>
    </row>
    <row r="22" spans="1:29" x14ac:dyDescent="0.25">
      <c r="A22" s="2"/>
      <c r="B22" s="53">
        <v>26</v>
      </c>
      <c r="C22" s="55">
        <v>1.28</v>
      </c>
      <c r="D22" s="55">
        <v>252.8</v>
      </c>
      <c r="E22" s="55">
        <v>1345</v>
      </c>
      <c r="F22" s="55">
        <v>1.603</v>
      </c>
      <c r="G22" s="55">
        <v>316.8</v>
      </c>
      <c r="H22" s="55">
        <v>4.5199999999999997E-2</v>
      </c>
      <c r="I22" s="55">
        <v>1.7999999999999999E-2</v>
      </c>
      <c r="J22" s="55">
        <v>22.1</v>
      </c>
      <c r="K22" s="55">
        <v>56</v>
      </c>
      <c r="L22" s="55">
        <v>374</v>
      </c>
      <c r="M22" s="55">
        <v>2414</v>
      </c>
      <c r="N22" s="55">
        <v>1.1849999999999999E-2</v>
      </c>
      <c r="O22" s="64">
        <f t="shared" si="1"/>
        <v>1.2800000000000001E-3</v>
      </c>
      <c r="P22" s="64">
        <f>Calculo_FlyBack_Simples!$Q$6</f>
        <v>2.2000000000000001E-3</v>
      </c>
      <c r="Q22" s="64" t="str">
        <f t="shared" si="2"/>
        <v>Sim</v>
      </c>
      <c r="R22" s="64">
        <f>Calculo_Flyback_MCLYMAN!$G$6</f>
        <v>1.3799999999999999E-3</v>
      </c>
      <c r="S22" s="64" t="str">
        <f t="shared" si="3"/>
        <v>Sim</v>
      </c>
      <c r="T22" s="65">
        <f t="shared" si="0"/>
        <v>0.79850280723643174</v>
      </c>
      <c r="U22" s="26">
        <v>0.89</v>
      </c>
      <c r="V22" s="26">
        <v>0.85</v>
      </c>
      <c r="W22" s="26">
        <v>0.61</v>
      </c>
      <c r="X22" s="26">
        <v>0.125</v>
      </c>
      <c r="Y22" s="26">
        <v>2E-3</v>
      </c>
      <c r="Z22" s="26">
        <v>0.75</v>
      </c>
      <c r="AA22" s="26">
        <v>1</v>
      </c>
      <c r="AB22" s="66">
        <f t="shared" si="4"/>
        <v>0.28999999999999998</v>
      </c>
      <c r="AC22" s="66">
        <f t="shared" si="6"/>
        <v>0.4</v>
      </c>
    </row>
    <row r="23" spans="1:29" x14ac:dyDescent="0.25">
      <c r="A23" s="2"/>
      <c r="B23" s="53">
        <v>27</v>
      </c>
      <c r="C23" s="55">
        <v>1.0209999999999999</v>
      </c>
      <c r="D23" s="55">
        <v>201.6</v>
      </c>
      <c r="E23" s="55">
        <v>1687</v>
      </c>
      <c r="F23" s="55">
        <v>1.3129999999999999</v>
      </c>
      <c r="G23" s="55">
        <v>259.2</v>
      </c>
      <c r="H23" s="55">
        <v>4.0899999999999999E-2</v>
      </c>
      <c r="I23" s="55">
        <v>1.6E-2</v>
      </c>
      <c r="J23" s="55">
        <v>24.4</v>
      </c>
      <c r="K23" s="55">
        <v>62</v>
      </c>
      <c r="L23" s="55">
        <v>457</v>
      </c>
      <c r="M23" s="55">
        <v>2947</v>
      </c>
      <c r="N23" s="55">
        <v>9.4500000000000001E-3</v>
      </c>
      <c r="O23" s="64">
        <f t="shared" si="1"/>
        <v>1.0200000000000001E-3</v>
      </c>
      <c r="P23" s="64">
        <f>Calculo_FlyBack_Simples!$Q$6</f>
        <v>2.2000000000000001E-3</v>
      </c>
      <c r="Q23" s="64" t="str">
        <f t="shared" si="2"/>
        <v>Sim</v>
      </c>
      <c r="R23" s="64">
        <f>Calculo_Flyback_MCLYMAN!$G$6</f>
        <v>1.3799999999999999E-3</v>
      </c>
      <c r="S23" s="64" t="str">
        <f t="shared" si="3"/>
        <v>Sim</v>
      </c>
      <c r="T23" s="65">
        <f t="shared" si="0"/>
        <v>0.77760853008377762</v>
      </c>
      <c r="U23" s="26">
        <v>0.89</v>
      </c>
      <c r="V23" s="26">
        <v>0.85</v>
      </c>
      <c r="W23" s="26">
        <v>0.61</v>
      </c>
      <c r="X23" s="26">
        <v>0.125</v>
      </c>
      <c r="Y23" s="26">
        <v>2E-3</v>
      </c>
      <c r="Z23" s="26">
        <v>0.75</v>
      </c>
      <c r="AA23" s="26">
        <v>1</v>
      </c>
      <c r="AB23" s="66">
        <f t="shared" si="4"/>
        <v>0.28000000000000003</v>
      </c>
      <c r="AC23" s="66">
        <f t="shared" si="6"/>
        <v>0.4</v>
      </c>
    </row>
    <row r="24" spans="1:29" x14ac:dyDescent="0.25">
      <c r="A24" s="2"/>
      <c r="B24" s="53">
        <v>28</v>
      </c>
      <c r="C24" s="55">
        <v>0.80459999999999998</v>
      </c>
      <c r="D24" s="55">
        <v>158.80000000000001</v>
      </c>
      <c r="E24" s="55">
        <v>2142</v>
      </c>
      <c r="F24" s="55">
        <v>1.0515000000000001</v>
      </c>
      <c r="G24" s="55">
        <v>207.3</v>
      </c>
      <c r="H24" s="55">
        <v>3.6600000000000001E-2</v>
      </c>
      <c r="I24" s="55">
        <v>1.4E-2</v>
      </c>
      <c r="J24" s="55">
        <v>27.3</v>
      </c>
      <c r="K24" s="55">
        <v>69</v>
      </c>
      <c r="L24" s="55">
        <v>571</v>
      </c>
      <c r="M24" s="55">
        <v>3680</v>
      </c>
      <c r="N24" s="55">
        <v>7.4700000000000001E-3</v>
      </c>
      <c r="O24" s="64">
        <f t="shared" si="1"/>
        <v>8.0000000000000004E-4</v>
      </c>
      <c r="P24" s="64">
        <f>Calculo_FlyBack_Simples!$Q$6</f>
        <v>2.2000000000000001E-3</v>
      </c>
      <c r="Q24" s="64" t="str">
        <f t="shared" si="2"/>
        <v>Sim</v>
      </c>
      <c r="R24" s="64">
        <f>Calculo_Flyback_MCLYMAN!$G$6</f>
        <v>1.3799999999999999E-3</v>
      </c>
      <c r="S24" s="64" t="str">
        <f t="shared" si="3"/>
        <v>Sim</v>
      </c>
      <c r="T24" s="65">
        <f t="shared" si="0"/>
        <v>0.76519258202567753</v>
      </c>
      <c r="U24" s="26">
        <v>0.89</v>
      </c>
      <c r="V24" s="26">
        <v>0.85</v>
      </c>
      <c r="W24" s="26">
        <v>0.61</v>
      </c>
      <c r="X24" s="26">
        <v>0.125</v>
      </c>
      <c r="Y24" s="26">
        <v>1.5E-3</v>
      </c>
      <c r="Z24" s="26">
        <v>0.75</v>
      </c>
      <c r="AA24" s="26">
        <v>1</v>
      </c>
      <c r="AB24" s="66">
        <f t="shared" si="4"/>
        <v>0.28000000000000003</v>
      </c>
      <c r="AC24" s="66">
        <f t="shared" si="6"/>
        <v>0.4</v>
      </c>
    </row>
    <row r="25" spans="1:29" x14ac:dyDescent="0.25">
      <c r="A25" s="2"/>
      <c r="B25" s="53">
        <v>29</v>
      </c>
      <c r="C25" s="55">
        <v>0.64700000000000002</v>
      </c>
      <c r="D25" s="55">
        <v>127.7</v>
      </c>
      <c r="E25" s="55">
        <v>2664</v>
      </c>
      <c r="F25" s="55">
        <v>0.8548</v>
      </c>
      <c r="G25" s="55">
        <v>169</v>
      </c>
      <c r="H25" s="55">
        <v>3.3000000000000002E-2</v>
      </c>
      <c r="I25" s="55">
        <v>1.2999999999999999E-2</v>
      </c>
      <c r="J25" s="55">
        <v>30.3</v>
      </c>
      <c r="K25" s="55">
        <v>77</v>
      </c>
      <c r="L25" s="55">
        <v>702</v>
      </c>
      <c r="M25" s="55">
        <v>4527</v>
      </c>
      <c r="N25" s="55">
        <v>6.0200000000000002E-3</v>
      </c>
      <c r="O25" s="64">
        <f t="shared" si="1"/>
        <v>6.4999999999999997E-4</v>
      </c>
      <c r="P25" s="64">
        <f>Calculo_FlyBack_Simples!$Q$6</f>
        <v>2.2000000000000001E-3</v>
      </c>
      <c r="Q25" s="64" t="str">
        <f t="shared" si="2"/>
        <v>Sim</v>
      </c>
      <c r="R25" s="64">
        <f>Calculo_Flyback_MCLYMAN!$G$6</f>
        <v>1.3799999999999999E-3</v>
      </c>
      <c r="S25" s="64" t="str">
        <f t="shared" si="3"/>
        <v>Sim</v>
      </c>
      <c r="T25" s="65">
        <f t="shared" si="0"/>
        <v>0.75690219934487601</v>
      </c>
      <c r="U25" s="26">
        <v>0.89</v>
      </c>
      <c r="V25" s="26">
        <v>0.85</v>
      </c>
      <c r="W25" s="26">
        <v>0.61</v>
      </c>
      <c r="X25" s="26">
        <v>0.125</v>
      </c>
      <c r="Y25" s="26">
        <v>1.5E-3</v>
      </c>
      <c r="Z25" s="26">
        <v>0.75</v>
      </c>
      <c r="AA25" s="26">
        <v>1</v>
      </c>
      <c r="AB25" s="66">
        <f t="shared" si="4"/>
        <v>0.28000000000000003</v>
      </c>
      <c r="AC25" s="66">
        <f t="shared" si="6"/>
        <v>0.3</v>
      </c>
    </row>
    <row r="26" spans="1:29" x14ac:dyDescent="0.25">
      <c r="A26" s="2"/>
      <c r="B26" s="53">
        <v>30</v>
      </c>
      <c r="C26" s="55">
        <v>0.50670000000000004</v>
      </c>
      <c r="D26" s="55">
        <v>100</v>
      </c>
      <c r="E26" s="55">
        <v>3402</v>
      </c>
      <c r="F26" s="55">
        <v>0.67849999999999999</v>
      </c>
      <c r="G26" s="55">
        <v>134.5</v>
      </c>
      <c r="H26" s="55">
        <v>2.9399999999999999E-2</v>
      </c>
      <c r="I26" s="55">
        <v>1.2E-2</v>
      </c>
      <c r="J26" s="55">
        <v>33.9</v>
      </c>
      <c r="K26" s="55">
        <v>86</v>
      </c>
      <c r="L26" s="55">
        <v>884</v>
      </c>
      <c r="M26" s="55">
        <v>5703</v>
      </c>
      <c r="N26" s="55">
        <v>4.7200000000000002E-3</v>
      </c>
      <c r="O26" s="64">
        <f t="shared" si="1"/>
        <v>5.1000000000000004E-4</v>
      </c>
      <c r="P26" s="64">
        <f>Calculo_FlyBack_Simples!$Q$6</f>
        <v>2.2000000000000001E-3</v>
      </c>
      <c r="Q26" s="64" t="str">
        <f t="shared" si="2"/>
        <v>Sim</v>
      </c>
      <c r="R26" s="64">
        <f>Calculo_Flyback_MCLYMAN!$G$6</f>
        <v>1.3799999999999999E-3</v>
      </c>
      <c r="S26" s="64" t="str">
        <f t="shared" si="3"/>
        <v>Sim</v>
      </c>
      <c r="T26" s="65">
        <f t="shared" si="0"/>
        <v>0.74679439941046433</v>
      </c>
      <c r="U26" s="26">
        <v>0.89</v>
      </c>
      <c r="V26" s="26">
        <v>0.85</v>
      </c>
      <c r="W26" s="26">
        <v>0.61</v>
      </c>
      <c r="X26" s="26">
        <v>0.125</v>
      </c>
      <c r="Y26" s="26">
        <v>1.5E-3</v>
      </c>
      <c r="Z26" s="26">
        <v>0.75</v>
      </c>
      <c r="AA26" s="26">
        <v>1</v>
      </c>
      <c r="AB26" s="66">
        <f t="shared" si="4"/>
        <v>0.27</v>
      </c>
      <c r="AC26" s="66">
        <f t="shared" si="6"/>
        <v>0.3</v>
      </c>
    </row>
    <row r="27" spans="1:29" x14ac:dyDescent="0.25">
      <c r="A27" s="2"/>
      <c r="B27" s="26">
        <v>31</v>
      </c>
      <c r="C27" s="55">
        <v>0.40129999999999999</v>
      </c>
      <c r="D27" s="55">
        <v>79.209999999999994</v>
      </c>
      <c r="E27" s="55">
        <v>4294</v>
      </c>
      <c r="F27" s="55">
        <v>0.55959999999999999</v>
      </c>
      <c r="G27" s="55">
        <v>110.2</v>
      </c>
      <c r="H27" s="55">
        <v>2.6700000000000002E-2</v>
      </c>
      <c r="I27" s="55">
        <v>1.0999999999999999E-2</v>
      </c>
      <c r="J27" s="55">
        <v>37.5</v>
      </c>
      <c r="K27" s="55">
        <v>95</v>
      </c>
      <c r="L27" s="55">
        <v>1072</v>
      </c>
      <c r="M27" s="55">
        <v>6914</v>
      </c>
      <c r="N27" s="55">
        <v>3.7200000000000002E-3</v>
      </c>
      <c r="O27" s="64">
        <f t="shared" si="1"/>
        <v>4.0000000000000002E-4</v>
      </c>
      <c r="P27" s="64">
        <f>Calculo_FlyBack_Simples!$Q$6</f>
        <v>2.2000000000000001E-3</v>
      </c>
      <c r="Q27" s="64" t="str">
        <f t="shared" si="2"/>
        <v>Sim</v>
      </c>
      <c r="R27" s="64">
        <f>Calculo_Flyback_MCLYMAN!$G$6</f>
        <v>1.3799999999999999E-3</v>
      </c>
      <c r="S27" s="64" t="str">
        <f t="shared" si="3"/>
        <v>Sim</v>
      </c>
      <c r="T27" s="65">
        <f t="shared" si="0"/>
        <v>0.71711937097927092</v>
      </c>
      <c r="U27" s="26">
        <v>0.88</v>
      </c>
      <c r="V27" s="26">
        <v>0.85</v>
      </c>
      <c r="W27" s="26">
        <v>0.61</v>
      </c>
      <c r="X27" s="26">
        <v>0.125</v>
      </c>
      <c r="Y27" s="26">
        <v>1.5E-3</v>
      </c>
      <c r="Z27" s="26">
        <v>0.75</v>
      </c>
      <c r="AA27" s="26">
        <v>1</v>
      </c>
      <c r="AB27" s="66">
        <f t="shared" si="4"/>
        <v>0.26</v>
      </c>
      <c r="AC27" s="66">
        <f t="shared" si="6"/>
        <v>0.3</v>
      </c>
    </row>
    <row r="28" spans="1:29" x14ac:dyDescent="0.25">
      <c r="A28" s="2"/>
      <c r="B28" s="26">
        <v>32</v>
      </c>
      <c r="C28" s="55">
        <v>0.32419999999999999</v>
      </c>
      <c r="D28" s="55">
        <v>64</v>
      </c>
      <c r="E28" s="55">
        <v>5315</v>
      </c>
      <c r="F28" s="55">
        <v>0.45590000000000003</v>
      </c>
      <c r="G28" s="55">
        <v>90.25</v>
      </c>
      <c r="H28" s="55">
        <v>2.41E-2</v>
      </c>
      <c r="I28" s="55">
        <v>0.01</v>
      </c>
      <c r="J28" s="55">
        <v>41.5</v>
      </c>
      <c r="K28" s="55">
        <v>105</v>
      </c>
      <c r="L28" s="55">
        <v>1316</v>
      </c>
      <c r="M28" s="55">
        <v>8488</v>
      </c>
      <c r="N28" s="55">
        <v>3.0500000000000002E-3</v>
      </c>
      <c r="O28" s="64">
        <f t="shared" si="1"/>
        <v>3.2000000000000003E-4</v>
      </c>
      <c r="P28" s="64">
        <f>Calculo_FlyBack_Simples!$Q$6</f>
        <v>2.2000000000000001E-3</v>
      </c>
      <c r="Q28" s="64" t="str">
        <f t="shared" si="2"/>
        <v>Sim</v>
      </c>
      <c r="R28" s="64">
        <f>Calculo_Flyback_MCLYMAN!$G$6</f>
        <v>1.3799999999999999E-3</v>
      </c>
      <c r="S28" s="64" t="str">
        <f t="shared" si="3"/>
        <v>Sim</v>
      </c>
      <c r="T28" s="65">
        <f t="shared" si="0"/>
        <v>0.71112085983768358</v>
      </c>
      <c r="U28" s="26">
        <v>0.88</v>
      </c>
      <c r="V28" s="26">
        <v>0.85</v>
      </c>
      <c r="W28" s="26">
        <v>0.61</v>
      </c>
      <c r="X28" s="26">
        <v>9.2999999999999999E-2</v>
      </c>
      <c r="Y28" s="26">
        <v>1.5E-3</v>
      </c>
      <c r="Z28" s="26">
        <v>0.75</v>
      </c>
      <c r="AA28" s="26">
        <v>1</v>
      </c>
      <c r="AB28" s="66">
        <f t="shared" si="4"/>
        <v>0.26</v>
      </c>
      <c r="AC28" s="66">
        <f t="shared" si="6"/>
        <v>0.3</v>
      </c>
    </row>
    <row r="29" spans="1:29" x14ac:dyDescent="0.25">
      <c r="A29" s="2"/>
      <c r="B29" s="26">
        <v>33</v>
      </c>
      <c r="C29" s="55">
        <v>0.25540000000000002</v>
      </c>
      <c r="D29" s="55">
        <v>50.41</v>
      </c>
      <c r="E29" s="55">
        <v>6748</v>
      </c>
      <c r="F29" s="55">
        <v>0.36620000000000003</v>
      </c>
      <c r="G29" s="55">
        <v>72.25</v>
      </c>
      <c r="H29" s="55">
        <v>2.1600000000000001E-2</v>
      </c>
      <c r="I29" s="55">
        <v>8.9999999999999993E-3</v>
      </c>
      <c r="J29" s="55">
        <v>46.3</v>
      </c>
      <c r="K29" s="55">
        <v>118</v>
      </c>
      <c r="L29" s="55">
        <v>1638</v>
      </c>
      <c r="M29" s="55">
        <v>10565</v>
      </c>
      <c r="N29" s="55">
        <v>2.4099999999999998E-3</v>
      </c>
      <c r="O29" s="64">
        <f t="shared" si="1"/>
        <v>2.5999999999999998E-4</v>
      </c>
      <c r="P29" s="64">
        <f>Calculo_FlyBack_Simples!$Q$6</f>
        <v>2.2000000000000001E-3</v>
      </c>
      <c r="Q29" s="64" t="str">
        <f t="shared" si="2"/>
        <v>Sim</v>
      </c>
      <c r="R29" s="64">
        <f>Calculo_Flyback_MCLYMAN!$G$6</f>
        <v>1.3799999999999999E-3</v>
      </c>
      <c r="S29" s="64" t="str">
        <f t="shared" si="3"/>
        <v>Sim</v>
      </c>
      <c r="T29" s="65">
        <f t="shared" si="0"/>
        <v>0.69743309666848718</v>
      </c>
      <c r="U29" s="26">
        <v>0.88</v>
      </c>
      <c r="V29" s="26">
        <v>0.85</v>
      </c>
      <c r="W29" s="26">
        <v>0.61</v>
      </c>
      <c r="X29" s="26">
        <v>9.2999999999999999E-2</v>
      </c>
      <c r="Y29" s="26">
        <v>1.5E-3</v>
      </c>
      <c r="Z29" s="26">
        <v>0.75</v>
      </c>
      <c r="AA29" s="26">
        <v>1</v>
      </c>
      <c r="AB29" s="66">
        <f t="shared" si="4"/>
        <v>0.26</v>
      </c>
      <c r="AC29" s="66">
        <f t="shared" si="6"/>
        <v>0.3</v>
      </c>
    </row>
    <row r="30" spans="1:29" x14ac:dyDescent="0.25">
      <c r="A30" s="2"/>
      <c r="B30" s="26">
        <v>34</v>
      </c>
      <c r="C30" s="55">
        <v>0.2011</v>
      </c>
      <c r="D30" s="55">
        <v>39.69</v>
      </c>
      <c r="E30" s="55">
        <v>8572</v>
      </c>
      <c r="F30" s="55">
        <v>0.2863</v>
      </c>
      <c r="G30" s="55">
        <v>56.25</v>
      </c>
      <c r="H30" s="55">
        <v>1.9099999999999999E-2</v>
      </c>
      <c r="I30" s="55">
        <v>8.0000000000000002E-3</v>
      </c>
      <c r="J30" s="55">
        <v>52.5</v>
      </c>
      <c r="K30" s="55">
        <v>133</v>
      </c>
      <c r="L30" s="55">
        <v>2095</v>
      </c>
      <c r="M30" s="55">
        <v>13512</v>
      </c>
      <c r="N30" s="55">
        <v>1.89E-3</v>
      </c>
      <c r="O30" s="64">
        <f t="shared" si="1"/>
        <v>2.0000000000000001E-4</v>
      </c>
      <c r="P30" s="64">
        <f>Calculo_FlyBack_Simples!$Q$6</f>
        <v>2.2000000000000001E-3</v>
      </c>
      <c r="Q30" s="64" t="str">
        <f t="shared" si="2"/>
        <v>Sim</v>
      </c>
      <c r="R30" s="64">
        <f>Calculo_Flyback_MCLYMAN!$G$6</f>
        <v>1.3799999999999999E-3</v>
      </c>
      <c r="S30" s="64" t="str">
        <f t="shared" si="3"/>
        <v>Sim</v>
      </c>
      <c r="T30" s="65">
        <f t="shared" si="0"/>
        <v>0.7024100593782745</v>
      </c>
      <c r="U30" s="26">
        <v>0.88</v>
      </c>
      <c r="V30" s="26">
        <v>0.85</v>
      </c>
      <c r="W30" s="26">
        <v>0.61</v>
      </c>
      <c r="X30" s="26">
        <v>9.2999999999999999E-2</v>
      </c>
      <c r="Y30" s="26">
        <v>1E-3</v>
      </c>
      <c r="Z30" s="26">
        <v>0.75</v>
      </c>
      <c r="AA30" s="26">
        <v>1</v>
      </c>
      <c r="AB30" s="66">
        <f t="shared" si="4"/>
        <v>0.26</v>
      </c>
      <c r="AC30" s="66">
        <f t="shared" si="6"/>
        <v>0.3</v>
      </c>
    </row>
    <row r="31" spans="1:29" x14ac:dyDescent="0.25">
      <c r="A31" s="2"/>
      <c r="B31" s="26">
        <v>35</v>
      </c>
      <c r="C31" s="55">
        <v>0.15890000000000001</v>
      </c>
      <c r="D31" s="55">
        <v>31.36</v>
      </c>
      <c r="E31" s="55">
        <v>10849</v>
      </c>
      <c r="F31" s="55">
        <v>0.2268</v>
      </c>
      <c r="G31" s="55">
        <v>44.89</v>
      </c>
      <c r="H31" s="55">
        <v>1.7000000000000001E-2</v>
      </c>
      <c r="I31" s="55">
        <v>7.0000000000000001E-3</v>
      </c>
      <c r="J31" s="55">
        <v>58.8</v>
      </c>
      <c r="K31" s="55">
        <v>149</v>
      </c>
      <c r="L31" s="55">
        <v>2645</v>
      </c>
      <c r="M31" s="55">
        <v>17060</v>
      </c>
      <c r="N31" s="55">
        <v>1.5E-3</v>
      </c>
      <c r="O31" s="64">
        <f t="shared" si="1"/>
        <v>1.6000000000000001E-4</v>
      </c>
      <c r="P31" s="64">
        <f>Calculo_FlyBack_Simples!$Q$6</f>
        <v>2.2000000000000001E-3</v>
      </c>
      <c r="Q31" s="64" t="str">
        <f t="shared" si="2"/>
        <v>Sim</v>
      </c>
      <c r="R31" s="64">
        <f>Calculo_Flyback_MCLYMAN!$G$6</f>
        <v>1.3799999999999999E-3</v>
      </c>
      <c r="S31" s="64" t="str">
        <f t="shared" si="3"/>
        <v>Sim</v>
      </c>
      <c r="T31" s="65">
        <f t="shared" si="0"/>
        <v>0.70061728395061729</v>
      </c>
      <c r="U31" s="26">
        <v>0.88</v>
      </c>
      <c r="V31" s="26">
        <v>0.85</v>
      </c>
      <c r="W31" s="26">
        <v>0.61</v>
      </c>
      <c r="X31" s="26">
        <v>9.2999999999999999E-2</v>
      </c>
      <c r="Y31" s="26">
        <v>1E-3</v>
      </c>
      <c r="Z31" s="26">
        <v>0.75</v>
      </c>
      <c r="AA31" s="26">
        <v>1</v>
      </c>
      <c r="AB31" s="66">
        <f t="shared" si="4"/>
        <v>0.26</v>
      </c>
      <c r="AC31" s="66">
        <f t="shared" si="6"/>
        <v>0.3</v>
      </c>
    </row>
    <row r="32" spans="1:29" x14ac:dyDescent="0.25">
      <c r="A32" s="2"/>
      <c r="B32" s="26">
        <v>36</v>
      </c>
      <c r="C32" s="55">
        <v>0.12659999999999999</v>
      </c>
      <c r="D32" s="55">
        <v>25</v>
      </c>
      <c r="E32" s="55">
        <v>13608</v>
      </c>
      <c r="F32" s="55">
        <v>0.18129999999999999</v>
      </c>
      <c r="G32" s="55">
        <v>36</v>
      </c>
      <c r="H32" s="55">
        <v>1.52E-2</v>
      </c>
      <c r="I32" s="55">
        <v>6.0000000000000001E-3</v>
      </c>
      <c r="J32" s="55">
        <v>62.5</v>
      </c>
      <c r="K32" s="55">
        <v>167</v>
      </c>
      <c r="L32" s="55">
        <v>3309</v>
      </c>
      <c r="M32" s="55">
        <v>21343</v>
      </c>
      <c r="N32" s="55">
        <v>1.1900000000000001E-3</v>
      </c>
      <c r="O32" s="64">
        <f t="shared" si="1"/>
        <v>1.2999999999999999E-4</v>
      </c>
      <c r="P32" s="64">
        <f>Calculo_FlyBack_Simples!$Q$6</f>
        <v>2.2000000000000001E-3</v>
      </c>
      <c r="Q32" s="64" t="str">
        <f t="shared" si="2"/>
        <v>Sim</v>
      </c>
      <c r="R32" s="64">
        <f>Calculo_Flyback_MCLYMAN!$G$6</f>
        <v>1.3799999999999999E-3</v>
      </c>
      <c r="S32" s="64" t="str">
        <f t="shared" si="3"/>
        <v>Sim</v>
      </c>
      <c r="T32" s="65">
        <f t="shared" si="0"/>
        <v>0.69829012686155545</v>
      </c>
      <c r="U32" s="26">
        <v>0.87</v>
      </c>
      <c r="V32" s="26">
        <v>0.85</v>
      </c>
      <c r="W32" s="26">
        <v>0.61</v>
      </c>
      <c r="X32" s="26">
        <v>9.2999999999999999E-2</v>
      </c>
      <c r="Y32" s="26">
        <v>1E-3</v>
      </c>
      <c r="Z32" s="26">
        <v>0.75</v>
      </c>
      <c r="AA32" s="26">
        <v>1</v>
      </c>
      <c r="AB32" s="66">
        <f t="shared" si="4"/>
        <v>0.26</v>
      </c>
      <c r="AC32" s="66">
        <f t="shared" si="6"/>
        <v>0.3</v>
      </c>
    </row>
    <row r="33" spans="1:29" x14ac:dyDescent="0.25">
      <c r="A33" s="2"/>
      <c r="B33" s="26">
        <v>37</v>
      </c>
      <c r="C33" s="55">
        <v>0.1026</v>
      </c>
      <c r="D33" s="55">
        <v>20.25</v>
      </c>
      <c r="E33" s="55">
        <v>16801</v>
      </c>
      <c r="F33" s="55">
        <v>0.15379999999999999</v>
      </c>
      <c r="G33" s="55">
        <v>30.25</v>
      </c>
      <c r="H33" s="55">
        <v>1.4E-2</v>
      </c>
      <c r="I33" s="55">
        <v>6.0000000000000001E-3</v>
      </c>
      <c r="J33" s="55">
        <v>71.599999999999994</v>
      </c>
      <c r="K33" s="55">
        <v>182</v>
      </c>
      <c r="L33" s="55">
        <v>3901</v>
      </c>
      <c r="M33" s="55">
        <v>25161</v>
      </c>
      <c r="N33" s="55">
        <v>9.7999999999999997E-4</v>
      </c>
      <c r="O33" s="64">
        <f t="shared" si="1"/>
        <v>1E-4</v>
      </c>
      <c r="P33" s="64">
        <f>Calculo_FlyBack_Simples!$Q$6</f>
        <v>2.2000000000000001E-3</v>
      </c>
      <c r="Q33" s="64" t="str">
        <f t="shared" si="2"/>
        <v>Sim</v>
      </c>
      <c r="R33" s="64">
        <f>Calculo_Flyback_MCLYMAN!$G$6</f>
        <v>1.3799999999999999E-3</v>
      </c>
      <c r="S33" s="64" t="str">
        <f t="shared" si="3"/>
        <v>Sim</v>
      </c>
      <c r="T33" s="65">
        <f t="shared" si="0"/>
        <v>0.6671001300390117</v>
      </c>
      <c r="U33" s="26">
        <v>0.87</v>
      </c>
      <c r="V33" s="26">
        <v>0.85</v>
      </c>
      <c r="W33" s="26">
        <v>0.61</v>
      </c>
      <c r="X33" s="26">
        <v>9.2999999999999999E-2</v>
      </c>
      <c r="Y33" s="26">
        <v>1E-3</v>
      </c>
      <c r="Z33" s="26">
        <v>0.75</v>
      </c>
      <c r="AA33" s="26">
        <v>1</v>
      </c>
      <c r="AB33" s="66">
        <f t="shared" si="4"/>
        <v>0.24</v>
      </c>
      <c r="AC33" s="66">
        <f t="shared" si="6"/>
        <v>0.3</v>
      </c>
    </row>
    <row r="34" spans="1:29" x14ac:dyDescent="0.25">
      <c r="A34" s="2"/>
      <c r="B34" s="26">
        <v>38</v>
      </c>
      <c r="C34" s="55">
        <v>8.1100000000000005E-2</v>
      </c>
      <c r="D34" s="55">
        <v>16</v>
      </c>
      <c r="E34" s="55">
        <v>21266</v>
      </c>
      <c r="F34" s="55">
        <v>0.1207</v>
      </c>
      <c r="G34" s="55">
        <v>24.01</v>
      </c>
      <c r="H34" s="55">
        <v>1.24E-2</v>
      </c>
      <c r="I34" s="55">
        <v>5.0000000000000001E-3</v>
      </c>
      <c r="J34" s="55">
        <v>80.400000000000006</v>
      </c>
      <c r="K34" s="55">
        <v>204</v>
      </c>
      <c r="L34" s="55">
        <v>4971</v>
      </c>
      <c r="M34" s="55">
        <v>32062</v>
      </c>
      <c r="N34" s="55">
        <v>7.6999999999999996E-4</v>
      </c>
      <c r="O34" s="64">
        <f t="shared" si="1"/>
        <v>8.0000000000000007E-5</v>
      </c>
      <c r="P34" s="64">
        <f>Calculo_FlyBack_Simples!$Q$6</f>
        <v>2.2000000000000001E-3</v>
      </c>
      <c r="Q34" s="64" t="str">
        <f t="shared" si="2"/>
        <v>Sim</v>
      </c>
      <c r="R34" s="64">
        <f>Calculo_Flyback_MCLYMAN!$G$6</f>
        <v>1.3799999999999999E-3</v>
      </c>
      <c r="S34" s="64" t="str">
        <f t="shared" si="3"/>
        <v>Sim</v>
      </c>
      <c r="T34" s="65">
        <f t="shared" si="0"/>
        <v>0.671913835956918</v>
      </c>
      <c r="U34" s="26">
        <v>0.87</v>
      </c>
      <c r="V34" s="26">
        <v>0.85</v>
      </c>
      <c r="W34" s="26">
        <v>0.61</v>
      </c>
      <c r="X34" s="26">
        <v>6.2E-2</v>
      </c>
      <c r="Y34" s="26">
        <v>1E-3</v>
      </c>
      <c r="Z34" s="26">
        <v>0.75</v>
      </c>
      <c r="AA34" s="26">
        <v>1</v>
      </c>
      <c r="AB34" s="66">
        <f t="shared" si="4"/>
        <v>0.25</v>
      </c>
      <c r="AC34" s="66">
        <f t="shared" si="6"/>
        <v>0.3</v>
      </c>
    </row>
    <row r="35" spans="1:29" x14ac:dyDescent="0.25">
      <c r="A35" s="2"/>
      <c r="B35" s="26">
        <v>39</v>
      </c>
      <c r="C35" s="55">
        <v>6.2100000000000002E-2</v>
      </c>
      <c r="D35" s="55">
        <v>12.25</v>
      </c>
      <c r="E35" s="55">
        <v>27775</v>
      </c>
      <c r="F35" s="55">
        <v>9.3200000000000005E-2</v>
      </c>
      <c r="G35" s="55">
        <v>18.489999999999998</v>
      </c>
      <c r="H35" s="55">
        <v>1.09E-2</v>
      </c>
      <c r="I35" s="55">
        <v>4.0000000000000001E-3</v>
      </c>
      <c r="J35" s="55">
        <v>91.6</v>
      </c>
      <c r="K35" s="55">
        <v>233</v>
      </c>
      <c r="L35" s="55">
        <v>6437</v>
      </c>
      <c r="M35" s="55">
        <v>41518</v>
      </c>
      <c r="N35" s="55">
        <v>5.9000000000000003E-4</v>
      </c>
      <c r="O35" s="64">
        <f t="shared" si="1"/>
        <v>6.0000000000000002E-5</v>
      </c>
      <c r="P35" s="64">
        <f>Calculo_FlyBack_Simples!$Q$6</f>
        <v>2.2000000000000001E-3</v>
      </c>
      <c r="Q35" s="64" t="str">
        <f t="shared" si="2"/>
        <v>Sim</v>
      </c>
      <c r="R35" s="64">
        <f>Calculo_Flyback_MCLYMAN!$G$6</f>
        <v>1.3799999999999999E-3</v>
      </c>
      <c r="S35" s="64" t="str">
        <f t="shared" si="3"/>
        <v>Sim</v>
      </c>
      <c r="T35" s="65">
        <f t="shared" si="0"/>
        <v>0.66630901287553645</v>
      </c>
      <c r="U35" s="26">
        <v>0.86</v>
      </c>
      <c r="V35" s="26">
        <v>0.75</v>
      </c>
      <c r="W35" s="26">
        <v>0.61</v>
      </c>
      <c r="X35" s="26">
        <v>6.2E-2</v>
      </c>
      <c r="Y35" s="26">
        <v>1E-3</v>
      </c>
      <c r="Z35" s="26">
        <v>0.75</v>
      </c>
      <c r="AA35" s="26">
        <v>1</v>
      </c>
      <c r="AB35" s="66">
        <f t="shared" si="4"/>
        <v>0.24</v>
      </c>
      <c r="AC35" s="66">
        <f t="shared" si="6"/>
        <v>0.3</v>
      </c>
    </row>
    <row r="36" spans="1:29" x14ac:dyDescent="0.25">
      <c r="A36" s="2"/>
      <c r="B36" s="26">
        <v>40</v>
      </c>
      <c r="C36" s="55">
        <v>4.87E-2</v>
      </c>
      <c r="D36" s="55">
        <v>9.61</v>
      </c>
      <c r="E36" s="55">
        <v>35400</v>
      </c>
      <c r="F36" s="55">
        <v>7.2300000000000003E-2</v>
      </c>
      <c r="G36" s="55">
        <v>14.44</v>
      </c>
      <c r="H36" s="55">
        <v>9.5999999999999992E-3</v>
      </c>
      <c r="I36" s="55">
        <v>4.0000000000000001E-3</v>
      </c>
      <c r="J36" s="55">
        <v>103.6</v>
      </c>
      <c r="K36" s="55">
        <v>263</v>
      </c>
      <c r="L36" s="55">
        <v>8298</v>
      </c>
      <c r="M36" s="55">
        <v>53522</v>
      </c>
      <c r="N36" s="55">
        <v>4.6000000000000001E-4</v>
      </c>
      <c r="O36" s="64">
        <f t="shared" si="1"/>
        <v>5.0000000000000002E-5</v>
      </c>
      <c r="P36" s="64">
        <f>Calculo_FlyBack_Simples!$Q$6</f>
        <v>2.2000000000000001E-3</v>
      </c>
      <c r="Q36" s="64" t="str">
        <f t="shared" si="2"/>
        <v>Sim</v>
      </c>
      <c r="R36" s="64">
        <f>Calculo_Flyback_MCLYMAN!$G$6</f>
        <v>1.3799999999999999E-3</v>
      </c>
      <c r="S36" s="64" t="str">
        <f t="shared" si="3"/>
        <v>Sim</v>
      </c>
      <c r="T36" s="65">
        <f t="shared" si="0"/>
        <v>0.67358229598893493</v>
      </c>
      <c r="U36" s="26">
        <v>0.86</v>
      </c>
      <c r="V36" s="26">
        <v>0.75</v>
      </c>
      <c r="W36" s="26">
        <v>0.61</v>
      </c>
      <c r="X36" s="26">
        <v>6.2E-2</v>
      </c>
      <c r="Y36" s="26">
        <v>1E-3</v>
      </c>
      <c r="Z36" s="26">
        <v>0.75</v>
      </c>
      <c r="AA36" s="26">
        <v>1</v>
      </c>
      <c r="AB36" s="66">
        <f t="shared" si="4"/>
        <v>0.25</v>
      </c>
      <c r="AC36" s="66">
        <f t="shared" si="6"/>
        <v>0.3</v>
      </c>
    </row>
    <row r="37" spans="1:29" x14ac:dyDescent="0.25">
      <c r="A37" s="2"/>
      <c r="B37" s="26">
        <v>41</v>
      </c>
      <c r="C37" s="55">
        <v>3.9699999999999999E-2</v>
      </c>
      <c r="D37" s="55">
        <v>7.84</v>
      </c>
      <c r="E37" s="55">
        <v>43405</v>
      </c>
      <c r="F37" s="55">
        <v>5.8400000000000001E-2</v>
      </c>
      <c r="G37" s="55">
        <v>11.56</v>
      </c>
      <c r="H37" s="55">
        <v>8.6E-3</v>
      </c>
      <c r="I37" s="55">
        <v>3.0000000000000001E-3</v>
      </c>
      <c r="J37" s="55">
        <v>115.7</v>
      </c>
      <c r="K37" s="55">
        <v>294</v>
      </c>
      <c r="L37" s="55">
        <v>10273</v>
      </c>
      <c r="M37" s="55">
        <v>66260</v>
      </c>
      <c r="N37" s="55">
        <v>3.8000000000000002E-4</v>
      </c>
      <c r="O37" s="64">
        <f t="shared" si="1"/>
        <v>4.0000000000000003E-5</v>
      </c>
      <c r="P37" s="64">
        <f>Calculo_FlyBack_Simples!$Q$6</f>
        <v>2.2000000000000001E-3</v>
      </c>
      <c r="Q37" s="64" t="str">
        <f t="shared" si="2"/>
        <v>Sim</v>
      </c>
      <c r="R37" s="64">
        <f>Calculo_Flyback_MCLYMAN!$G$6</f>
        <v>1.3799999999999999E-3</v>
      </c>
      <c r="S37" s="64" t="str">
        <f t="shared" si="3"/>
        <v>Sim</v>
      </c>
      <c r="T37" s="65">
        <f t="shared" si="0"/>
        <v>0.6797945205479452</v>
      </c>
      <c r="U37" s="26">
        <v>0.85</v>
      </c>
      <c r="V37" s="26">
        <v>0.75</v>
      </c>
      <c r="W37" s="26">
        <v>0.61</v>
      </c>
      <c r="X37" s="26">
        <v>6.2E-2</v>
      </c>
      <c r="Y37" s="26">
        <v>1E-3</v>
      </c>
      <c r="Z37" s="26">
        <v>0.75</v>
      </c>
      <c r="AA37" s="26">
        <v>1</v>
      </c>
      <c r="AB37" s="66">
        <f t="shared" si="4"/>
        <v>0.25</v>
      </c>
      <c r="AC37" s="66">
        <f t="shared" si="6"/>
        <v>0.3</v>
      </c>
    </row>
    <row r="38" spans="1:29" x14ac:dyDescent="0.25">
      <c r="A38" s="2"/>
      <c r="B38" s="26">
        <v>42</v>
      </c>
      <c r="C38" s="55">
        <v>3.1699999999999999E-2</v>
      </c>
      <c r="D38" s="55">
        <v>6.25</v>
      </c>
      <c r="E38" s="55">
        <v>54429</v>
      </c>
      <c r="F38" s="55">
        <v>4.5600000000000002E-2</v>
      </c>
      <c r="G38" s="55">
        <v>9</v>
      </c>
      <c r="H38" s="55">
        <v>7.6E-3</v>
      </c>
      <c r="I38" s="55">
        <v>3.0000000000000001E-3</v>
      </c>
      <c r="J38" s="55">
        <v>131.19999999999999</v>
      </c>
      <c r="K38" s="55">
        <v>333</v>
      </c>
      <c r="L38" s="55">
        <v>13163</v>
      </c>
      <c r="M38" s="55">
        <v>84901</v>
      </c>
      <c r="N38" s="55">
        <v>2.9999999999999997E-4</v>
      </c>
      <c r="O38" s="64">
        <f t="shared" si="1"/>
        <v>3.0000000000000001E-5</v>
      </c>
      <c r="P38" s="64">
        <f>Calculo_FlyBack_Simples!$Q$6</f>
        <v>2.2000000000000001E-3</v>
      </c>
      <c r="Q38" s="64" t="str">
        <f t="shared" si="2"/>
        <v>Sim</v>
      </c>
      <c r="R38" s="64">
        <f>Calculo_Flyback_MCLYMAN!$G$6</f>
        <v>1.3799999999999999E-3</v>
      </c>
      <c r="S38" s="64" t="str">
        <f t="shared" si="3"/>
        <v>Sim</v>
      </c>
      <c r="T38" s="65">
        <f t="shared" si="0"/>
        <v>0.69517543859649122</v>
      </c>
      <c r="U38" s="26">
        <v>0.85</v>
      </c>
      <c r="V38" s="26">
        <v>0.75</v>
      </c>
      <c r="W38" s="26">
        <v>0.61</v>
      </c>
      <c r="X38" s="26">
        <v>6.2E-2</v>
      </c>
      <c r="Y38" s="26">
        <v>5.0000000000000001E-4</v>
      </c>
      <c r="Z38" s="26">
        <v>0.75</v>
      </c>
      <c r="AA38" s="26">
        <v>1</v>
      </c>
      <c r="AB38" s="66">
        <f t="shared" si="4"/>
        <v>0.25</v>
      </c>
      <c r="AC38" s="66">
        <f t="shared" si="6"/>
        <v>0.3</v>
      </c>
    </row>
    <row r="39" spans="1:29" x14ac:dyDescent="0.25">
      <c r="A39" s="2"/>
      <c r="B39" s="26">
        <v>43</v>
      </c>
      <c r="C39" s="55">
        <v>2.4500000000000001E-2</v>
      </c>
      <c r="D39" s="55">
        <v>4.84</v>
      </c>
      <c r="E39" s="55">
        <v>70308</v>
      </c>
      <c r="F39" s="55">
        <v>3.6799999999999999E-2</v>
      </c>
      <c r="G39" s="55">
        <v>7.29</v>
      </c>
      <c r="H39" s="55">
        <v>6.8999999999999999E-3</v>
      </c>
      <c r="I39" s="55">
        <v>3.0000000000000001E-3</v>
      </c>
      <c r="J39" s="55">
        <v>145.80000000000001</v>
      </c>
      <c r="K39" s="55">
        <v>370</v>
      </c>
      <c r="L39" s="55">
        <v>16291</v>
      </c>
      <c r="M39" s="55">
        <v>105076</v>
      </c>
      <c r="N39" s="55">
        <v>2.3000000000000001E-4</v>
      </c>
      <c r="O39" s="64">
        <f t="shared" si="1"/>
        <v>2.0000000000000002E-5</v>
      </c>
      <c r="P39" s="64">
        <f>Calculo_FlyBack_Simples!$Q$6</f>
        <v>2.2000000000000001E-3</v>
      </c>
      <c r="Q39" s="64" t="str">
        <f t="shared" si="2"/>
        <v>Sim</v>
      </c>
      <c r="R39" s="64">
        <f>Calculo_Flyback_MCLYMAN!$G$6</f>
        <v>1.3799999999999999E-3</v>
      </c>
      <c r="S39" s="64" t="str">
        <f t="shared" si="3"/>
        <v>Sim</v>
      </c>
      <c r="T39" s="65">
        <f t="shared" si="0"/>
        <v>0.66576086956521741</v>
      </c>
      <c r="U39" s="26">
        <v>0.85</v>
      </c>
      <c r="V39" s="26">
        <v>0.75</v>
      </c>
      <c r="W39" s="26">
        <v>0.61</v>
      </c>
      <c r="X39" s="26">
        <v>6.2E-2</v>
      </c>
      <c r="Y39" s="26">
        <v>5.0000000000000001E-4</v>
      </c>
      <c r="Z39" s="26">
        <v>0.75</v>
      </c>
      <c r="AA39" s="26">
        <v>1</v>
      </c>
      <c r="AB39" s="66">
        <f t="shared" si="4"/>
        <v>0.24</v>
      </c>
      <c r="AC39" s="66">
        <f t="shared" si="6"/>
        <v>0.3</v>
      </c>
    </row>
    <row r="40" spans="1:29" x14ac:dyDescent="0.25">
      <c r="A40" s="2"/>
      <c r="B40" s="26">
        <v>44</v>
      </c>
      <c r="C40" s="55">
        <v>2.0199999999999999E-2</v>
      </c>
      <c r="D40" s="55">
        <v>4</v>
      </c>
      <c r="E40" s="55">
        <v>85072</v>
      </c>
      <c r="F40" s="55">
        <v>3.1600000000000003E-2</v>
      </c>
      <c r="G40" s="55">
        <v>6.25</v>
      </c>
      <c r="H40" s="55">
        <v>6.4000000000000003E-3</v>
      </c>
      <c r="I40" s="55">
        <v>3.0000000000000001E-3</v>
      </c>
      <c r="J40" s="55">
        <v>157.4</v>
      </c>
      <c r="K40" s="55">
        <v>400</v>
      </c>
      <c r="L40" s="55">
        <v>18957</v>
      </c>
      <c r="M40" s="55">
        <v>122272</v>
      </c>
      <c r="N40" s="55">
        <v>2.0000000000000001E-4</v>
      </c>
      <c r="O40" s="64">
        <f t="shared" si="1"/>
        <v>2.0000000000000002E-5</v>
      </c>
      <c r="P40" s="64">
        <f>Calculo_FlyBack_Simples!$Q$6</f>
        <v>2.2000000000000001E-3</v>
      </c>
      <c r="Q40" s="64" t="str">
        <f t="shared" si="2"/>
        <v>Sim</v>
      </c>
      <c r="R40" s="64">
        <f>Calculo_Flyback_MCLYMAN!$G$6</f>
        <v>1.3799999999999999E-3</v>
      </c>
      <c r="S40" s="64" t="str">
        <f t="shared" si="3"/>
        <v>Sim</v>
      </c>
      <c r="T40" s="65">
        <f t="shared" si="0"/>
        <v>0.63924050632911389</v>
      </c>
      <c r="U40" s="26">
        <v>0.85</v>
      </c>
      <c r="V40" s="26">
        <v>0.75</v>
      </c>
      <c r="W40" s="26">
        <v>0.61</v>
      </c>
      <c r="X40" s="26">
        <v>6.2E-2</v>
      </c>
      <c r="Y40" s="26">
        <v>5.0000000000000001E-4</v>
      </c>
      <c r="Z40" s="26">
        <v>0.75</v>
      </c>
      <c r="AA40" s="26">
        <v>1</v>
      </c>
      <c r="AB40" s="66">
        <f t="shared" si="4"/>
        <v>0.23</v>
      </c>
      <c r="AC40" s="66">
        <f t="shared" si="6"/>
        <v>0.3</v>
      </c>
    </row>
    <row r="41" spans="1:2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</sheetData>
  <mergeCells count="10">
    <mergeCell ref="L3:M3"/>
    <mergeCell ref="X3:Z3"/>
    <mergeCell ref="AB3:AB4"/>
    <mergeCell ref="B2:B4"/>
    <mergeCell ref="C2:D3"/>
    <mergeCell ref="E2:E4"/>
    <mergeCell ref="F2:N2"/>
    <mergeCell ref="F3:G3"/>
    <mergeCell ref="H3:I3"/>
    <mergeCell ref="J3:K3"/>
  </mergeCells>
  <conditionalFormatting sqref="Q1:Q1048576">
    <cfRule type="cellIs" dxfId="7" priority="3" operator="equal">
      <formula>"Sim"</formula>
    </cfRule>
    <cfRule type="cellIs" dxfId="6" priority="4" operator="equal">
      <formula>"Não"</formula>
    </cfRule>
  </conditionalFormatting>
  <conditionalFormatting sqref="S1:S1048576">
    <cfRule type="cellIs" dxfId="5" priority="1" operator="equal">
      <formula>"Sim"</formula>
    </cfRule>
    <cfRule type="cellIs" dxfId="4" priority="2" operator="equal">
      <formula>"Não"</formula>
    </cfRule>
  </conditionalFormatting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D73F-37C6-429A-8CF1-36DA5A59E6DA}">
  <dimension ref="C1:M46"/>
  <sheetViews>
    <sheetView workbookViewId="0">
      <selection activeCell="G10" sqref="G10"/>
    </sheetView>
  </sheetViews>
  <sheetFormatPr defaultRowHeight="15" x14ac:dyDescent="0.25"/>
  <cols>
    <col min="1" max="2" width="9.140625" style="2"/>
    <col min="3" max="3" width="18.85546875" style="2" bestFit="1" customWidth="1"/>
    <col min="4" max="4" width="34.42578125" style="2" bestFit="1" customWidth="1"/>
    <col min="5" max="5" width="6.28515625" style="2" bestFit="1" customWidth="1"/>
    <col min="6" max="6" width="5.5703125" style="2" bestFit="1" customWidth="1"/>
    <col min="7" max="7" width="18.85546875" style="2" bestFit="1" customWidth="1"/>
    <col min="8" max="8" width="34.42578125" style="2" bestFit="1" customWidth="1"/>
    <col min="9" max="9" width="6.28515625" style="2" bestFit="1" customWidth="1"/>
    <col min="10" max="10" width="12" style="2" bestFit="1" customWidth="1"/>
    <col min="11" max="11" width="18.85546875" style="2" bestFit="1" customWidth="1"/>
    <col min="12" max="12" width="34.42578125" style="2" bestFit="1" customWidth="1"/>
    <col min="13" max="13" width="6.28515625" style="2" bestFit="1" customWidth="1"/>
    <col min="14" max="16384" width="9.140625" style="2"/>
  </cols>
  <sheetData>
    <row r="1" spans="3:13" ht="15.75" thickBot="1" x14ac:dyDescent="0.3"/>
    <row r="2" spans="3:13" ht="15.75" thickBot="1" x14ac:dyDescent="0.3">
      <c r="C2" s="119" t="s">
        <v>466</v>
      </c>
      <c r="D2" s="120"/>
      <c r="E2" s="121"/>
      <c r="G2" s="122" t="s">
        <v>467</v>
      </c>
      <c r="H2" s="123"/>
      <c r="I2" s="124"/>
      <c r="K2" s="119" t="s">
        <v>468</v>
      </c>
      <c r="L2" s="120"/>
      <c r="M2" s="121"/>
    </row>
    <row r="3" spans="3:13" x14ac:dyDescent="0.25">
      <c r="C3" s="2" t="s">
        <v>469</v>
      </c>
      <c r="D3" s="44">
        <v>24</v>
      </c>
      <c r="E3" s="2" t="s">
        <v>9</v>
      </c>
      <c r="G3" s="2" t="s">
        <v>469</v>
      </c>
      <c r="H3" s="46">
        <v>0.3</v>
      </c>
      <c r="I3" s="2" t="s">
        <v>9</v>
      </c>
      <c r="K3" s="2" t="s">
        <v>469</v>
      </c>
      <c r="L3" s="44">
        <v>24</v>
      </c>
      <c r="M3" s="2" t="s">
        <v>9</v>
      </c>
    </row>
    <row r="4" spans="3:13" x14ac:dyDescent="0.25">
      <c r="C4" s="2" t="s">
        <v>470</v>
      </c>
      <c r="D4" s="44">
        <f>D10</f>
        <v>5</v>
      </c>
      <c r="E4" s="2" t="s">
        <v>94</v>
      </c>
      <c r="G4" s="2" t="s">
        <v>470</v>
      </c>
      <c r="H4" s="44">
        <f>H10</f>
        <v>3.6</v>
      </c>
      <c r="I4" s="2" t="s">
        <v>94</v>
      </c>
      <c r="K4" s="2" t="s">
        <v>470</v>
      </c>
      <c r="L4" s="44">
        <f>L10</f>
        <v>1.25</v>
      </c>
      <c r="M4" s="2" t="s">
        <v>94</v>
      </c>
    </row>
    <row r="5" spans="3:13" x14ac:dyDescent="0.25">
      <c r="C5" s="2" t="s">
        <v>471</v>
      </c>
      <c r="D5" s="2">
        <f>D4/D3</f>
        <v>0.20833333333333334</v>
      </c>
      <c r="E5" s="2" t="s">
        <v>31</v>
      </c>
      <c r="G5" s="2" t="s">
        <v>471</v>
      </c>
      <c r="H5" s="2">
        <f>H4/H3</f>
        <v>12</v>
      </c>
      <c r="I5" s="2" t="s">
        <v>31</v>
      </c>
      <c r="K5" s="2" t="s">
        <v>471</v>
      </c>
      <c r="L5" s="2">
        <f>L4/L3</f>
        <v>5.2083333333333336E-2</v>
      </c>
      <c r="M5" s="2" t="s">
        <v>31</v>
      </c>
    </row>
    <row r="9" spans="3:13" x14ac:dyDescent="0.25">
      <c r="C9" s="2" t="s">
        <v>472</v>
      </c>
      <c r="D9" s="44">
        <v>5</v>
      </c>
      <c r="E9" s="2" t="s">
        <v>9</v>
      </c>
      <c r="G9" s="2" t="s">
        <v>472</v>
      </c>
      <c r="H9" s="46">
        <v>36</v>
      </c>
      <c r="I9" s="2" t="s">
        <v>9</v>
      </c>
      <c r="J9" s="2" t="s">
        <v>473</v>
      </c>
      <c r="K9" s="2" t="s">
        <v>472</v>
      </c>
      <c r="L9" s="44">
        <v>5</v>
      </c>
      <c r="M9" s="2" t="s">
        <v>9</v>
      </c>
    </row>
    <row r="10" spans="3:13" x14ac:dyDescent="0.25">
      <c r="C10" s="2" t="s">
        <v>474</v>
      </c>
      <c r="D10" s="44">
        <f>D9*D11</f>
        <v>5</v>
      </c>
      <c r="E10" s="2" t="s">
        <v>94</v>
      </c>
      <c r="G10" s="2" t="s">
        <v>474</v>
      </c>
      <c r="H10" s="44">
        <f>H9*H11</f>
        <v>3.6</v>
      </c>
      <c r="I10" s="2" t="s">
        <v>94</v>
      </c>
      <c r="K10" s="2" t="s">
        <v>474</v>
      </c>
      <c r="L10" s="44">
        <f>L9*L11</f>
        <v>1.25</v>
      </c>
      <c r="M10" s="2" t="s">
        <v>94</v>
      </c>
    </row>
    <row r="11" spans="3:13" x14ac:dyDescent="0.25">
      <c r="C11" s="2" t="s">
        <v>475</v>
      </c>
      <c r="D11" s="2">
        <f>D9/D12</f>
        <v>1</v>
      </c>
      <c r="E11" s="2" t="s">
        <v>31</v>
      </c>
      <c r="G11" s="2" t="s">
        <v>475</v>
      </c>
      <c r="H11" s="46">
        <v>0.1</v>
      </c>
      <c r="I11" s="2" t="s">
        <v>31</v>
      </c>
      <c r="K11" s="2" t="s">
        <v>475</v>
      </c>
      <c r="L11" s="2">
        <f>L9/L12</f>
        <v>0.25</v>
      </c>
      <c r="M11" s="2" t="s">
        <v>31</v>
      </c>
    </row>
    <row r="12" spans="3:13" x14ac:dyDescent="0.25">
      <c r="C12" s="2" t="s">
        <v>476</v>
      </c>
      <c r="D12" s="44">
        <v>5</v>
      </c>
      <c r="E12" s="2" t="s">
        <v>71</v>
      </c>
      <c r="G12" s="2" t="s">
        <v>476</v>
      </c>
      <c r="H12" s="44">
        <f>H9/H11</f>
        <v>360</v>
      </c>
      <c r="I12" s="2" t="s">
        <v>71</v>
      </c>
      <c r="K12" s="2" t="s">
        <v>476</v>
      </c>
      <c r="L12" s="44">
        <v>20</v>
      </c>
      <c r="M12" s="2" t="s">
        <v>71</v>
      </c>
    </row>
    <row r="14" spans="3:13" x14ac:dyDescent="0.25">
      <c r="C14" s="2" t="s">
        <v>477</v>
      </c>
      <c r="D14" s="44">
        <v>40</v>
      </c>
      <c r="E14" s="2" t="s">
        <v>478</v>
      </c>
      <c r="G14" s="2" t="s">
        <v>477</v>
      </c>
      <c r="H14" s="44">
        <v>25</v>
      </c>
      <c r="I14" s="2" t="s">
        <v>478</v>
      </c>
      <c r="K14" s="2" t="s">
        <v>477</v>
      </c>
      <c r="L14" s="44">
        <v>40</v>
      </c>
      <c r="M14" s="2" t="s">
        <v>478</v>
      </c>
    </row>
    <row r="15" spans="3:13" x14ac:dyDescent="0.25">
      <c r="C15" s="2" t="s">
        <v>477</v>
      </c>
      <c r="D15" s="2">
        <f>D14*1000</f>
        <v>40000</v>
      </c>
      <c r="E15" s="2" t="s">
        <v>479</v>
      </c>
      <c r="G15" s="2" t="s">
        <v>477</v>
      </c>
      <c r="H15" s="2">
        <f>H14*1000</f>
        <v>25000</v>
      </c>
      <c r="I15" s="2" t="s">
        <v>479</v>
      </c>
      <c r="K15" s="2" t="s">
        <v>477</v>
      </c>
      <c r="L15" s="2">
        <f>L14*1000</f>
        <v>40000</v>
      </c>
      <c r="M15" s="2" t="s">
        <v>479</v>
      </c>
    </row>
    <row r="17" spans="3:13" x14ac:dyDescent="0.25">
      <c r="C17" s="2" t="s">
        <v>480</v>
      </c>
      <c r="D17" s="44">
        <v>0.5</v>
      </c>
      <c r="G17" s="2" t="s">
        <v>480</v>
      </c>
      <c r="H17" s="44">
        <v>0.4</v>
      </c>
      <c r="K17" s="2" t="s">
        <v>480</v>
      </c>
      <c r="L17" s="44">
        <v>0.5</v>
      </c>
    </row>
    <row r="18" spans="3:13" x14ac:dyDescent="0.25">
      <c r="C18" s="2" t="s">
        <v>481</v>
      </c>
      <c r="D18" s="2">
        <f>ROUND(1/(((D3/D9)*(D22)+1)),3)</f>
        <v>0.38500000000000001</v>
      </c>
      <c r="G18" s="2" t="s">
        <v>481</v>
      </c>
      <c r="H18" s="47">
        <f>ROUND(1/(((H3/H9)*(H23)+1)),3)</f>
        <v>0.4</v>
      </c>
      <c r="K18" s="2" t="s">
        <v>481</v>
      </c>
      <c r="L18" s="2">
        <f>ROUND(1/(((L3/L9)*(L22)+1)),3)</f>
        <v>0.38500000000000001</v>
      </c>
    </row>
    <row r="19" spans="3:13" x14ac:dyDescent="0.25">
      <c r="C19" s="2" t="s">
        <v>482</v>
      </c>
      <c r="D19" s="2" t="str">
        <f>C3&amp;" &amp;&amp; "&amp;C9&amp;" &amp;&amp; "&amp;C22</f>
        <v>V in &amp;&amp; V out &amp;&amp; N1/N2</v>
      </c>
      <c r="G19" s="2" t="s">
        <v>482</v>
      </c>
      <c r="H19" s="2" t="str">
        <f>G3&amp;" &amp;&amp; "&amp;G9&amp;" &amp;&amp; "&amp;G22</f>
        <v>V in &amp;&amp; V out &amp;&amp; N1/N2</v>
      </c>
      <c r="K19" s="2" t="s">
        <v>482</v>
      </c>
      <c r="L19" s="2" t="str">
        <f>K3&amp;" &amp;&amp; "&amp;K9&amp;" &amp;&amp; "&amp;K22</f>
        <v>V in &amp;&amp; V out &amp;&amp; N1/N2</v>
      </c>
    </row>
    <row r="21" spans="3:13" x14ac:dyDescent="0.25">
      <c r="C21" s="2" t="s">
        <v>483</v>
      </c>
      <c r="D21" s="44">
        <v>3</v>
      </c>
      <c r="G21" s="2" t="s">
        <v>483</v>
      </c>
      <c r="H21" s="44">
        <v>3</v>
      </c>
      <c r="K21" s="2" t="s">
        <v>483</v>
      </c>
      <c r="L21" s="44">
        <v>3</v>
      </c>
    </row>
    <row r="22" spans="3:13" x14ac:dyDescent="0.25">
      <c r="C22" s="2" t="s">
        <v>293</v>
      </c>
      <c r="D22" s="2">
        <f>1/D21</f>
        <v>0.33333333333333331</v>
      </c>
      <c r="G22" s="2" t="s">
        <v>293</v>
      </c>
      <c r="H22" s="2">
        <f>1/H23</f>
        <v>5.5555555555555558E-3</v>
      </c>
      <c r="K22" s="2" t="s">
        <v>293</v>
      </c>
      <c r="L22" s="2">
        <f>1/L21</f>
        <v>0.33333333333333331</v>
      </c>
    </row>
    <row r="23" spans="3:13" x14ac:dyDescent="0.25">
      <c r="C23" s="2" t="s">
        <v>484</v>
      </c>
      <c r="G23" s="2" t="s">
        <v>484</v>
      </c>
      <c r="H23" s="47">
        <f>ROUND((H9/H3)*((1-H17)/H17),0)</f>
        <v>180</v>
      </c>
      <c r="K23" s="2" t="s">
        <v>484</v>
      </c>
    </row>
    <row r="25" spans="3:13" x14ac:dyDescent="0.25">
      <c r="C25" s="2" t="s">
        <v>485</v>
      </c>
      <c r="D25" s="44">
        <v>200</v>
      </c>
      <c r="E25" s="2" t="s">
        <v>11</v>
      </c>
      <c r="G25" s="2" t="s">
        <v>485</v>
      </c>
      <c r="H25" s="44">
        <v>500</v>
      </c>
      <c r="I25" s="2" t="s">
        <v>11</v>
      </c>
      <c r="K25" s="2" t="s">
        <v>485</v>
      </c>
      <c r="L25" s="44">
        <v>500</v>
      </c>
      <c r="M25" s="2" t="s">
        <v>11</v>
      </c>
    </row>
    <row r="26" spans="3:13" x14ac:dyDescent="0.25">
      <c r="C26" s="2" t="s">
        <v>485</v>
      </c>
      <c r="D26" s="2">
        <f>D25/1000000</f>
        <v>2.0000000000000001E-4</v>
      </c>
      <c r="E26" s="2" t="s">
        <v>42</v>
      </c>
      <c r="G26" s="2" t="s">
        <v>485</v>
      </c>
      <c r="H26" s="2">
        <f>H25/1000000</f>
        <v>5.0000000000000001E-4</v>
      </c>
      <c r="I26" s="2" t="s">
        <v>42</v>
      </c>
      <c r="K26" s="2" t="s">
        <v>485</v>
      </c>
      <c r="L26" s="2">
        <f>L25/1000000</f>
        <v>5.0000000000000001E-4</v>
      </c>
      <c r="M26" s="2" t="s">
        <v>42</v>
      </c>
    </row>
    <row r="27" spans="3:13" x14ac:dyDescent="0.25">
      <c r="G27" s="2" t="s">
        <v>486</v>
      </c>
      <c r="H27" s="47">
        <f>(H3*H18)/(H33*H15)</f>
        <v>3.9999999999999998E-7</v>
      </c>
      <c r="I27" s="2" t="s">
        <v>42</v>
      </c>
      <c r="J27" s="2">
        <f>H27*1000000</f>
        <v>0.39999999999999997</v>
      </c>
      <c r="K27" s="2" t="s">
        <v>486</v>
      </c>
      <c r="L27" s="2">
        <f>(L3*L18)/(L33*L15)</f>
        <v>5.0000000000000001E-4</v>
      </c>
    </row>
    <row r="28" spans="3:13" x14ac:dyDescent="0.25">
      <c r="C28" s="2" t="s">
        <v>487</v>
      </c>
      <c r="D28" s="2">
        <v>200</v>
      </c>
      <c r="E28" s="2" t="s">
        <v>34</v>
      </c>
      <c r="G28" s="2" t="s">
        <v>487</v>
      </c>
      <c r="H28" s="2">
        <v>200</v>
      </c>
      <c r="I28" s="2" t="s">
        <v>34</v>
      </c>
      <c r="K28" s="2" t="s">
        <v>487</v>
      </c>
      <c r="L28" s="2">
        <v>200</v>
      </c>
      <c r="M28" s="2" t="s">
        <v>34</v>
      </c>
    </row>
    <row r="29" spans="3:13" x14ac:dyDescent="0.25">
      <c r="C29" s="2" t="s">
        <v>488</v>
      </c>
      <c r="E29" s="2" t="s">
        <v>320</v>
      </c>
      <c r="G29" s="2" t="s">
        <v>488</v>
      </c>
      <c r="H29" s="2">
        <f>H45</f>
        <v>2.7777777777777779E-6</v>
      </c>
      <c r="I29" s="2" t="s">
        <v>320</v>
      </c>
      <c r="K29" s="2" t="s">
        <v>488</v>
      </c>
    </row>
    <row r="31" spans="3:13" x14ac:dyDescent="0.25">
      <c r="C31" s="2" t="s">
        <v>296</v>
      </c>
      <c r="D31" s="2">
        <f>ROUND((D9^2)/(D3*D18*D12),3)</f>
        <v>0.54100000000000004</v>
      </c>
      <c r="E31" s="2" t="s">
        <v>31</v>
      </c>
      <c r="G31" s="2" t="s">
        <v>296</v>
      </c>
      <c r="H31" s="2">
        <f>ROUND((H9^2)/(H3*H18*H12),3)</f>
        <v>30</v>
      </c>
      <c r="I31" s="2" t="s">
        <v>31</v>
      </c>
      <c r="K31" s="2" t="s">
        <v>296</v>
      </c>
      <c r="L31" s="2">
        <f>ROUND((L9^2)/(L3*L18*L12),3)</f>
        <v>0.13500000000000001</v>
      </c>
      <c r="M31" s="2" t="s">
        <v>31</v>
      </c>
    </row>
    <row r="32" spans="3:13" x14ac:dyDescent="0.25">
      <c r="C32" s="2" t="s">
        <v>489</v>
      </c>
      <c r="D32" s="2" t="str">
        <f>C9&amp;" &amp;&amp; "&amp;C3&amp;" &amp;&amp; "&amp;C17&amp;" &amp;&amp; "&amp;C12</f>
        <v>V out &amp;&amp; V in &amp;&amp; D manual &amp;&amp; R out</v>
      </c>
      <c r="G32" s="2" t="s">
        <v>489</v>
      </c>
      <c r="H32" s="2" t="str">
        <f>G9&amp;" &amp;&amp; "&amp;G3&amp;" &amp;&amp; "&amp;G17&amp;" &amp;&amp; "&amp;G12</f>
        <v>V out &amp;&amp; V in &amp;&amp; D manual &amp;&amp; R out</v>
      </c>
      <c r="K32" s="2" t="s">
        <v>489</v>
      </c>
      <c r="L32" s="2" t="str">
        <f>K9&amp;" &amp;&amp; "&amp;K3&amp;" &amp;&amp; "&amp;K17&amp;" &amp;&amp; "&amp;K12</f>
        <v>V out &amp;&amp; V in &amp;&amp; D manual &amp;&amp; R out</v>
      </c>
    </row>
    <row r="33" spans="3:13" x14ac:dyDescent="0.25">
      <c r="C33" s="45" t="s">
        <v>298</v>
      </c>
      <c r="D33" s="2">
        <f>(D3*D18)/(D26*D15)</f>
        <v>1.155</v>
      </c>
      <c r="E33" s="2" t="s">
        <v>31</v>
      </c>
      <c r="F33" s="48">
        <f>D33/D31</f>
        <v>2.1349353049907576</v>
      </c>
      <c r="G33" s="45" t="s">
        <v>298</v>
      </c>
      <c r="H33" s="2">
        <f>ROUND(H31*(J33),2)</f>
        <v>12</v>
      </c>
      <c r="I33" s="2" t="s">
        <v>31</v>
      </c>
      <c r="J33" s="49">
        <v>0.4</v>
      </c>
      <c r="K33" s="45" t="s">
        <v>298</v>
      </c>
      <c r="L33" s="2">
        <f>(L3*L18)/(L26*L15)</f>
        <v>0.46200000000000002</v>
      </c>
      <c r="M33" s="2" t="s">
        <v>31</v>
      </c>
    </row>
    <row r="34" spans="3:13" x14ac:dyDescent="0.25">
      <c r="C34" s="45"/>
      <c r="D34" s="2" t="str">
        <f>C3&amp;" &amp;&amp; "&amp;C18&amp;" &amp;&amp; "&amp;C25&amp;" &amp;&amp; "&amp;C15</f>
        <v>V in &amp;&amp; D calc &amp;&amp; Lm Manual &amp;&amp; Freq</v>
      </c>
      <c r="G34" s="45"/>
      <c r="H34" s="2" t="str">
        <f>G3&amp;" &amp;&amp; "&amp;G18&amp;" &amp;&amp; "&amp;G25&amp;" &amp;&amp; "&amp;G15</f>
        <v>V in &amp;&amp; D calc &amp;&amp; Lm Manual &amp;&amp; Freq</v>
      </c>
      <c r="K34" s="45"/>
      <c r="L34" s="2" t="str">
        <f>K3&amp;" &amp;&amp; "&amp;K18&amp;" &amp;&amp; "&amp;K25&amp;" &amp;&amp; "&amp;K15</f>
        <v>V in &amp;&amp; D calc &amp;&amp; Lm Manual &amp;&amp; Freq</v>
      </c>
    </row>
    <row r="35" spans="3:13" x14ac:dyDescent="0.25">
      <c r="C35" s="2" t="s">
        <v>490</v>
      </c>
      <c r="D35" s="2">
        <f>D31+(D33/2)</f>
        <v>1.1185</v>
      </c>
      <c r="E35" s="2" t="s">
        <v>31</v>
      </c>
      <c r="G35" s="2" t="s">
        <v>490</v>
      </c>
      <c r="H35" s="2">
        <f>H31+(H33/2)</f>
        <v>36</v>
      </c>
      <c r="I35" s="2" t="s">
        <v>31</v>
      </c>
      <c r="K35" s="2" t="s">
        <v>490</v>
      </c>
      <c r="L35" s="2">
        <f>L31+(L33/2)</f>
        <v>0.36599999999999999</v>
      </c>
      <c r="M35" s="2" t="s">
        <v>31</v>
      </c>
    </row>
    <row r="36" spans="3:13" x14ac:dyDescent="0.25">
      <c r="C36" s="2" t="s">
        <v>491</v>
      </c>
      <c r="D36" s="2">
        <f>D31-(D33/2)</f>
        <v>-3.6499999999999977E-2</v>
      </c>
      <c r="E36" s="2" t="s">
        <v>31</v>
      </c>
      <c r="G36" s="2" t="s">
        <v>491</v>
      </c>
      <c r="H36" s="2">
        <f>H31-(H33/2)</f>
        <v>24</v>
      </c>
      <c r="I36" s="2" t="s">
        <v>31</v>
      </c>
      <c r="K36" s="2" t="s">
        <v>491</v>
      </c>
      <c r="L36" s="2">
        <f>L31-(L33/2)</f>
        <v>-9.6000000000000002E-2</v>
      </c>
      <c r="M36" s="2" t="s">
        <v>31</v>
      </c>
    </row>
    <row r="38" spans="3:13" x14ac:dyDescent="0.25">
      <c r="C38" s="2" t="s">
        <v>492</v>
      </c>
      <c r="D38" s="44">
        <v>2</v>
      </c>
      <c r="E38" s="2" t="s">
        <v>47</v>
      </c>
      <c r="G38" s="2" t="s">
        <v>492</v>
      </c>
      <c r="H38" s="46">
        <v>2</v>
      </c>
      <c r="I38" s="2" t="s">
        <v>47</v>
      </c>
      <c r="K38" s="2" t="s">
        <v>492</v>
      </c>
      <c r="L38" s="44">
        <v>1</v>
      </c>
      <c r="M38" s="2" t="s">
        <v>47</v>
      </c>
    </row>
    <row r="39" spans="3:13" x14ac:dyDescent="0.25">
      <c r="C39" s="2" t="s">
        <v>327</v>
      </c>
      <c r="D39" s="2">
        <f>ROUND(D18/(D12*(D28/1000000)*D15),4)</f>
        <v>9.5999999999999992E-3</v>
      </c>
      <c r="E39" s="2" t="s">
        <v>47</v>
      </c>
      <c r="G39" s="2" t="s">
        <v>327</v>
      </c>
      <c r="H39" s="47">
        <f>ROUND(H18/(H12*(H45)*H15),4)</f>
        <v>1.6E-2</v>
      </c>
      <c r="I39" s="2" t="s">
        <v>493</v>
      </c>
      <c r="K39" s="2" t="s">
        <v>327</v>
      </c>
      <c r="L39" s="2">
        <f>ROUND(L18/(L12*(L28/1000000)*L15),4)</f>
        <v>2.3999999999999998E-3</v>
      </c>
      <c r="M39" s="2" t="s">
        <v>47</v>
      </c>
    </row>
    <row r="40" spans="3:13" x14ac:dyDescent="0.25">
      <c r="C40" s="2" t="s">
        <v>327</v>
      </c>
      <c r="D40" s="2">
        <f>D39*100</f>
        <v>0.96</v>
      </c>
      <c r="E40" s="2" t="s">
        <v>493</v>
      </c>
      <c r="G40" s="2" t="s">
        <v>327</v>
      </c>
      <c r="H40" s="2">
        <f>H39*100</f>
        <v>1.6</v>
      </c>
      <c r="I40" s="2" t="s">
        <v>47</v>
      </c>
      <c r="K40" s="2" t="s">
        <v>327</v>
      </c>
      <c r="L40" s="2">
        <f>L39*100</f>
        <v>0.24</v>
      </c>
      <c r="M40" s="2" t="s">
        <v>493</v>
      </c>
    </row>
    <row r="41" spans="3:13" x14ac:dyDescent="0.25">
      <c r="C41" s="2" t="s">
        <v>494</v>
      </c>
      <c r="D41" s="2" t="str">
        <f>IF(D40&lt;D38,"Tá Dentro","Tá Fora")</f>
        <v>Tá Dentro</v>
      </c>
      <c r="G41" s="2" t="s">
        <v>494</v>
      </c>
      <c r="H41" s="2" t="str">
        <f>IF(H40&lt;H38,"Tá Dentro","Tá Fora")</f>
        <v>Tá Dentro</v>
      </c>
      <c r="K41" s="2" t="s">
        <v>494</v>
      </c>
      <c r="L41" s="2" t="str">
        <f>IF(L40&lt;L38,"Tá Dentro","Tá Fora")</f>
        <v>Tá Dentro</v>
      </c>
    </row>
    <row r="42" spans="3:13" x14ac:dyDescent="0.25">
      <c r="G42" s="2" t="s">
        <v>495</v>
      </c>
      <c r="H42" s="2">
        <f>H9*H38%</f>
        <v>0.72</v>
      </c>
      <c r="I42" s="2" t="s">
        <v>9</v>
      </c>
    </row>
    <row r="43" spans="3:13" x14ac:dyDescent="0.25">
      <c r="G43" s="1" t="s">
        <v>306</v>
      </c>
      <c r="H43" s="47">
        <f>ROUND(H35*H22,3)</f>
        <v>0.2</v>
      </c>
    </row>
    <row r="44" spans="3:13" x14ac:dyDescent="0.25">
      <c r="G44" s="2" t="s">
        <v>314</v>
      </c>
      <c r="H44" s="2">
        <f>ROUND(H42/H43,2)</f>
        <v>3.6</v>
      </c>
    </row>
    <row r="45" spans="3:13" x14ac:dyDescent="0.25">
      <c r="G45" s="2" t="s">
        <v>319</v>
      </c>
      <c r="H45" s="2">
        <f>10^-5/H44</f>
        <v>2.7777777777777779E-6</v>
      </c>
      <c r="I45" s="2" t="s">
        <v>320</v>
      </c>
      <c r="J45" s="2">
        <f>H45*1000000</f>
        <v>2.7777777777777781</v>
      </c>
      <c r="K45" s="2" t="s">
        <v>34</v>
      </c>
    </row>
    <row r="46" spans="3:13" x14ac:dyDescent="0.25">
      <c r="G46" s="2" t="s">
        <v>496</v>
      </c>
      <c r="H46" s="2">
        <f>H31*H18</f>
        <v>12</v>
      </c>
      <c r="I46" s="2" t="s">
        <v>31</v>
      </c>
    </row>
  </sheetData>
  <mergeCells count="3">
    <mergeCell ref="C2:E2"/>
    <mergeCell ref="G2:I2"/>
    <mergeCell ref="K2:M2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E0E6-3ECB-4BE6-B641-641B1CCCAC7D}">
  <dimension ref="A1:G95"/>
  <sheetViews>
    <sheetView workbookViewId="0">
      <selection activeCell="A69" sqref="A69:G69"/>
    </sheetView>
  </sheetViews>
  <sheetFormatPr defaultRowHeight="15" x14ac:dyDescent="0.25"/>
  <cols>
    <col min="1" max="1" width="40.140625" style="1" bestFit="1" customWidth="1"/>
    <col min="2" max="2" width="20.85546875" style="1" bestFit="1" customWidth="1"/>
    <col min="3" max="3" width="15.7109375" style="1" bestFit="1" customWidth="1"/>
    <col min="4" max="4" width="19.140625" style="1" bestFit="1" customWidth="1"/>
    <col min="5" max="5" width="11.7109375" style="1" bestFit="1" customWidth="1"/>
    <col min="6" max="6" width="27.42578125" style="1" bestFit="1" customWidth="1"/>
    <col min="7" max="7" width="12.85546875" style="1" bestFit="1" customWidth="1"/>
    <col min="8" max="16384" width="9.140625" style="1"/>
  </cols>
  <sheetData>
    <row r="1" spans="1:7" x14ac:dyDescent="0.25">
      <c r="A1" s="50" t="s">
        <v>497</v>
      </c>
      <c r="B1" s="50" t="s">
        <v>498</v>
      </c>
      <c r="C1" s="51" t="s">
        <v>499</v>
      </c>
      <c r="D1" s="2" t="s">
        <v>500</v>
      </c>
      <c r="E1" s="2" t="s">
        <v>501</v>
      </c>
      <c r="F1" s="2" t="s">
        <v>502</v>
      </c>
      <c r="G1" s="2" t="s">
        <v>503</v>
      </c>
    </row>
    <row r="2" spans="1:7" x14ac:dyDescent="0.25">
      <c r="A2" s="2">
        <v>1</v>
      </c>
      <c r="B2" s="2">
        <v>9.9999999999999998E-13</v>
      </c>
      <c r="C2" s="2">
        <f>A2*B2</f>
        <v>9.9999999999999998E-13</v>
      </c>
      <c r="D2" s="2">
        <f>Calculo_FlyBack_Simples!$Q$28</f>
        <v>2.8E-5</v>
      </c>
      <c r="E2" s="26" t="str">
        <f>IF(Tabela3[[#This Row],[Capacitor_TCC]]&gt;Tabela3[[#This Row],[Em Faraday]],"Não","Sim")</f>
        <v>Não</v>
      </c>
      <c r="F2" s="1">
        <f>Calculo_FlyBack_Simples!$Q$24</f>
        <v>3.6180499999999992E-10</v>
      </c>
      <c r="G2" s="26" t="str">
        <f>IF(Tabela3[[#This Row],[Capacitor_Snubber_OFF]]&gt;Tabela3[[#This Row],[Em Faraday]],"Não","Sim")</f>
        <v>Não</v>
      </c>
    </row>
    <row r="3" spans="1:7" x14ac:dyDescent="0.25">
      <c r="A3" s="2">
        <v>1.5</v>
      </c>
      <c r="B3" s="2">
        <v>9.9999999999999998E-13</v>
      </c>
      <c r="C3" s="2">
        <f t="shared" ref="C3:C66" si="0">A3*B3</f>
        <v>1.5000000000000001E-12</v>
      </c>
      <c r="D3" s="2">
        <f>Calculo_FlyBack_Simples!$Q$28</f>
        <v>2.8E-5</v>
      </c>
      <c r="E3" s="26" t="str">
        <f>IF(Tabela3[[#This Row],[Capacitor_TCC]]&gt;Tabela3[[#This Row],[Em Faraday]],"Não","Sim")</f>
        <v>Não</v>
      </c>
      <c r="F3" s="1">
        <f>Calculo_FlyBack_Simples!$Q$24</f>
        <v>3.6180499999999992E-10</v>
      </c>
      <c r="G3" s="26" t="str">
        <f>IF(Tabela3[[#This Row],[Capacitor_Snubber_OFF]]&gt;Tabela3[[#This Row],[Em Faraday]],"Não","Sim")</f>
        <v>Não</v>
      </c>
    </row>
    <row r="4" spans="1:7" x14ac:dyDescent="0.25">
      <c r="A4" s="2">
        <v>2.2000000000000002</v>
      </c>
      <c r="B4" s="2">
        <v>9.9999999999999998E-13</v>
      </c>
      <c r="C4" s="2">
        <f t="shared" si="0"/>
        <v>2.2000000000000003E-12</v>
      </c>
      <c r="D4" s="2">
        <f>Calculo_FlyBack_Simples!$Q$28</f>
        <v>2.8E-5</v>
      </c>
      <c r="E4" s="26" t="str">
        <f>IF(Tabela3[[#This Row],[Capacitor_TCC]]&gt;Tabela3[[#This Row],[Em Faraday]],"Não","Sim")</f>
        <v>Não</v>
      </c>
      <c r="F4" s="1">
        <f>Calculo_FlyBack_Simples!$Q$24</f>
        <v>3.6180499999999992E-10</v>
      </c>
      <c r="G4" s="26" t="str">
        <f>IF(Tabela3[[#This Row],[Capacitor_Snubber_OFF]]&gt;Tabela3[[#This Row],[Em Faraday]],"Não","Sim")</f>
        <v>Não</v>
      </c>
    </row>
    <row r="5" spans="1:7" x14ac:dyDescent="0.25">
      <c r="A5" s="2">
        <v>3.3</v>
      </c>
      <c r="B5" s="2">
        <v>9.9999999999999998E-13</v>
      </c>
      <c r="C5" s="2">
        <f t="shared" si="0"/>
        <v>3.2999999999999997E-12</v>
      </c>
      <c r="D5" s="2">
        <f>Calculo_FlyBack_Simples!$Q$28</f>
        <v>2.8E-5</v>
      </c>
      <c r="E5" s="26" t="str">
        <f>IF(Tabela3[[#This Row],[Capacitor_TCC]]&gt;Tabela3[[#This Row],[Em Faraday]],"Não","Sim")</f>
        <v>Não</v>
      </c>
      <c r="F5" s="1">
        <f>Calculo_FlyBack_Simples!$Q$24</f>
        <v>3.6180499999999992E-10</v>
      </c>
      <c r="G5" s="26" t="str">
        <f>IF(Tabela3[[#This Row],[Capacitor_Snubber_OFF]]&gt;Tabela3[[#This Row],[Em Faraday]],"Não","Sim")</f>
        <v>Não</v>
      </c>
    </row>
    <row r="6" spans="1:7" x14ac:dyDescent="0.25">
      <c r="A6" s="2">
        <v>4.7</v>
      </c>
      <c r="B6" s="2">
        <v>9.9999999999999998E-13</v>
      </c>
      <c r="C6" s="2">
        <f t="shared" si="0"/>
        <v>4.6999999999999998E-12</v>
      </c>
      <c r="D6" s="2">
        <f>Calculo_FlyBack_Simples!$Q$28</f>
        <v>2.8E-5</v>
      </c>
      <c r="E6" s="26" t="str">
        <f>IF(Tabela3[[#This Row],[Capacitor_TCC]]&gt;Tabela3[[#This Row],[Em Faraday]],"Não","Sim")</f>
        <v>Não</v>
      </c>
      <c r="F6" s="1">
        <f>Calculo_FlyBack_Simples!$Q$24</f>
        <v>3.6180499999999992E-10</v>
      </c>
      <c r="G6" s="26" t="str">
        <f>IF(Tabela3[[#This Row],[Capacitor_Snubber_OFF]]&gt;Tabela3[[#This Row],[Em Faraday]],"Não","Sim")</f>
        <v>Não</v>
      </c>
    </row>
    <row r="7" spans="1:7" x14ac:dyDescent="0.25">
      <c r="A7" s="2">
        <v>5.6</v>
      </c>
      <c r="B7" s="2">
        <v>9.9999999999999998E-13</v>
      </c>
      <c r="C7" s="2">
        <f t="shared" si="0"/>
        <v>5.5999999999999996E-12</v>
      </c>
      <c r="D7" s="2">
        <f>Calculo_FlyBack_Simples!$Q$28</f>
        <v>2.8E-5</v>
      </c>
      <c r="E7" s="26" t="str">
        <f>IF(Tabela3[[#This Row],[Capacitor_TCC]]&gt;Tabela3[[#This Row],[Em Faraday]],"Não","Sim")</f>
        <v>Não</v>
      </c>
      <c r="F7" s="1">
        <f>Calculo_FlyBack_Simples!$Q$24</f>
        <v>3.6180499999999992E-10</v>
      </c>
      <c r="G7" s="26" t="str">
        <f>IF(Tabela3[[#This Row],[Capacitor_Snubber_OFF]]&gt;Tabela3[[#This Row],[Em Faraday]],"Não","Sim")</f>
        <v>Não</v>
      </c>
    </row>
    <row r="8" spans="1:7" x14ac:dyDescent="0.25">
      <c r="A8" s="2">
        <v>6.8</v>
      </c>
      <c r="B8" s="2">
        <v>9.9999999999999998E-13</v>
      </c>
      <c r="C8" s="2">
        <f t="shared" si="0"/>
        <v>6.7999999999999993E-12</v>
      </c>
      <c r="D8" s="2">
        <f>Calculo_FlyBack_Simples!$Q$28</f>
        <v>2.8E-5</v>
      </c>
      <c r="E8" s="26" t="str">
        <f>IF(Tabela3[[#This Row],[Capacitor_TCC]]&gt;Tabela3[[#This Row],[Em Faraday]],"Não","Sim")</f>
        <v>Não</v>
      </c>
      <c r="F8" s="1">
        <f>Calculo_FlyBack_Simples!$Q$24</f>
        <v>3.6180499999999992E-10</v>
      </c>
      <c r="G8" s="26" t="str">
        <f>IF(Tabela3[[#This Row],[Capacitor_Snubber_OFF]]&gt;Tabela3[[#This Row],[Em Faraday]],"Não","Sim")</f>
        <v>Não</v>
      </c>
    </row>
    <row r="9" spans="1:7" x14ac:dyDescent="0.25">
      <c r="A9" s="2">
        <v>10</v>
      </c>
      <c r="B9" s="2">
        <v>9.9999999999999998E-13</v>
      </c>
      <c r="C9" s="2">
        <f t="shared" si="0"/>
        <v>9.9999999999999994E-12</v>
      </c>
      <c r="D9" s="2">
        <f>Calculo_FlyBack_Simples!$Q$28</f>
        <v>2.8E-5</v>
      </c>
      <c r="E9" s="26" t="str">
        <f>IF(Tabela3[[#This Row],[Capacitor_TCC]]&gt;Tabela3[[#This Row],[Em Faraday]],"Não","Sim")</f>
        <v>Não</v>
      </c>
      <c r="F9" s="1">
        <f>Calculo_FlyBack_Simples!$Q$24</f>
        <v>3.6180499999999992E-10</v>
      </c>
      <c r="G9" s="26" t="str">
        <f>IF(Tabela3[[#This Row],[Capacitor_Snubber_OFF]]&gt;Tabela3[[#This Row],[Em Faraday]],"Não","Sim")</f>
        <v>Não</v>
      </c>
    </row>
    <row r="10" spans="1:7" x14ac:dyDescent="0.25">
      <c r="A10" s="2">
        <v>15</v>
      </c>
      <c r="B10" s="2">
        <v>9.9999999999999998E-13</v>
      </c>
      <c r="C10" s="2">
        <f t="shared" si="0"/>
        <v>1.5E-11</v>
      </c>
      <c r="D10" s="2">
        <f>Calculo_FlyBack_Simples!$Q$28</f>
        <v>2.8E-5</v>
      </c>
      <c r="E10" s="26" t="str">
        <f>IF(Tabela3[[#This Row],[Capacitor_TCC]]&gt;Tabela3[[#This Row],[Em Faraday]],"Não","Sim")</f>
        <v>Não</v>
      </c>
      <c r="F10" s="1">
        <f>Calculo_FlyBack_Simples!$Q$24</f>
        <v>3.6180499999999992E-10</v>
      </c>
      <c r="G10" s="26" t="str">
        <f>IF(Tabela3[[#This Row],[Capacitor_Snubber_OFF]]&gt;Tabela3[[#This Row],[Em Faraday]],"Não","Sim")</f>
        <v>Não</v>
      </c>
    </row>
    <row r="11" spans="1:7" x14ac:dyDescent="0.25">
      <c r="A11" s="2">
        <v>22</v>
      </c>
      <c r="B11" s="2">
        <v>9.9999999999999998E-13</v>
      </c>
      <c r="C11" s="2">
        <f t="shared" si="0"/>
        <v>2.1999999999999998E-11</v>
      </c>
      <c r="D11" s="2">
        <f>Calculo_FlyBack_Simples!$Q$28</f>
        <v>2.8E-5</v>
      </c>
      <c r="E11" s="26" t="str">
        <f>IF(Tabela3[[#This Row],[Capacitor_TCC]]&gt;Tabela3[[#This Row],[Em Faraday]],"Não","Sim")</f>
        <v>Não</v>
      </c>
      <c r="F11" s="1">
        <f>Calculo_FlyBack_Simples!$Q$24</f>
        <v>3.6180499999999992E-10</v>
      </c>
      <c r="G11" s="26" t="str">
        <f>IF(Tabela3[[#This Row],[Capacitor_Snubber_OFF]]&gt;Tabela3[[#This Row],[Em Faraday]],"Não","Sim")</f>
        <v>Não</v>
      </c>
    </row>
    <row r="12" spans="1:7" x14ac:dyDescent="0.25">
      <c r="A12" s="2">
        <v>33</v>
      </c>
      <c r="B12" s="2">
        <v>9.9999999999999998E-13</v>
      </c>
      <c r="C12" s="2">
        <f t="shared" si="0"/>
        <v>3.3000000000000002E-11</v>
      </c>
      <c r="D12" s="2">
        <f>Calculo_FlyBack_Simples!$Q$28</f>
        <v>2.8E-5</v>
      </c>
      <c r="E12" s="26" t="str">
        <f>IF(Tabela3[[#This Row],[Capacitor_TCC]]&gt;Tabela3[[#This Row],[Em Faraday]],"Não","Sim")</f>
        <v>Não</v>
      </c>
      <c r="F12" s="1">
        <f>Calculo_FlyBack_Simples!$Q$24</f>
        <v>3.6180499999999992E-10</v>
      </c>
      <c r="G12" s="26" t="str">
        <f>IF(Tabela3[[#This Row],[Capacitor_Snubber_OFF]]&gt;Tabela3[[#This Row],[Em Faraday]],"Não","Sim")</f>
        <v>Não</v>
      </c>
    </row>
    <row r="13" spans="1:7" x14ac:dyDescent="0.25">
      <c r="A13" s="2">
        <v>47</v>
      </c>
      <c r="B13" s="2">
        <v>9.9999999999999998E-13</v>
      </c>
      <c r="C13" s="2">
        <f t="shared" si="0"/>
        <v>4.6999999999999999E-11</v>
      </c>
      <c r="D13" s="2">
        <f>Calculo_FlyBack_Simples!$Q$28</f>
        <v>2.8E-5</v>
      </c>
      <c r="E13" s="26" t="str">
        <f>IF(Tabela3[[#This Row],[Capacitor_TCC]]&gt;Tabela3[[#This Row],[Em Faraday]],"Não","Sim")</f>
        <v>Não</v>
      </c>
      <c r="F13" s="1">
        <f>Calculo_FlyBack_Simples!$Q$24</f>
        <v>3.6180499999999992E-10</v>
      </c>
      <c r="G13" s="26" t="str">
        <f>IF(Tabela3[[#This Row],[Capacitor_Snubber_OFF]]&gt;Tabela3[[#This Row],[Em Faraday]],"Não","Sim")</f>
        <v>Não</v>
      </c>
    </row>
    <row r="14" spans="1:7" x14ac:dyDescent="0.25">
      <c r="A14" s="2">
        <v>56</v>
      </c>
      <c r="B14" s="2">
        <v>9.9999999999999998E-13</v>
      </c>
      <c r="C14" s="2">
        <f t="shared" si="0"/>
        <v>5.6E-11</v>
      </c>
      <c r="D14" s="2">
        <f>Calculo_FlyBack_Simples!$Q$28</f>
        <v>2.8E-5</v>
      </c>
      <c r="E14" s="26" t="str">
        <f>IF(Tabela3[[#This Row],[Capacitor_TCC]]&gt;Tabela3[[#This Row],[Em Faraday]],"Não","Sim")</f>
        <v>Não</v>
      </c>
      <c r="F14" s="1">
        <f>Calculo_FlyBack_Simples!$Q$24</f>
        <v>3.6180499999999992E-10</v>
      </c>
      <c r="G14" s="26" t="str">
        <f>IF(Tabela3[[#This Row],[Capacitor_Snubber_OFF]]&gt;Tabela3[[#This Row],[Em Faraday]],"Não","Sim")</f>
        <v>Não</v>
      </c>
    </row>
    <row r="15" spans="1:7" x14ac:dyDescent="0.25">
      <c r="A15" s="2">
        <v>68</v>
      </c>
      <c r="B15" s="2">
        <v>9.9999999999999998E-13</v>
      </c>
      <c r="C15" s="2">
        <f t="shared" si="0"/>
        <v>6.7999999999999998E-11</v>
      </c>
      <c r="D15" s="2">
        <f>Calculo_FlyBack_Simples!$Q$28</f>
        <v>2.8E-5</v>
      </c>
      <c r="E15" s="26" t="str">
        <f>IF(Tabela3[[#This Row],[Capacitor_TCC]]&gt;Tabela3[[#This Row],[Em Faraday]],"Não","Sim")</f>
        <v>Não</v>
      </c>
      <c r="F15" s="1">
        <f>Calculo_FlyBack_Simples!$Q$24</f>
        <v>3.6180499999999992E-10</v>
      </c>
      <c r="G15" s="26" t="str">
        <f>IF(Tabela3[[#This Row],[Capacitor_Snubber_OFF]]&gt;Tabela3[[#This Row],[Em Faraday]],"Não","Sim")</f>
        <v>Não</v>
      </c>
    </row>
    <row r="16" spans="1:7" x14ac:dyDescent="0.25">
      <c r="A16" s="2">
        <v>100</v>
      </c>
      <c r="B16" s="2">
        <v>9.9999999999999998E-13</v>
      </c>
      <c r="C16" s="2">
        <f t="shared" si="0"/>
        <v>1E-10</v>
      </c>
      <c r="D16" s="2">
        <f>Calculo_FlyBack_Simples!$Q$28</f>
        <v>2.8E-5</v>
      </c>
      <c r="E16" s="26" t="str">
        <f>IF(Tabela3[[#This Row],[Capacitor_TCC]]&gt;Tabela3[[#This Row],[Em Faraday]],"Não","Sim")</f>
        <v>Não</v>
      </c>
      <c r="F16" s="1">
        <f>Calculo_FlyBack_Simples!$Q$24</f>
        <v>3.6180499999999992E-10</v>
      </c>
      <c r="G16" s="26" t="str">
        <f>IF(Tabela3[[#This Row],[Capacitor_Snubber_OFF]]&gt;Tabela3[[#This Row],[Em Faraday]],"Não","Sim")</f>
        <v>Não</v>
      </c>
    </row>
    <row r="17" spans="1:7" x14ac:dyDescent="0.25">
      <c r="A17" s="2">
        <v>150</v>
      </c>
      <c r="B17" s="2">
        <v>9.9999999999999998E-13</v>
      </c>
      <c r="C17" s="2">
        <f t="shared" si="0"/>
        <v>1.5E-10</v>
      </c>
      <c r="D17" s="2">
        <f>Calculo_FlyBack_Simples!$Q$28</f>
        <v>2.8E-5</v>
      </c>
      <c r="E17" s="26" t="str">
        <f>IF(Tabela3[[#This Row],[Capacitor_TCC]]&gt;Tabela3[[#This Row],[Em Faraday]],"Não","Sim")</f>
        <v>Não</v>
      </c>
      <c r="F17" s="1">
        <f>Calculo_FlyBack_Simples!$Q$24</f>
        <v>3.6180499999999992E-10</v>
      </c>
      <c r="G17" s="26" t="str">
        <f>IF(Tabela3[[#This Row],[Capacitor_Snubber_OFF]]&gt;Tabela3[[#This Row],[Em Faraday]],"Não","Sim")</f>
        <v>Não</v>
      </c>
    </row>
    <row r="18" spans="1:7" x14ac:dyDescent="0.25">
      <c r="A18" s="2">
        <v>220</v>
      </c>
      <c r="B18" s="2">
        <v>9.9999999999999998E-13</v>
      </c>
      <c r="C18" s="2">
        <f t="shared" si="0"/>
        <v>2.1999999999999999E-10</v>
      </c>
      <c r="D18" s="2">
        <f>Calculo_FlyBack_Simples!$Q$28</f>
        <v>2.8E-5</v>
      </c>
      <c r="E18" s="26" t="str">
        <f>IF(Tabela3[[#This Row],[Capacitor_TCC]]&gt;Tabela3[[#This Row],[Em Faraday]],"Não","Sim")</f>
        <v>Não</v>
      </c>
      <c r="F18" s="1">
        <f>Calculo_FlyBack_Simples!$Q$24</f>
        <v>3.6180499999999992E-10</v>
      </c>
      <c r="G18" s="26" t="str">
        <f>IF(Tabela3[[#This Row],[Capacitor_Snubber_OFF]]&gt;Tabela3[[#This Row],[Em Faraday]],"Não","Sim")</f>
        <v>Não</v>
      </c>
    </row>
    <row r="19" spans="1:7" x14ac:dyDescent="0.25">
      <c r="A19" s="2">
        <v>330</v>
      </c>
      <c r="B19" s="2">
        <v>9.9999999999999998E-13</v>
      </c>
      <c r="C19" s="2">
        <f t="shared" si="0"/>
        <v>3.3E-10</v>
      </c>
      <c r="D19" s="2">
        <f>Calculo_FlyBack_Simples!$Q$28</f>
        <v>2.8E-5</v>
      </c>
      <c r="E19" s="26" t="str">
        <f>IF(Tabela3[[#This Row],[Capacitor_TCC]]&gt;Tabela3[[#This Row],[Em Faraday]],"Não","Sim")</f>
        <v>Não</v>
      </c>
      <c r="F19" s="1">
        <f>Calculo_FlyBack_Simples!$Q$24</f>
        <v>3.6180499999999992E-10</v>
      </c>
      <c r="G19" s="26" t="str">
        <f>IF(Tabela3[[#This Row],[Capacitor_Snubber_OFF]]&gt;Tabela3[[#This Row],[Em Faraday]],"Não","Sim")</f>
        <v>Não</v>
      </c>
    </row>
    <row r="20" spans="1:7" x14ac:dyDescent="0.25">
      <c r="A20" s="2">
        <v>470</v>
      </c>
      <c r="B20" s="2">
        <v>9.9999999999999998E-13</v>
      </c>
      <c r="C20" s="2">
        <f t="shared" si="0"/>
        <v>4.7000000000000003E-10</v>
      </c>
      <c r="D20" s="2">
        <f>Calculo_FlyBack_Simples!$Q$28</f>
        <v>2.8E-5</v>
      </c>
      <c r="E20" s="26" t="str">
        <f>IF(Tabela3[[#This Row],[Capacitor_TCC]]&gt;Tabela3[[#This Row],[Em Faraday]],"Não","Sim")</f>
        <v>Não</v>
      </c>
      <c r="F20" s="1">
        <f>Calculo_FlyBack_Simples!$Q$24</f>
        <v>3.6180499999999992E-10</v>
      </c>
      <c r="G20" s="26" t="str">
        <f>IF(Tabela3[[#This Row],[Capacitor_Snubber_OFF]]&gt;Tabela3[[#This Row],[Em Faraday]],"Não","Sim")</f>
        <v>Sim</v>
      </c>
    </row>
    <row r="21" spans="1:7" x14ac:dyDescent="0.25">
      <c r="A21" s="2">
        <v>560</v>
      </c>
      <c r="B21" s="2">
        <v>9.9999999999999998E-13</v>
      </c>
      <c r="C21" s="2">
        <f t="shared" si="0"/>
        <v>5.6000000000000003E-10</v>
      </c>
      <c r="D21" s="2">
        <f>Calculo_FlyBack_Simples!$Q$28</f>
        <v>2.8E-5</v>
      </c>
      <c r="E21" s="26" t="str">
        <f>IF(Tabela3[[#This Row],[Capacitor_TCC]]&gt;Tabela3[[#This Row],[Em Faraday]],"Não","Sim")</f>
        <v>Não</v>
      </c>
      <c r="F21" s="1">
        <f>Calculo_FlyBack_Simples!$Q$24</f>
        <v>3.6180499999999992E-10</v>
      </c>
      <c r="G21" s="26" t="str">
        <f>IF(Tabela3[[#This Row],[Capacitor_Snubber_OFF]]&gt;Tabela3[[#This Row],[Em Faraday]],"Não","Sim")</f>
        <v>Sim</v>
      </c>
    </row>
    <row r="22" spans="1:7" x14ac:dyDescent="0.25">
      <c r="A22" s="2">
        <v>680</v>
      </c>
      <c r="B22" s="2">
        <v>9.9999999999999998E-13</v>
      </c>
      <c r="C22" s="2">
        <f t="shared" si="0"/>
        <v>6.8000000000000003E-10</v>
      </c>
      <c r="D22" s="2">
        <f>Calculo_FlyBack_Simples!$Q$28</f>
        <v>2.8E-5</v>
      </c>
      <c r="E22" s="26" t="str">
        <f>IF(Tabela3[[#This Row],[Capacitor_TCC]]&gt;Tabela3[[#This Row],[Em Faraday]],"Não","Sim")</f>
        <v>Não</v>
      </c>
      <c r="F22" s="1">
        <f>Calculo_FlyBack_Simples!$Q$24</f>
        <v>3.6180499999999992E-10</v>
      </c>
      <c r="G22" s="26" t="str">
        <f>IF(Tabela3[[#This Row],[Capacitor_Snubber_OFF]]&gt;Tabela3[[#This Row],[Em Faraday]],"Não","Sim")</f>
        <v>Sim</v>
      </c>
    </row>
    <row r="23" spans="1:7" x14ac:dyDescent="0.25">
      <c r="A23" s="2">
        <v>1000</v>
      </c>
      <c r="B23" s="2">
        <v>9.9999999999999998E-13</v>
      </c>
      <c r="C23" s="2">
        <f t="shared" si="0"/>
        <v>1.0000000000000001E-9</v>
      </c>
      <c r="D23" s="2">
        <f>Calculo_FlyBack_Simples!$Q$28</f>
        <v>2.8E-5</v>
      </c>
      <c r="E23" s="26" t="str">
        <f>IF(Tabela3[[#This Row],[Capacitor_TCC]]&gt;Tabela3[[#This Row],[Em Faraday]],"Não","Sim")</f>
        <v>Não</v>
      </c>
      <c r="F23" s="1">
        <f>Calculo_FlyBack_Simples!$Q$24</f>
        <v>3.6180499999999992E-10</v>
      </c>
      <c r="G23" s="26" t="str">
        <f>IF(Tabela3[[#This Row],[Capacitor_Snubber_OFF]]&gt;Tabela3[[#This Row],[Em Faraday]],"Não","Sim")</f>
        <v>Sim</v>
      </c>
    </row>
    <row r="24" spans="1:7" x14ac:dyDescent="0.25">
      <c r="A24" s="2">
        <v>1500</v>
      </c>
      <c r="B24" s="2">
        <v>9.9999999999999998E-13</v>
      </c>
      <c r="C24" s="2">
        <f t="shared" si="0"/>
        <v>1.5E-9</v>
      </c>
      <c r="D24" s="2">
        <f>Calculo_FlyBack_Simples!$Q$28</f>
        <v>2.8E-5</v>
      </c>
      <c r="E24" s="26" t="str">
        <f>IF(Tabela3[[#This Row],[Capacitor_TCC]]&gt;Tabela3[[#This Row],[Em Faraday]],"Não","Sim")</f>
        <v>Não</v>
      </c>
      <c r="F24" s="1">
        <f>Calculo_FlyBack_Simples!$Q$24</f>
        <v>3.6180499999999992E-10</v>
      </c>
      <c r="G24" s="26" t="str">
        <f>IF(Tabela3[[#This Row],[Capacitor_Snubber_OFF]]&gt;Tabela3[[#This Row],[Em Faraday]],"Não","Sim")</f>
        <v>Sim</v>
      </c>
    </row>
    <row r="25" spans="1:7" x14ac:dyDescent="0.25">
      <c r="A25" s="2">
        <v>2200</v>
      </c>
      <c r="B25" s="2">
        <v>9.9999999999999998E-13</v>
      </c>
      <c r="C25" s="2">
        <f t="shared" si="0"/>
        <v>2.1999999999999998E-9</v>
      </c>
      <c r="D25" s="2">
        <f>Calculo_FlyBack_Simples!$Q$28</f>
        <v>2.8E-5</v>
      </c>
      <c r="E25" s="26" t="str">
        <f>IF(Tabela3[[#This Row],[Capacitor_TCC]]&gt;Tabela3[[#This Row],[Em Faraday]],"Não","Sim")</f>
        <v>Não</v>
      </c>
      <c r="F25" s="1">
        <f>Calculo_FlyBack_Simples!$Q$24</f>
        <v>3.6180499999999992E-10</v>
      </c>
      <c r="G25" s="26" t="str">
        <f>IF(Tabela3[[#This Row],[Capacitor_Snubber_OFF]]&gt;Tabela3[[#This Row],[Em Faraday]],"Não","Sim")</f>
        <v>Sim</v>
      </c>
    </row>
    <row r="26" spans="1:7" x14ac:dyDescent="0.25">
      <c r="A26" s="2">
        <v>3300</v>
      </c>
      <c r="B26" s="2">
        <v>9.9999999999999998E-13</v>
      </c>
      <c r="C26" s="2">
        <f t="shared" si="0"/>
        <v>3.2999999999999998E-9</v>
      </c>
      <c r="D26" s="2">
        <f>Calculo_FlyBack_Simples!$Q$28</f>
        <v>2.8E-5</v>
      </c>
      <c r="E26" s="26" t="str">
        <f>IF(Tabela3[[#This Row],[Capacitor_TCC]]&gt;Tabela3[[#This Row],[Em Faraday]],"Não","Sim")</f>
        <v>Não</v>
      </c>
      <c r="F26" s="1">
        <f>Calculo_FlyBack_Simples!$Q$24</f>
        <v>3.6180499999999992E-10</v>
      </c>
      <c r="G26" s="26" t="str">
        <f>IF(Tabela3[[#This Row],[Capacitor_Snubber_OFF]]&gt;Tabela3[[#This Row],[Em Faraday]],"Não","Sim")</f>
        <v>Sim</v>
      </c>
    </row>
    <row r="27" spans="1:7" x14ac:dyDescent="0.25">
      <c r="A27" s="2">
        <v>4700</v>
      </c>
      <c r="B27" s="2">
        <v>9.9999999999999998E-13</v>
      </c>
      <c r="C27" s="2">
        <f t="shared" si="0"/>
        <v>4.6999999999999999E-9</v>
      </c>
      <c r="D27" s="2">
        <f>Calculo_FlyBack_Simples!$Q$28</f>
        <v>2.8E-5</v>
      </c>
      <c r="E27" s="26" t="str">
        <f>IF(Tabela3[[#This Row],[Capacitor_TCC]]&gt;Tabela3[[#This Row],[Em Faraday]],"Não","Sim")</f>
        <v>Não</v>
      </c>
      <c r="F27" s="1">
        <f>Calculo_FlyBack_Simples!$Q$24</f>
        <v>3.6180499999999992E-10</v>
      </c>
      <c r="G27" s="26" t="str">
        <f>IF(Tabela3[[#This Row],[Capacitor_Snubber_OFF]]&gt;Tabela3[[#This Row],[Em Faraday]],"Não","Sim")</f>
        <v>Sim</v>
      </c>
    </row>
    <row r="28" spans="1:7" x14ac:dyDescent="0.25">
      <c r="A28" s="2">
        <v>6800</v>
      </c>
      <c r="B28" s="2">
        <v>9.9999999999999998E-13</v>
      </c>
      <c r="C28" s="2">
        <f t="shared" si="0"/>
        <v>6.7999999999999997E-9</v>
      </c>
      <c r="D28" s="2">
        <f>Calculo_FlyBack_Simples!$Q$28</f>
        <v>2.8E-5</v>
      </c>
      <c r="E28" s="26" t="str">
        <f>IF(Tabela3[[#This Row],[Capacitor_TCC]]&gt;Tabela3[[#This Row],[Em Faraday]],"Não","Sim")</f>
        <v>Não</v>
      </c>
      <c r="F28" s="1">
        <f>Calculo_FlyBack_Simples!$Q$24</f>
        <v>3.6180499999999992E-10</v>
      </c>
      <c r="G28" s="26" t="str">
        <f>IF(Tabela3[[#This Row],[Capacitor_Snubber_OFF]]&gt;Tabela3[[#This Row],[Em Faraday]],"Não","Sim")</f>
        <v>Sim</v>
      </c>
    </row>
    <row r="29" spans="1:7" x14ac:dyDescent="0.25">
      <c r="A29" s="2">
        <v>10000</v>
      </c>
      <c r="B29" s="2">
        <v>9.9999999999999998E-13</v>
      </c>
      <c r="C29" s="2">
        <f t="shared" si="0"/>
        <v>1E-8</v>
      </c>
      <c r="D29" s="2">
        <f>Calculo_FlyBack_Simples!$Q$28</f>
        <v>2.8E-5</v>
      </c>
      <c r="E29" s="26" t="str">
        <f>IF(Tabela3[[#This Row],[Capacitor_TCC]]&gt;Tabela3[[#This Row],[Em Faraday]],"Não","Sim")</f>
        <v>Não</v>
      </c>
      <c r="F29" s="1">
        <f>Calculo_FlyBack_Simples!$Q$24</f>
        <v>3.6180499999999992E-10</v>
      </c>
      <c r="G29" s="26" t="str">
        <f>IF(Tabela3[[#This Row],[Capacitor_Snubber_OFF]]&gt;Tabela3[[#This Row],[Em Faraday]],"Não","Sim")</f>
        <v>Sim</v>
      </c>
    </row>
    <row r="30" spans="1:7" x14ac:dyDescent="0.25">
      <c r="A30" s="2">
        <v>1E-3</v>
      </c>
      <c r="B30" s="2">
        <v>1.0000000000000001E-9</v>
      </c>
      <c r="C30" s="2">
        <f t="shared" si="0"/>
        <v>1.0000000000000002E-12</v>
      </c>
      <c r="D30" s="2">
        <f>Calculo_FlyBack_Simples!$Q$28</f>
        <v>2.8E-5</v>
      </c>
      <c r="E30" s="26" t="str">
        <f>IF(Tabela3[[#This Row],[Capacitor_TCC]]&gt;Tabela3[[#This Row],[Em Faraday]],"Não","Sim")</f>
        <v>Não</v>
      </c>
      <c r="F30" s="1">
        <f>Calculo_FlyBack_Simples!$Q$24</f>
        <v>3.6180499999999992E-10</v>
      </c>
      <c r="G30" s="26" t="str">
        <f>IF(Tabela3[[#This Row],[Capacitor_Snubber_OFF]]&gt;Tabela3[[#This Row],[Em Faraday]],"Não","Sim")</f>
        <v>Não</v>
      </c>
    </row>
    <row r="31" spans="1:7" x14ac:dyDescent="0.25">
      <c r="A31" s="2">
        <v>1.5E-3</v>
      </c>
      <c r="B31" s="2">
        <v>1.0000000000000001E-9</v>
      </c>
      <c r="C31" s="2">
        <f t="shared" si="0"/>
        <v>1.5000000000000001E-12</v>
      </c>
      <c r="D31" s="2">
        <f>Calculo_FlyBack_Simples!$Q$28</f>
        <v>2.8E-5</v>
      </c>
      <c r="E31" s="26" t="str">
        <f>IF(Tabela3[[#This Row],[Capacitor_TCC]]&gt;Tabela3[[#This Row],[Em Faraday]],"Não","Sim")</f>
        <v>Não</v>
      </c>
      <c r="F31" s="1">
        <f>Calculo_FlyBack_Simples!$Q$24</f>
        <v>3.6180499999999992E-10</v>
      </c>
      <c r="G31" s="26" t="str">
        <f>IF(Tabela3[[#This Row],[Capacitor_Snubber_OFF]]&gt;Tabela3[[#This Row],[Em Faraday]],"Não","Sim")</f>
        <v>Não</v>
      </c>
    </row>
    <row r="32" spans="1:7" x14ac:dyDescent="0.25">
      <c r="A32" s="2">
        <v>2.2000000000000001E-3</v>
      </c>
      <c r="B32" s="2">
        <v>1.0000000000000001E-9</v>
      </c>
      <c r="C32" s="2">
        <f t="shared" si="0"/>
        <v>2.2000000000000003E-12</v>
      </c>
      <c r="D32" s="2">
        <f>Calculo_FlyBack_Simples!$Q$28</f>
        <v>2.8E-5</v>
      </c>
      <c r="E32" s="26" t="str">
        <f>IF(Tabela3[[#This Row],[Capacitor_TCC]]&gt;Tabela3[[#This Row],[Em Faraday]],"Não","Sim")</f>
        <v>Não</v>
      </c>
      <c r="F32" s="1">
        <f>Calculo_FlyBack_Simples!$Q$24</f>
        <v>3.6180499999999992E-10</v>
      </c>
      <c r="G32" s="26" t="str">
        <f>IF(Tabela3[[#This Row],[Capacitor_Snubber_OFF]]&gt;Tabela3[[#This Row],[Em Faraday]],"Não","Sim")</f>
        <v>Não</v>
      </c>
    </row>
    <row r="33" spans="1:7" x14ac:dyDescent="0.25">
      <c r="A33" s="2">
        <v>3.3E-3</v>
      </c>
      <c r="B33" s="2">
        <v>1.0000000000000001E-9</v>
      </c>
      <c r="C33" s="2">
        <f t="shared" si="0"/>
        <v>3.3000000000000001E-12</v>
      </c>
      <c r="D33" s="2">
        <f>Calculo_FlyBack_Simples!$Q$28</f>
        <v>2.8E-5</v>
      </c>
      <c r="E33" s="26" t="str">
        <f>IF(Tabela3[[#This Row],[Capacitor_TCC]]&gt;Tabela3[[#This Row],[Em Faraday]],"Não","Sim")</f>
        <v>Não</v>
      </c>
      <c r="F33" s="1">
        <f>Calculo_FlyBack_Simples!$Q$24</f>
        <v>3.6180499999999992E-10</v>
      </c>
      <c r="G33" s="26" t="str">
        <f>IF(Tabela3[[#This Row],[Capacitor_Snubber_OFF]]&gt;Tabela3[[#This Row],[Em Faraday]],"Não","Sim")</f>
        <v>Não</v>
      </c>
    </row>
    <row r="34" spans="1:7" x14ac:dyDescent="0.25">
      <c r="A34" s="2">
        <v>4.7000000000000002E-3</v>
      </c>
      <c r="B34" s="2">
        <v>1.0000000000000001E-9</v>
      </c>
      <c r="C34" s="2">
        <f t="shared" si="0"/>
        <v>4.7000000000000006E-12</v>
      </c>
      <c r="D34" s="2">
        <f>Calculo_FlyBack_Simples!$Q$28</f>
        <v>2.8E-5</v>
      </c>
      <c r="E34" s="26" t="str">
        <f>IF(Tabela3[[#This Row],[Capacitor_TCC]]&gt;Tabela3[[#This Row],[Em Faraday]],"Não","Sim")</f>
        <v>Não</v>
      </c>
      <c r="F34" s="1">
        <f>Calculo_FlyBack_Simples!$Q$24</f>
        <v>3.6180499999999992E-10</v>
      </c>
      <c r="G34" s="26" t="str">
        <f>IF(Tabela3[[#This Row],[Capacitor_Snubber_OFF]]&gt;Tabela3[[#This Row],[Em Faraday]],"Não","Sim")</f>
        <v>Não</v>
      </c>
    </row>
    <row r="35" spans="1:7" x14ac:dyDescent="0.25">
      <c r="A35" s="2">
        <v>5.5999999999999999E-3</v>
      </c>
      <c r="B35" s="2">
        <v>1.0000000000000001E-9</v>
      </c>
      <c r="C35" s="2">
        <f t="shared" si="0"/>
        <v>5.6000000000000004E-12</v>
      </c>
      <c r="D35" s="2">
        <f>Calculo_FlyBack_Simples!$Q$28</f>
        <v>2.8E-5</v>
      </c>
      <c r="E35" s="26" t="str">
        <f>IF(Tabela3[[#This Row],[Capacitor_TCC]]&gt;Tabela3[[#This Row],[Em Faraday]],"Não","Sim")</f>
        <v>Não</v>
      </c>
      <c r="F35" s="1">
        <f>Calculo_FlyBack_Simples!$Q$24</f>
        <v>3.6180499999999992E-10</v>
      </c>
      <c r="G35" s="26" t="str">
        <f>IF(Tabela3[[#This Row],[Capacitor_Snubber_OFF]]&gt;Tabela3[[#This Row],[Em Faraday]],"Não","Sim")</f>
        <v>Não</v>
      </c>
    </row>
    <row r="36" spans="1:7" x14ac:dyDescent="0.25">
      <c r="A36" s="2">
        <v>6.7999999999999996E-3</v>
      </c>
      <c r="B36" s="2">
        <v>1.0000000000000001E-9</v>
      </c>
      <c r="C36" s="2">
        <f t="shared" si="0"/>
        <v>6.8000000000000001E-12</v>
      </c>
      <c r="D36" s="2">
        <f>Calculo_FlyBack_Simples!$Q$28</f>
        <v>2.8E-5</v>
      </c>
      <c r="E36" s="26" t="str">
        <f>IF(Tabela3[[#This Row],[Capacitor_TCC]]&gt;Tabela3[[#This Row],[Em Faraday]],"Não","Sim")</f>
        <v>Não</v>
      </c>
      <c r="F36" s="1">
        <f>Calculo_FlyBack_Simples!$Q$24</f>
        <v>3.6180499999999992E-10</v>
      </c>
      <c r="G36" s="26" t="str">
        <f>IF(Tabela3[[#This Row],[Capacitor_Snubber_OFF]]&gt;Tabela3[[#This Row],[Em Faraday]],"Não","Sim")</f>
        <v>Não</v>
      </c>
    </row>
    <row r="37" spans="1:7" x14ac:dyDescent="0.25">
      <c r="A37" s="2">
        <v>0.01</v>
      </c>
      <c r="B37" s="2">
        <v>1.0000000000000001E-9</v>
      </c>
      <c r="C37" s="2">
        <f t="shared" si="0"/>
        <v>1.0000000000000001E-11</v>
      </c>
      <c r="D37" s="2">
        <f>Calculo_FlyBack_Simples!$Q$28</f>
        <v>2.8E-5</v>
      </c>
      <c r="E37" s="26" t="str">
        <f>IF(Tabela3[[#This Row],[Capacitor_TCC]]&gt;Tabela3[[#This Row],[Em Faraday]],"Não","Sim")</f>
        <v>Não</v>
      </c>
      <c r="F37" s="1">
        <f>Calculo_FlyBack_Simples!$Q$24</f>
        <v>3.6180499999999992E-10</v>
      </c>
      <c r="G37" s="26" t="str">
        <f>IF(Tabela3[[#This Row],[Capacitor_Snubber_OFF]]&gt;Tabela3[[#This Row],[Em Faraday]],"Não","Sim")</f>
        <v>Não</v>
      </c>
    </row>
    <row r="38" spans="1:7" x14ac:dyDescent="0.25">
      <c r="A38" s="2">
        <v>1.4999999999999999E-2</v>
      </c>
      <c r="B38" s="2">
        <v>1.0000000000000001E-9</v>
      </c>
      <c r="C38" s="2">
        <f t="shared" si="0"/>
        <v>1.5E-11</v>
      </c>
      <c r="D38" s="2">
        <f>Calculo_FlyBack_Simples!$Q$28</f>
        <v>2.8E-5</v>
      </c>
      <c r="E38" s="26" t="str">
        <f>IF(Tabela3[[#This Row],[Capacitor_TCC]]&gt;Tabela3[[#This Row],[Em Faraday]],"Não","Sim")</f>
        <v>Não</v>
      </c>
      <c r="F38" s="1">
        <f>Calculo_FlyBack_Simples!$Q$24</f>
        <v>3.6180499999999992E-10</v>
      </c>
      <c r="G38" s="26" t="str">
        <f>IF(Tabela3[[#This Row],[Capacitor_Snubber_OFF]]&gt;Tabela3[[#This Row],[Em Faraday]],"Não","Sim")</f>
        <v>Não</v>
      </c>
    </row>
    <row r="39" spans="1:7" x14ac:dyDescent="0.25">
      <c r="A39" s="2">
        <v>2.1999999999999999E-2</v>
      </c>
      <c r="B39" s="2">
        <v>1.0000000000000001E-9</v>
      </c>
      <c r="C39" s="2">
        <f t="shared" si="0"/>
        <v>2.2000000000000002E-11</v>
      </c>
      <c r="D39" s="2">
        <f>Calculo_FlyBack_Simples!$Q$28</f>
        <v>2.8E-5</v>
      </c>
      <c r="E39" s="26" t="str">
        <f>IF(Tabela3[[#This Row],[Capacitor_TCC]]&gt;Tabela3[[#This Row],[Em Faraday]],"Não","Sim")</f>
        <v>Não</v>
      </c>
      <c r="F39" s="1">
        <f>Calculo_FlyBack_Simples!$Q$24</f>
        <v>3.6180499999999992E-10</v>
      </c>
      <c r="G39" s="26" t="str">
        <f>IF(Tabela3[[#This Row],[Capacitor_Snubber_OFF]]&gt;Tabela3[[#This Row],[Em Faraday]],"Não","Sim")</f>
        <v>Não</v>
      </c>
    </row>
    <row r="40" spans="1:7" x14ac:dyDescent="0.25">
      <c r="A40" s="2">
        <v>3.3000000000000002E-2</v>
      </c>
      <c r="B40" s="2">
        <v>1.0000000000000001E-9</v>
      </c>
      <c r="C40" s="2">
        <f t="shared" si="0"/>
        <v>3.3000000000000002E-11</v>
      </c>
      <c r="D40" s="2">
        <f>Calculo_FlyBack_Simples!$Q$28</f>
        <v>2.8E-5</v>
      </c>
      <c r="E40" s="26" t="str">
        <f>IF(Tabela3[[#This Row],[Capacitor_TCC]]&gt;Tabela3[[#This Row],[Em Faraday]],"Não","Sim")</f>
        <v>Não</v>
      </c>
      <c r="F40" s="1">
        <f>Calculo_FlyBack_Simples!$Q$24</f>
        <v>3.6180499999999992E-10</v>
      </c>
      <c r="G40" s="26" t="str">
        <f>IF(Tabela3[[#This Row],[Capacitor_Snubber_OFF]]&gt;Tabela3[[#This Row],[Em Faraday]],"Não","Sim")</f>
        <v>Não</v>
      </c>
    </row>
    <row r="41" spans="1:7" x14ac:dyDescent="0.25">
      <c r="A41" s="2">
        <v>4.7E-2</v>
      </c>
      <c r="B41" s="2">
        <v>1.0000000000000001E-9</v>
      </c>
      <c r="C41" s="2">
        <f t="shared" si="0"/>
        <v>4.7000000000000006E-11</v>
      </c>
      <c r="D41" s="2">
        <f>Calculo_FlyBack_Simples!$Q$28</f>
        <v>2.8E-5</v>
      </c>
      <c r="E41" s="26" t="str">
        <f>IF(Tabela3[[#This Row],[Capacitor_TCC]]&gt;Tabela3[[#This Row],[Em Faraday]],"Não","Sim")</f>
        <v>Não</v>
      </c>
      <c r="F41" s="1">
        <f>Calculo_FlyBack_Simples!$Q$24</f>
        <v>3.6180499999999992E-10</v>
      </c>
      <c r="G41" s="26" t="str">
        <f>IF(Tabela3[[#This Row],[Capacitor_Snubber_OFF]]&gt;Tabela3[[#This Row],[Em Faraday]],"Não","Sim")</f>
        <v>Não</v>
      </c>
    </row>
    <row r="42" spans="1:7" x14ac:dyDescent="0.25">
      <c r="A42" s="2">
        <v>5.6000000000000001E-2</v>
      </c>
      <c r="B42" s="2">
        <v>1.0000000000000001E-9</v>
      </c>
      <c r="C42" s="2">
        <f t="shared" si="0"/>
        <v>5.6000000000000007E-11</v>
      </c>
      <c r="D42" s="2">
        <f>Calculo_FlyBack_Simples!$Q$28</f>
        <v>2.8E-5</v>
      </c>
      <c r="E42" s="26" t="str">
        <f>IF(Tabela3[[#This Row],[Capacitor_TCC]]&gt;Tabela3[[#This Row],[Em Faraday]],"Não","Sim")</f>
        <v>Não</v>
      </c>
      <c r="F42" s="1">
        <f>Calculo_FlyBack_Simples!$Q$24</f>
        <v>3.6180499999999992E-10</v>
      </c>
      <c r="G42" s="26" t="str">
        <f>IF(Tabela3[[#This Row],[Capacitor_Snubber_OFF]]&gt;Tabela3[[#This Row],[Em Faraday]],"Não","Sim")</f>
        <v>Não</v>
      </c>
    </row>
    <row r="43" spans="1:7" x14ac:dyDescent="0.25">
      <c r="A43" s="2">
        <v>6.8000000000000005E-2</v>
      </c>
      <c r="B43" s="2">
        <v>1.0000000000000001E-9</v>
      </c>
      <c r="C43" s="2">
        <f t="shared" si="0"/>
        <v>6.8000000000000011E-11</v>
      </c>
      <c r="D43" s="2">
        <f>Calculo_FlyBack_Simples!$Q$28</f>
        <v>2.8E-5</v>
      </c>
      <c r="E43" s="26" t="str">
        <f>IF(Tabela3[[#This Row],[Capacitor_TCC]]&gt;Tabela3[[#This Row],[Em Faraday]],"Não","Sim")</f>
        <v>Não</v>
      </c>
      <c r="F43" s="1">
        <f>Calculo_FlyBack_Simples!$Q$24</f>
        <v>3.6180499999999992E-10</v>
      </c>
      <c r="G43" s="26" t="str">
        <f>IF(Tabela3[[#This Row],[Capacitor_Snubber_OFF]]&gt;Tabela3[[#This Row],[Em Faraday]],"Não","Sim")</f>
        <v>Não</v>
      </c>
    </row>
    <row r="44" spans="1:7" x14ac:dyDescent="0.25">
      <c r="A44" s="2">
        <v>0.1</v>
      </c>
      <c r="B44" s="2">
        <v>1.0000000000000001E-9</v>
      </c>
      <c r="C44" s="2">
        <f t="shared" si="0"/>
        <v>1.0000000000000002E-10</v>
      </c>
      <c r="D44" s="2">
        <f>Calculo_FlyBack_Simples!$Q$28</f>
        <v>2.8E-5</v>
      </c>
      <c r="E44" s="26" t="str">
        <f>IF(Tabela3[[#This Row],[Capacitor_TCC]]&gt;Tabela3[[#This Row],[Em Faraday]],"Não","Sim")</f>
        <v>Não</v>
      </c>
      <c r="F44" s="1">
        <f>Calculo_FlyBack_Simples!$Q$24</f>
        <v>3.6180499999999992E-10</v>
      </c>
      <c r="G44" s="26" t="str">
        <f>IF(Tabela3[[#This Row],[Capacitor_Snubber_OFF]]&gt;Tabela3[[#This Row],[Em Faraday]],"Não","Sim")</f>
        <v>Não</v>
      </c>
    </row>
    <row r="45" spans="1:7" x14ac:dyDescent="0.25">
      <c r="A45" s="2">
        <v>0.15</v>
      </c>
      <c r="B45" s="2">
        <v>1.0000000000000001E-9</v>
      </c>
      <c r="C45" s="2">
        <f t="shared" si="0"/>
        <v>1.5E-10</v>
      </c>
      <c r="D45" s="2">
        <f>Calculo_FlyBack_Simples!$Q$28</f>
        <v>2.8E-5</v>
      </c>
      <c r="E45" s="26" t="str">
        <f>IF(Tabela3[[#This Row],[Capacitor_TCC]]&gt;Tabela3[[#This Row],[Em Faraday]],"Não","Sim")</f>
        <v>Não</v>
      </c>
      <c r="F45" s="1">
        <f>Calculo_FlyBack_Simples!$Q$24</f>
        <v>3.6180499999999992E-10</v>
      </c>
      <c r="G45" s="26" t="str">
        <f>IF(Tabela3[[#This Row],[Capacitor_Snubber_OFF]]&gt;Tabela3[[#This Row],[Em Faraday]],"Não","Sim")</f>
        <v>Não</v>
      </c>
    </row>
    <row r="46" spans="1:7" x14ac:dyDescent="0.25">
      <c r="A46" s="2">
        <v>0.22</v>
      </c>
      <c r="B46" s="2">
        <v>1.0000000000000001E-9</v>
      </c>
      <c r="C46" s="2">
        <f t="shared" si="0"/>
        <v>2.2000000000000002E-10</v>
      </c>
      <c r="D46" s="2">
        <f>Calculo_FlyBack_Simples!$Q$28</f>
        <v>2.8E-5</v>
      </c>
      <c r="E46" s="26" t="str">
        <f>IF(Tabela3[[#This Row],[Capacitor_TCC]]&gt;Tabela3[[#This Row],[Em Faraday]],"Não","Sim")</f>
        <v>Não</v>
      </c>
      <c r="F46" s="1">
        <f>Calculo_FlyBack_Simples!$Q$24</f>
        <v>3.6180499999999992E-10</v>
      </c>
      <c r="G46" s="26" t="str">
        <f>IF(Tabela3[[#This Row],[Capacitor_Snubber_OFF]]&gt;Tabela3[[#This Row],[Em Faraday]],"Não","Sim")</f>
        <v>Não</v>
      </c>
    </row>
    <row r="47" spans="1:7" x14ac:dyDescent="0.25">
      <c r="A47" s="2">
        <v>0.33</v>
      </c>
      <c r="B47" s="2">
        <v>1.0000000000000001E-9</v>
      </c>
      <c r="C47" s="2">
        <f t="shared" si="0"/>
        <v>3.3000000000000005E-10</v>
      </c>
      <c r="D47" s="2">
        <f>Calculo_FlyBack_Simples!$Q$28</f>
        <v>2.8E-5</v>
      </c>
      <c r="E47" s="26" t="str">
        <f>IF(Tabela3[[#This Row],[Capacitor_TCC]]&gt;Tabela3[[#This Row],[Em Faraday]],"Não","Sim")</f>
        <v>Não</v>
      </c>
      <c r="F47" s="1">
        <f>Calculo_FlyBack_Simples!$Q$24</f>
        <v>3.6180499999999992E-10</v>
      </c>
      <c r="G47" s="26" t="str">
        <f>IF(Tabela3[[#This Row],[Capacitor_Snubber_OFF]]&gt;Tabela3[[#This Row],[Em Faraday]],"Não","Sim")</f>
        <v>Não</v>
      </c>
    </row>
    <row r="48" spans="1:7" x14ac:dyDescent="0.25">
      <c r="A48" s="2">
        <v>0.47</v>
      </c>
      <c r="B48" s="2">
        <v>1.0000000000000001E-9</v>
      </c>
      <c r="C48" s="2">
        <f t="shared" si="0"/>
        <v>4.7000000000000003E-10</v>
      </c>
      <c r="D48" s="2">
        <f>Calculo_FlyBack_Simples!$Q$28</f>
        <v>2.8E-5</v>
      </c>
      <c r="E48" s="26" t="str">
        <f>IF(Tabela3[[#This Row],[Capacitor_TCC]]&gt;Tabela3[[#This Row],[Em Faraday]],"Não","Sim")</f>
        <v>Não</v>
      </c>
      <c r="F48" s="1">
        <f>Calculo_FlyBack_Simples!$Q$24</f>
        <v>3.6180499999999992E-10</v>
      </c>
      <c r="G48" s="26" t="str">
        <f>IF(Tabela3[[#This Row],[Capacitor_Snubber_OFF]]&gt;Tabela3[[#This Row],[Em Faraday]],"Não","Sim")</f>
        <v>Sim</v>
      </c>
    </row>
    <row r="49" spans="1:7" x14ac:dyDescent="0.25">
      <c r="A49" s="2">
        <v>0.56000000000000005</v>
      </c>
      <c r="B49" s="2">
        <v>1.0000000000000001E-9</v>
      </c>
      <c r="C49" s="2">
        <f t="shared" si="0"/>
        <v>5.6000000000000013E-10</v>
      </c>
      <c r="D49" s="2">
        <f>Calculo_FlyBack_Simples!$Q$28</f>
        <v>2.8E-5</v>
      </c>
      <c r="E49" s="26" t="str">
        <f>IF(Tabela3[[#This Row],[Capacitor_TCC]]&gt;Tabela3[[#This Row],[Em Faraday]],"Não","Sim")</f>
        <v>Não</v>
      </c>
      <c r="F49" s="1">
        <f>Calculo_FlyBack_Simples!$Q$24</f>
        <v>3.6180499999999992E-10</v>
      </c>
      <c r="G49" s="26" t="str">
        <f>IF(Tabela3[[#This Row],[Capacitor_Snubber_OFF]]&gt;Tabela3[[#This Row],[Em Faraday]],"Não","Sim")</f>
        <v>Sim</v>
      </c>
    </row>
    <row r="50" spans="1:7" x14ac:dyDescent="0.25">
      <c r="A50" s="2">
        <v>0.68</v>
      </c>
      <c r="B50" s="2">
        <v>1.0000000000000001E-9</v>
      </c>
      <c r="C50" s="2">
        <f t="shared" si="0"/>
        <v>6.8000000000000013E-10</v>
      </c>
      <c r="D50" s="2">
        <f>Calculo_FlyBack_Simples!$Q$28</f>
        <v>2.8E-5</v>
      </c>
      <c r="E50" s="26" t="str">
        <f>IF(Tabela3[[#This Row],[Capacitor_TCC]]&gt;Tabela3[[#This Row],[Em Faraday]],"Não","Sim")</f>
        <v>Não</v>
      </c>
      <c r="F50" s="1">
        <f>Calculo_FlyBack_Simples!$Q$24</f>
        <v>3.6180499999999992E-10</v>
      </c>
      <c r="G50" s="26" t="str">
        <f>IF(Tabela3[[#This Row],[Capacitor_Snubber_OFF]]&gt;Tabela3[[#This Row],[Em Faraday]],"Não","Sim")</f>
        <v>Sim</v>
      </c>
    </row>
    <row r="51" spans="1:7" x14ac:dyDescent="0.25">
      <c r="A51" s="2">
        <v>1</v>
      </c>
      <c r="B51" s="2">
        <v>1.0000000000000001E-9</v>
      </c>
      <c r="C51" s="2">
        <f t="shared" si="0"/>
        <v>1.0000000000000001E-9</v>
      </c>
      <c r="D51" s="2">
        <f>Calculo_FlyBack_Simples!$Q$28</f>
        <v>2.8E-5</v>
      </c>
      <c r="E51" s="26" t="str">
        <f>IF(Tabela3[[#This Row],[Capacitor_TCC]]&gt;Tabela3[[#This Row],[Em Faraday]],"Não","Sim")</f>
        <v>Não</v>
      </c>
      <c r="F51" s="1">
        <f>Calculo_FlyBack_Simples!$Q$24</f>
        <v>3.6180499999999992E-10</v>
      </c>
      <c r="G51" s="26" t="str">
        <f>IF(Tabela3[[#This Row],[Capacitor_Snubber_OFF]]&gt;Tabela3[[#This Row],[Em Faraday]],"Não","Sim")</f>
        <v>Sim</v>
      </c>
    </row>
    <row r="52" spans="1:7" x14ac:dyDescent="0.25">
      <c r="A52" s="2">
        <v>1.5</v>
      </c>
      <c r="B52" s="2">
        <v>1.0000000000000001E-9</v>
      </c>
      <c r="C52" s="2">
        <f t="shared" si="0"/>
        <v>1.5000000000000002E-9</v>
      </c>
      <c r="D52" s="2">
        <f>Calculo_FlyBack_Simples!$Q$28</f>
        <v>2.8E-5</v>
      </c>
      <c r="E52" s="26" t="str">
        <f>IF(Tabela3[[#This Row],[Capacitor_TCC]]&gt;Tabela3[[#This Row],[Em Faraday]],"Não","Sim")</f>
        <v>Não</v>
      </c>
      <c r="F52" s="1">
        <f>Calculo_FlyBack_Simples!$Q$24</f>
        <v>3.6180499999999992E-10</v>
      </c>
      <c r="G52" s="26" t="str">
        <f>IF(Tabela3[[#This Row],[Capacitor_Snubber_OFF]]&gt;Tabela3[[#This Row],[Em Faraday]],"Não","Sim")</f>
        <v>Sim</v>
      </c>
    </row>
    <row r="53" spans="1:7" x14ac:dyDescent="0.25">
      <c r="A53" s="2">
        <v>2.2000000000000002</v>
      </c>
      <c r="B53" s="2">
        <v>1.0000000000000001E-9</v>
      </c>
      <c r="C53" s="2">
        <f t="shared" si="0"/>
        <v>2.2000000000000003E-9</v>
      </c>
      <c r="D53" s="2">
        <f>Calculo_FlyBack_Simples!$Q$28</f>
        <v>2.8E-5</v>
      </c>
      <c r="E53" s="26" t="str">
        <f>IF(Tabela3[[#This Row],[Capacitor_TCC]]&gt;Tabela3[[#This Row],[Em Faraday]],"Não","Sim")</f>
        <v>Não</v>
      </c>
      <c r="F53" s="1">
        <f>Calculo_FlyBack_Simples!$Q$24</f>
        <v>3.6180499999999992E-10</v>
      </c>
      <c r="G53" s="26" t="str">
        <f>IF(Tabela3[[#This Row],[Capacitor_Snubber_OFF]]&gt;Tabela3[[#This Row],[Em Faraday]],"Não","Sim")</f>
        <v>Sim</v>
      </c>
    </row>
    <row r="54" spans="1:7" x14ac:dyDescent="0.25">
      <c r="A54" s="2">
        <v>3.3</v>
      </c>
      <c r="B54" s="2">
        <v>1.0000000000000001E-9</v>
      </c>
      <c r="C54" s="2">
        <f t="shared" si="0"/>
        <v>3.3000000000000002E-9</v>
      </c>
      <c r="D54" s="2">
        <f>Calculo_FlyBack_Simples!$Q$28</f>
        <v>2.8E-5</v>
      </c>
      <c r="E54" s="26" t="str">
        <f>IF(Tabela3[[#This Row],[Capacitor_TCC]]&gt;Tabela3[[#This Row],[Em Faraday]],"Não","Sim")</f>
        <v>Não</v>
      </c>
      <c r="F54" s="1">
        <f>Calculo_FlyBack_Simples!$Q$24</f>
        <v>3.6180499999999992E-10</v>
      </c>
      <c r="G54" s="26" t="str">
        <f>IF(Tabela3[[#This Row],[Capacitor_Snubber_OFF]]&gt;Tabela3[[#This Row],[Em Faraday]],"Não","Sim")</f>
        <v>Sim</v>
      </c>
    </row>
    <row r="55" spans="1:7" x14ac:dyDescent="0.25">
      <c r="A55" s="2">
        <v>4.7</v>
      </c>
      <c r="B55" s="2">
        <v>1.0000000000000001E-9</v>
      </c>
      <c r="C55" s="2">
        <f t="shared" si="0"/>
        <v>4.7000000000000007E-9</v>
      </c>
      <c r="D55" s="2">
        <f>Calculo_FlyBack_Simples!$Q$28</f>
        <v>2.8E-5</v>
      </c>
      <c r="E55" s="26" t="str">
        <f>IF(Tabela3[[#This Row],[Capacitor_TCC]]&gt;Tabela3[[#This Row],[Em Faraday]],"Não","Sim")</f>
        <v>Não</v>
      </c>
      <c r="F55" s="1">
        <f>Calculo_FlyBack_Simples!$Q$24</f>
        <v>3.6180499999999992E-10</v>
      </c>
      <c r="G55" s="26" t="str">
        <f>IF(Tabela3[[#This Row],[Capacitor_Snubber_OFF]]&gt;Tabela3[[#This Row],[Em Faraday]],"Não","Sim")</f>
        <v>Sim</v>
      </c>
    </row>
    <row r="56" spans="1:7" x14ac:dyDescent="0.25">
      <c r="A56" s="2">
        <v>6.8</v>
      </c>
      <c r="B56" s="2">
        <v>1.0000000000000001E-9</v>
      </c>
      <c r="C56" s="2">
        <f t="shared" si="0"/>
        <v>6.8000000000000005E-9</v>
      </c>
      <c r="D56" s="2">
        <f>Calculo_FlyBack_Simples!$Q$28</f>
        <v>2.8E-5</v>
      </c>
      <c r="E56" s="26" t="str">
        <f>IF(Tabela3[[#This Row],[Capacitor_TCC]]&gt;Tabela3[[#This Row],[Em Faraday]],"Não","Sim")</f>
        <v>Não</v>
      </c>
      <c r="F56" s="1">
        <f>Calculo_FlyBack_Simples!$Q$24</f>
        <v>3.6180499999999992E-10</v>
      </c>
      <c r="G56" s="26" t="str">
        <f>IF(Tabela3[[#This Row],[Capacitor_Snubber_OFF]]&gt;Tabela3[[#This Row],[Em Faraday]],"Não","Sim")</f>
        <v>Sim</v>
      </c>
    </row>
    <row r="57" spans="1:7" x14ac:dyDescent="0.25">
      <c r="A57" s="2">
        <v>10</v>
      </c>
      <c r="B57" s="2">
        <v>1.0000000000000001E-9</v>
      </c>
      <c r="C57" s="2">
        <f t="shared" si="0"/>
        <v>1E-8</v>
      </c>
      <c r="D57" s="2">
        <f>Calculo_FlyBack_Simples!$Q$28</f>
        <v>2.8E-5</v>
      </c>
      <c r="E57" s="26" t="str">
        <f>IF(Tabela3[[#This Row],[Capacitor_TCC]]&gt;Tabela3[[#This Row],[Em Faraday]],"Não","Sim")</f>
        <v>Não</v>
      </c>
      <c r="F57" s="1">
        <f>Calculo_FlyBack_Simples!$Q$24</f>
        <v>3.6180499999999992E-10</v>
      </c>
      <c r="G57" s="26" t="str">
        <f>IF(Tabela3[[#This Row],[Capacitor_Snubber_OFF]]&gt;Tabela3[[#This Row],[Em Faraday]],"Não","Sim")</f>
        <v>Sim</v>
      </c>
    </row>
    <row r="58" spans="1:7" x14ac:dyDescent="0.25">
      <c r="A58" s="2">
        <v>0.1</v>
      </c>
      <c r="B58" s="2">
        <v>9.9999999999999995E-7</v>
      </c>
      <c r="C58" s="2">
        <f t="shared" si="0"/>
        <v>9.9999999999999995E-8</v>
      </c>
      <c r="D58" s="2">
        <f>Calculo_FlyBack_Simples!$Q$28</f>
        <v>2.8E-5</v>
      </c>
      <c r="E58" s="26" t="str">
        <f>IF(Tabela3[[#This Row],[Capacitor_TCC]]&gt;Tabela3[[#This Row],[Em Faraday]],"Não","Sim")</f>
        <v>Não</v>
      </c>
      <c r="F58" s="1">
        <f>Calculo_FlyBack_Simples!$Q$24</f>
        <v>3.6180499999999992E-10</v>
      </c>
      <c r="G58" s="26" t="str">
        <f>IF(Tabela3[[#This Row],[Capacitor_Snubber_OFF]]&gt;Tabela3[[#This Row],[Em Faraday]],"Não","Sim")</f>
        <v>Sim</v>
      </c>
    </row>
    <row r="59" spans="1:7" x14ac:dyDescent="0.25">
      <c r="A59" s="2">
        <v>0.15</v>
      </c>
      <c r="B59" s="2">
        <v>9.9999999999999995E-7</v>
      </c>
      <c r="C59" s="2">
        <f t="shared" si="0"/>
        <v>1.4999999999999999E-7</v>
      </c>
      <c r="D59" s="2">
        <f>Calculo_FlyBack_Simples!$Q$28</f>
        <v>2.8E-5</v>
      </c>
      <c r="E59" s="26" t="str">
        <f>IF(Tabela3[[#This Row],[Capacitor_TCC]]&gt;Tabela3[[#This Row],[Em Faraday]],"Não","Sim")</f>
        <v>Não</v>
      </c>
      <c r="F59" s="1">
        <f>Calculo_FlyBack_Simples!$Q$24</f>
        <v>3.6180499999999992E-10</v>
      </c>
      <c r="G59" s="26" t="str">
        <f>IF(Tabela3[[#This Row],[Capacitor_Snubber_OFF]]&gt;Tabela3[[#This Row],[Em Faraday]],"Não","Sim")</f>
        <v>Sim</v>
      </c>
    </row>
    <row r="60" spans="1:7" x14ac:dyDescent="0.25">
      <c r="A60" s="2">
        <v>0.22</v>
      </c>
      <c r="B60" s="2">
        <v>9.9999999999999995E-7</v>
      </c>
      <c r="C60" s="2">
        <f t="shared" si="0"/>
        <v>2.1999999999999998E-7</v>
      </c>
      <c r="D60" s="2">
        <f>Calculo_FlyBack_Simples!$Q$28</f>
        <v>2.8E-5</v>
      </c>
      <c r="E60" s="26" t="str">
        <f>IF(Tabela3[[#This Row],[Capacitor_TCC]]&gt;Tabela3[[#This Row],[Em Faraday]],"Não","Sim")</f>
        <v>Não</v>
      </c>
      <c r="F60" s="1">
        <f>Calculo_FlyBack_Simples!$Q$24</f>
        <v>3.6180499999999992E-10</v>
      </c>
      <c r="G60" s="26" t="str">
        <f>IF(Tabela3[[#This Row],[Capacitor_Snubber_OFF]]&gt;Tabela3[[#This Row],[Em Faraday]],"Não","Sim")</f>
        <v>Sim</v>
      </c>
    </row>
    <row r="61" spans="1:7" x14ac:dyDescent="0.25">
      <c r="A61" s="2">
        <v>0.33</v>
      </c>
      <c r="B61" s="2">
        <v>9.9999999999999995E-7</v>
      </c>
      <c r="C61" s="2">
        <f t="shared" si="0"/>
        <v>3.3000000000000002E-7</v>
      </c>
      <c r="D61" s="2">
        <f>Calculo_FlyBack_Simples!$Q$28</f>
        <v>2.8E-5</v>
      </c>
      <c r="E61" s="26" t="str">
        <f>IF(Tabela3[[#This Row],[Capacitor_TCC]]&gt;Tabela3[[#This Row],[Em Faraday]],"Não","Sim")</f>
        <v>Não</v>
      </c>
      <c r="F61" s="1">
        <f>Calculo_FlyBack_Simples!$Q$24</f>
        <v>3.6180499999999992E-10</v>
      </c>
      <c r="G61" s="26" t="str">
        <f>IF(Tabela3[[#This Row],[Capacitor_Snubber_OFF]]&gt;Tabela3[[#This Row],[Em Faraday]],"Não","Sim")</f>
        <v>Sim</v>
      </c>
    </row>
    <row r="62" spans="1:7" x14ac:dyDescent="0.25">
      <c r="A62" s="2">
        <v>0.47</v>
      </c>
      <c r="B62" s="2">
        <v>9.9999999999999995E-7</v>
      </c>
      <c r="C62" s="2">
        <f t="shared" si="0"/>
        <v>4.6999999999999995E-7</v>
      </c>
      <c r="D62" s="2">
        <f>Calculo_FlyBack_Simples!$Q$28</f>
        <v>2.8E-5</v>
      </c>
      <c r="E62" s="26" t="str">
        <f>IF(Tabela3[[#This Row],[Capacitor_TCC]]&gt;Tabela3[[#This Row],[Em Faraday]],"Não","Sim")</f>
        <v>Não</v>
      </c>
      <c r="F62" s="1">
        <f>Calculo_FlyBack_Simples!$Q$24</f>
        <v>3.6180499999999992E-10</v>
      </c>
      <c r="G62" s="26" t="str">
        <f>IF(Tabela3[[#This Row],[Capacitor_Snubber_OFF]]&gt;Tabela3[[#This Row],[Em Faraday]],"Não","Sim")</f>
        <v>Sim</v>
      </c>
    </row>
    <row r="63" spans="1:7" x14ac:dyDescent="0.25">
      <c r="A63" s="2">
        <v>0.56000000000000005</v>
      </c>
      <c r="B63" s="2">
        <v>9.9999999999999995E-7</v>
      </c>
      <c r="C63" s="2">
        <f t="shared" si="0"/>
        <v>5.6000000000000004E-7</v>
      </c>
      <c r="D63" s="2">
        <f>Calculo_FlyBack_Simples!$Q$28</f>
        <v>2.8E-5</v>
      </c>
      <c r="E63" s="26" t="str">
        <f>IF(Tabela3[[#This Row],[Capacitor_TCC]]&gt;Tabela3[[#This Row],[Em Faraday]],"Não","Sim")</f>
        <v>Não</v>
      </c>
      <c r="F63" s="1">
        <f>Calculo_FlyBack_Simples!$Q$24</f>
        <v>3.6180499999999992E-10</v>
      </c>
      <c r="G63" s="26" t="str">
        <f>IF(Tabela3[[#This Row],[Capacitor_Snubber_OFF]]&gt;Tabela3[[#This Row],[Em Faraday]],"Não","Sim")</f>
        <v>Sim</v>
      </c>
    </row>
    <row r="64" spans="1:7" x14ac:dyDescent="0.25">
      <c r="A64" s="2">
        <v>0.68</v>
      </c>
      <c r="B64" s="2">
        <v>9.9999999999999995E-7</v>
      </c>
      <c r="C64" s="2">
        <f t="shared" si="0"/>
        <v>6.8000000000000005E-7</v>
      </c>
      <c r="D64" s="2">
        <f>Calculo_FlyBack_Simples!$Q$28</f>
        <v>2.8E-5</v>
      </c>
      <c r="E64" s="26" t="str">
        <f>IF(Tabela3[[#This Row],[Capacitor_TCC]]&gt;Tabela3[[#This Row],[Em Faraday]],"Não","Sim")</f>
        <v>Não</v>
      </c>
      <c r="F64" s="1">
        <f>Calculo_FlyBack_Simples!$Q$24</f>
        <v>3.6180499999999992E-10</v>
      </c>
      <c r="G64" s="26" t="str">
        <f>IF(Tabela3[[#This Row],[Capacitor_Snubber_OFF]]&gt;Tabela3[[#This Row],[Em Faraday]],"Não","Sim")</f>
        <v>Sim</v>
      </c>
    </row>
    <row r="65" spans="1:7" x14ac:dyDescent="0.25">
      <c r="A65" s="2">
        <v>1</v>
      </c>
      <c r="B65" s="2">
        <v>9.9999999999999995E-7</v>
      </c>
      <c r="C65" s="2">
        <f t="shared" si="0"/>
        <v>9.9999999999999995E-7</v>
      </c>
      <c r="D65" s="2">
        <f>Calculo_FlyBack_Simples!$Q$28</f>
        <v>2.8E-5</v>
      </c>
      <c r="E65" s="26" t="str">
        <f>IF(Tabela3[[#This Row],[Capacitor_TCC]]&gt;Tabela3[[#This Row],[Em Faraday]],"Não","Sim")</f>
        <v>Não</v>
      </c>
      <c r="F65" s="1">
        <f>Calculo_FlyBack_Simples!$Q$24</f>
        <v>3.6180499999999992E-10</v>
      </c>
      <c r="G65" s="26" t="str">
        <f>IF(Tabela3[[#This Row],[Capacitor_Snubber_OFF]]&gt;Tabela3[[#This Row],[Em Faraday]],"Não","Sim")</f>
        <v>Sim</v>
      </c>
    </row>
    <row r="66" spans="1:7" x14ac:dyDescent="0.25">
      <c r="A66" s="2">
        <v>1.5</v>
      </c>
      <c r="B66" s="2">
        <v>9.9999999999999995E-7</v>
      </c>
      <c r="C66" s="2">
        <f t="shared" si="0"/>
        <v>1.5E-6</v>
      </c>
      <c r="D66" s="2">
        <f>Calculo_FlyBack_Simples!$Q$28</f>
        <v>2.8E-5</v>
      </c>
      <c r="E66" s="26" t="str">
        <f>IF(Tabela3[[#This Row],[Capacitor_TCC]]&gt;Tabela3[[#This Row],[Em Faraday]],"Não","Sim")</f>
        <v>Não</v>
      </c>
      <c r="F66" s="1">
        <f>Calculo_FlyBack_Simples!$Q$24</f>
        <v>3.6180499999999992E-10</v>
      </c>
      <c r="G66" s="26" t="str">
        <f>IF(Tabela3[[#This Row],[Capacitor_Snubber_OFF]]&gt;Tabela3[[#This Row],[Em Faraday]],"Não","Sim")</f>
        <v>Sim</v>
      </c>
    </row>
    <row r="67" spans="1:7" x14ac:dyDescent="0.25">
      <c r="A67" s="2">
        <v>2.2000000000000002</v>
      </c>
      <c r="B67" s="2">
        <v>9.9999999999999995E-7</v>
      </c>
      <c r="C67" s="2">
        <f t="shared" ref="C67:C95" si="1">A67*B67</f>
        <v>2.2000000000000001E-6</v>
      </c>
      <c r="D67" s="2">
        <f>Calculo_FlyBack_Simples!$Q$28</f>
        <v>2.8E-5</v>
      </c>
      <c r="E67" s="26" t="str">
        <f>IF(Tabela3[[#This Row],[Capacitor_TCC]]&gt;Tabela3[[#This Row],[Em Faraday]],"Não","Sim")</f>
        <v>Não</v>
      </c>
      <c r="F67" s="1">
        <f>Calculo_FlyBack_Simples!$Q$24</f>
        <v>3.6180499999999992E-10</v>
      </c>
      <c r="G67" s="26" t="str">
        <f>IF(Tabela3[[#This Row],[Capacitor_Snubber_OFF]]&gt;Tabela3[[#This Row],[Em Faraday]],"Não","Sim")</f>
        <v>Sim</v>
      </c>
    </row>
    <row r="68" spans="1:7" x14ac:dyDescent="0.25">
      <c r="A68" s="2">
        <v>3.3</v>
      </c>
      <c r="B68" s="2">
        <v>9.9999999999999995E-7</v>
      </c>
      <c r="C68" s="2">
        <f t="shared" si="1"/>
        <v>3.2999999999999997E-6</v>
      </c>
      <c r="D68" s="2">
        <f>Calculo_FlyBack_Simples!$Q$28</f>
        <v>2.8E-5</v>
      </c>
      <c r="E68" s="26" t="str">
        <f>IF(Tabela3[[#This Row],[Capacitor_TCC]]&gt;Tabela3[[#This Row],[Em Faraday]],"Não","Sim")</f>
        <v>Não</v>
      </c>
      <c r="F68" s="1">
        <f>Calculo_FlyBack_Simples!$Q$24</f>
        <v>3.6180499999999992E-10</v>
      </c>
      <c r="G68" s="26" t="str">
        <f>IF(Tabela3[[#This Row],[Capacitor_Snubber_OFF]]&gt;Tabela3[[#This Row],[Em Faraday]],"Não","Sim")</f>
        <v>Sim</v>
      </c>
    </row>
    <row r="69" spans="1:7" x14ac:dyDescent="0.25">
      <c r="A69" s="2">
        <v>4.7</v>
      </c>
      <c r="B69" s="2">
        <v>9.9999999999999995E-7</v>
      </c>
      <c r="C69" s="2">
        <f t="shared" si="1"/>
        <v>4.6999999999999999E-6</v>
      </c>
      <c r="D69" s="2">
        <f>Calculo_FlyBack_Simples!$Q$28</f>
        <v>2.8E-5</v>
      </c>
      <c r="E69" s="26" t="str">
        <f>IF(Tabela3[[#This Row],[Capacitor_TCC]]&gt;Tabela3[[#This Row],[Em Faraday]],"Não","Sim")</f>
        <v>Não</v>
      </c>
      <c r="F69" s="1">
        <f>Calculo_FlyBack_Simples!$Q$24</f>
        <v>3.6180499999999992E-10</v>
      </c>
      <c r="G69" s="26" t="str">
        <f>IF(Tabela3[[#This Row],[Capacitor_Snubber_OFF]]&gt;Tabela3[[#This Row],[Em Faraday]],"Não","Sim")</f>
        <v>Sim</v>
      </c>
    </row>
    <row r="70" spans="1:7" x14ac:dyDescent="0.25">
      <c r="A70" s="2">
        <v>6.8</v>
      </c>
      <c r="B70" s="2">
        <v>9.9999999999999995E-7</v>
      </c>
      <c r="C70" s="2">
        <f t="shared" si="1"/>
        <v>6.7999999999999993E-6</v>
      </c>
      <c r="D70" s="2">
        <f>Calculo_FlyBack_Simples!$Q$28</f>
        <v>2.8E-5</v>
      </c>
      <c r="E70" s="26" t="str">
        <f>IF(Tabela3[[#This Row],[Capacitor_TCC]]&gt;Tabela3[[#This Row],[Em Faraday]],"Não","Sim")</f>
        <v>Não</v>
      </c>
      <c r="F70" s="1">
        <f>Calculo_FlyBack_Simples!$Q$24</f>
        <v>3.6180499999999992E-10</v>
      </c>
      <c r="G70" s="26" t="str">
        <f>IF(Tabela3[[#This Row],[Capacitor_Snubber_OFF]]&gt;Tabela3[[#This Row],[Em Faraday]],"Não","Sim")</f>
        <v>Sim</v>
      </c>
    </row>
    <row r="71" spans="1:7" x14ac:dyDescent="0.25">
      <c r="A71" s="2">
        <v>10</v>
      </c>
      <c r="B71" s="2">
        <v>9.9999999999999995E-7</v>
      </c>
      <c r="C71" s="2">
        <f t="shared" si="1"/>
        <v>9.9999999999999991E-6</v>
      </c>
      <c r="D71" s="2">
        <f>Calculo_FlyBack_Simples!$Q$28</f>
        <v>2.8E-5</v>
      </c>
      <c r="E71" s="26" t="str">
        <f>IF(Tabela3[[#This Row],[Capacitor_TCC]]&gt;Tabela3[[#This Row],[Em Faraday]],"Não","Sim")</f>
        <v>Não</v>
      </c>
      <c r="F71" s="1">
        <f>Calculo_FlyBack_Simples!$Q$24</f>
        <v>3.6180499999999992E-10</v>
      </c>
      <c r="G71" s="26" t="str">
        <f>IF(Tabela3[[#This Row],[Capacitor_Snubber_OFF]]&gt;Tabela3[[#This Row],[Em Faraday]],"Não","Sim")</f>
        <v>Sim</v>
      </c>
    </row>
    <row r="72" spans="1:7" x14ac:dyDescent="0.25">
      <c r="A72" s="2">
        <v>15</v>
      </c>
      <c r="B72" s="2">
        <v>9.9999999999999995E-7</v>
      </c>
      <c r="C72" s="2">
        <f t="shared" si="1"/>
        <v>1.4999999999999999E-5</v>
      </c>
      <c r="D72" s="2">
        <f>Calculo_FlyBack_Simples!$Q$28</f>
        <v>2.8E-5</v>
      </c>
      <c r="E72" s="26" t="str">
        <f>IF(Tabela3[[#This Row],[Capacitor_TCC]]&gt;Tabela3[[#This Row],[Em Faraday]],"Não","Sim")</f>
        <v>Não</v>
      </c>
      <c r="F72" s="1">
        <f>Calculo_FlyBack_Simples!$Q$24</f>
        <v>3.6180499999999992E-10</v>
      </c>
      <c r="G72" s="26" t="str">
        <f>IF(Tabela3[[#This Row],[Capacitor_Snubber_OFF]]&gt;Tabela3[[#This Row],[Em Faraday]],"Não","Sim")</f>
        <v>Sim</v>
      </c>
    </row>
    <row r="73" spans="1:7" x14ac:dyDescent="0.25">
      <c r="A73" s="2">
        <v>22</v>
      </c>
      <c r="B73" s="2">
        <v>9.9999999999999995E-7</v>
      </c>
      <c r="C73" s="2">
        <f t="shared" si="1"/>
        <v>2.1999999999999999E-5</v>
      </c>
      <c r="D73" s="2">
        <f>Calculo_FlyBack_Simples!$Q$28</f>
        <v>2.8E-5</v>
      </c>
      <c r="E73" s="26" t="str">
        <f>IF(Tabela3[[#This Row],[Capacitor_TCC]]&gt;Tabela3[[#This Row],[Em Faraday]],"Não","Sim")</f>
        <v>Não</v>
      </c>
      <c r="F73" s="1">
        <f>Calculo_FlyBack_Simples!$Q$24</f>
        <v>3.6180499999999992E-10</v>
      </c>
      <c r="G73" s="26" t="str">
        <f>IF(Tabela3[[#This Row],[Capacitor_Snubber_OFF]]&gt;Tabela3[[#This Row],[Em Faraday]],"Não","Sim")</f>
        <v>Sim</v>
      </c>
    </row>
    <row r="74" spans="1:7" x14ac:dyDescent="0.25">
      <c r="A74" s="2">
        <v>33</v>
      </c>
      <c r="B74" s="2">
        <v>9.9999999999999995E-7</v>
      </c>
      <c r="C74" s="2">
        <f t="shared" si="1"/>
        <v>3.2999999999999996E-5</v>
      </c>
      <c r="D74" s="2">
        <f>Calculo_FlyBack_Simples!$Q$28</f>
        <v>2.8E-5</v>
      </c>
      <c r="E74" s="26" t="str">
        <f>IF(Tabela3[[#This Row],[Capacitor_TCC]]&gt;Tabela3[[#This Row],[Em Faraday]],"Não","Sim")</f>
        <v>Sim</v>
      </c>
      <c r="F74" s="1">
        <f>Calculo_FlyBack_Simples!$Q$24</f>
        <v>3.6180499999999992E-10</v>
      </c>
      <c r="G74" s="26" t="str">
        <f>IF(Tabela3[[#This Row],[Capacitor_Snubber_OFF]]&gt;Tabela3[[#This Row],[Em Faraday]],"Não","Sim")</f>
        <v>Sim</v>
      </c>
    </row>
    <row r="75" spans="1:7" x14ac:dyDescent="0.25">
      <c r="A75" s="2">
        <v>47</v>
      </c>
      <c r="B75" s="2">
        <v>9.9999999999999995E-7</v>
      </c>
      <c r="C75" s="2">
        <f t="shared" si="1"/>
        <v>4.6999999999999997E-5</v>
      </c>
      <c r="D75" s="2">
        <f>Calculo_FlyBack_Simples!$Q$28</f>
        <v>2.8E-5</v>
      </c>
      <c r="E75" s="26" t="str">
        <f>IF(Tabela3[[#This Row],[Capacitor_TCC]]&gt;Tabela3[[#This Row],[Em Faraday]],"Não","Sim")</f>
        <v>Sim</v>
      </c>
      <c r="F75" s="1">
        <f>Calculo_FlyBack_Simples!$Q$24</f>
        <v>3.6180499999999992E-10</v>
      </c>
      <c r="G75" s="26" t="str">
        <f>IF(Tabela3[[#This Row],[Capacitor_Snubber_OFF]]&gt;Tabela3[[#This Row],[Em Faraday]],"Não","Sim")</f>
        <v>Sim</v>
      </c>
    </row>
    <row r="76" spans="1:7" x14ac:dyDescent="0.25">
      <c r="A76" s="2">
        <v>68</v>
      </c>
      <c r="B76" s="2">
        <v>9.9999999999999995E-7</v>
      </c>
      <c r="C76" s="2">
        <f t="shared" si="1"/>
        <v>6.7999999999999999E-5</v>
      </c>
      <c r="D76" s="2">
        <f>Calculo_FlyBack_Simples!$Q$28</f>
        <v>2.8E-5</v>
      </c>
      <c r="E76" s="26" t="str">
        <f>IF(Tabela3[[#This Row],[Capacitor_TCC]]&gt;Tabela3[[#This Row],[Em Faraday]],"Não","Sim")</f>
        <v>Sim</v>
      </c>
      <c r="F76" s="1">
        <f>Calculo_FlyBack_Simples!$Q$24</f>
        <v>3.6180499999999992E-10</v>
      </c>
      <c r="G76" s="26" t="str">
        <f>IF(Tabela3[[#This Row],[Capacitor_Snubber_OFF]]&gt;Tabela3[[#This Row],[Em Faraday]],"Não","Sim")</f>
        <v>Sim</v>
      </c>
    </row>
    <row r="77" spans="1:7" x14ac:dyDescent="0.25">
      <c r="A77" s="2">
        <v>100</v>
      </c>
      <c r="B77" s="2">
        <v>9.9999999999999995E-7</v>
      </c>
      <c r="C77" s="2">
        <f t="shared" si="1"/>
        <v>9.9999999999999991E-5</v>
      </c>
      <c r="D77" s="2">
        <f>Calculo_FlyBack_Simples!$Q$28</f>
        <v>2.8E-5</v>
      </c>
      <c r="E77" s="26" t="str">
        <f>IF(Tabela3[[#This Row],[Capacitor_TCC]]&gt;Tabela3[[#This Row],[Em Faraday]],"Não","Sim")</f>
        <v>Sim</v>
      </c>
      <c r="F77" s="1">
        <f>Calculo_FlyBack_Simples!$Q$24</f>
        <v>3.6180499999999992E-10</v>
      </c>
      <c r="G77" s="26" t="str">
        <f>IF(Tabela3[[#This Row],[Capacitor_Snubber_OFF]]&gt;Tabela3[[#This Row],[Em Faraday]],"Não","Sim")</f>
        <v>Sim</v>
      </c>
    </row>
    <row r="78" spans="1:7" x14ac:dyDescent="0.25">
      <c r="A78" s="2">
        <v>150</v>
      </c>
      <c r="B78" s="2">
        <v>9.9999999999999995E-7</v>
      </c>
      <c r="C78" s="2">
        <f t="shared" si="1"/>
        <v>1.4999999999999999E-4</v>
      </c>
      <c r="D78" s="2">
        <f>Calculo_FlyBack_Simples!$Q$28</f>
        <v>2.8E-5</v>
      </c>
      <c r="E78" s="26" t="str">
        <f>IF(Tabela3[[#This Row],[Capacitor_TCC]]&gt;Tabela3[[#This Row],[Em Faraday]],"Não","Sim")</f>
        <v>Sim</v>
      </c>
      <c r="F78" s="1">
        <f>Calculo_FlyBack_Simples!$Q$24</f>
        <v>3.6180499999999992E-10</v>
      </c>
      <c r="G78" s="26" t="str">
        <f>IF(Tabela3[[#This Row],[Capacitor_Snubber_OFF]]&gt;Tabela3[[#This Row],[Em Faraday]],"Não","Sim")</f>
        <v>Sim</v>
      </c>
    </row>
    <row r="79" spans="1:7" x14ac:dyDescent="0.25">
      <c r="A79" s="2">
        <v>220</v>
      </c>
      <c r="B79" s="2">
        <v>9.9999999999999995E-7</v>
      </c>
      <c r="C79" s="2">
        <f t="shared" si="1"/>
        <v>2.1999999999999998E-4</v>
      </c>
      <c r="D79" s="2">
        <f>Calculo_FlyBack_Simples!$Q$28</f>
        <v>2.8E-5</v>
      </c>
      <c r="E79" s="26" t="str">
        <f>IF(Tabela3[[#This Row],[Capacitor_TCC]]&gt;Tabela3[[#This Row],[Em Faraday]],"Não","Sim")</f>
        <v>Sim</v>
      </c>
      <c r="F79" s="1">
        <f>Calculo_FlyBack_Simples!$Q$24</f>
        <v>3.6180499999999992E-10</v>
      </c>
      <c r="G79" s="26" t="str">
        <f>IF(Tabela3[[#This Row],[Capacitor_Snubber_OFF]]&gt;Tabela3[[#This Row],[Em Faraday]],"Não","Sim")</f>
        <v>Sim</v>
      </c>
    </row>
    <row r="80" spans="1:7" x14ac:dyDescent="0.25">
      <c r="A80" s="2">
        <v>330</v>
      </c>
      <c r="B80" s="2">
        <v>9.9999999999999995E-7</v>
      </c>
      <c r="C80" s="2">
        <f t="shared" si="1"/>
        <v>3.3E-4</v>
      </c>
      <c r="D80" s="2">
        <f>Calculo_FlyBack_Simples!$Q$28</f>
        <v>2.8E-5</v>
      </c>
      <c r="E80" s="26" t="str">
        <f>IF(Tabela3[[#This Row],[Capacitor_TCC]]&gt;Tabela3[[#This Row],[Em Faraday]],"Não","Sim")</f>
        <v>Sim</v>
      </c>
      <c r="F80" s="1">
        <f>Calculo_FlyBack_Simples!$Q$24</f>
        <v>3.6180499999999992E-10</v>
      </c>
      <c r="G80" s="26" t="str">
        <f>IF(Tabela3[[#This Row],[Capacitor_Snubber_OFF]]&gt;Tabela3[[#This Row],[Em Faraday]],"Não","Sim")</f>
        <v>Sim</v>
      </c>
    </row>
    <row r="81" spans="1:7" x14ac:dyDescent="0.25">
      <c r="A81" s="2">
        <v>470</v>
      </c>
      <c r="B81" s="2">
        <v>9.9999999999999995E-7</v>
      </c>
      <c r="C81" s="2">
        <f t="shared" si="1"/>
        <v>4.6999999999999999E-4</v>
      </c>
      <c r="D81" s="2">
        <f>Calculo_FlyBack_Simples!$Q$28</f>
        <v>2.8E-5</v>
      </c>
      <c r="E81" s="26" t="str">
        <f>IF(Tabela3[[#This Row],[Capacitor_TCC]]&gt;Tabela3[[#This Row],[Em Faraday]],"Não","Sim")</f>
        <v>Sim</v>
      </c>
      <c r="F81" s="1">
        <f>Calculo_FlyBack_Simples!$Q$24</f>
        <v>3.6180499999999992E-10</v>
      </c>
      <c r="G81" s="26" t="str">
        <f>IF(Tabela3[[#This Row],[Capacitor_Snubber_OFF]]&gt;Tabela3[[#This Row],[Em Faraday]],"Não","Sim")</f>
        <v>Sim</v>
      </c>
    </row>
    <row r="82" spans="1:7" x14ac:dyDescent="0.25">
      <c r="A82" s="2">
        <v>680</v>
      </c>
      <c r="B82" s="2">
        <v>9.9999999999999995E-7</v>
      </c>
      <c r="C82" s="2">
        <f t="shared" si="1"/>
        <v>6.7999999999999994E-4</v>
      </c>
      <c r="D82" s="2">
        <f>Calculo_FlyBack_Simples!$Q$28</f>
        <v>2.8E-5</v>
      </c>
      <c r="E82" s="26" t="str">
        <f>IF(Tabela3[[#This Row],[Capacitor_TCC]]&gt;Tabela3[[#This Row],[Em Faraday]],"Não","Sim")</f>
        <v>Sim</v>
      </c>
      <c r="F82" s="1">
        <f>Calculo_FlyBack_Simples!$Q$24</f>
        <v>3.6180499999999992E-10</v>
      </c>
      <c r="G82" s="26" t="str">
        <f>IF(Tabela3[[#This Row],[Capacitor_Snubber_OFF]]&gt;Tabela3[[#This Row],[Em Faraday]],"Não","Sim")</f>
        <v>Sim</v>
      </c>
    </row>
    <row r="83" spans="1:7" x14ac:dyDescent="0.25">
      <c r="A83" s="2">
        <v>1000</v>
      </c>
      <c r="B83" s="2">
        <v>9.9999999999999995E-7</v>
      </c>
      <c r="C83" s="2">
        <f t="shared" si="1"/>
        <v>1E-3</v>
      </c>
      <c r="D83" s="2">
        <f>Calculo_FlyBack_Simples!$Q$28</f>
        <v>2.8E-5</v>
      </c>
      <c r="E83" s="26" t="str">
        <f>IF(Tabela3[[#This Row],[Capacitor_TCC]]&gt;Tabela3[[#This Row],[Em Faraday]],"Não","Sim")</f>
        <v>Sim</v>
      </c>
      <c r="F83" s="1">
        <f>Calculo_FlyBack_Simples!$Q$24</f>
        <v>3.6180499999999992E-10</v>
      </c>
      <c r="G83" s="26" t="str">
        <f>IF(Tabela3[[#This Row],[Capacitor_Snubber_OFF]]&gt;Tabela3[[#This Row],[Em Faraday]],"Não","Sim")</f>
        <v>Sim</v>
      </c>
    </row>
    <row r="84" spans="1:7" x14ac:dyDescent="0.25">
      <c r="A84" s="2">
        <v>1500</v>
      </c>
      <c r="B84" s="2">
        <v>9.9999999999999995E-7</v>
      </c>
      <c r="C84" s="2">
        <f t="shared" si="1"/>
        <v>1.5E-3</v>
      </c>
      <c r="D84" s="2">
        <f>Calculo_FlyBack_Simples!$Q$28</f>
        <v>2.8E-5</v>
      </c>
      <c r="E84" s="26" t="str">
        <f>IF(Tabela3[[#This Row],[Capacitor_TCC]]&gt;Tabela3[[#This Row],[Em Faraday]],"Não","Sim")</f>
        <v>Sim</v>
      </c>
      <c r="F84" s="1">
        <f>Calculo_FlyBack_Simples!$Q$24</f>
        <v>3.6180499999999992E-10</v>
      </c>
      <c r="G84" s="26" t="str">
        <f>IF(Tabela3[[#This Row],[Capacitor_Snubber_OFF]]&gt;Tabela3[[#This Row],[Em Faraday]],"Não","Sim")</f>
        <v>Sim</v>
      </c>
    </row>
    <row r="85" spans="1:7" x14ac:dyDescent="0.25">
      <c r="A85" s="2">
        <v>2200</v>
      </c>
      <c r="B85" s="2">
        <v>9.9999999999999995E-7</v>
      </c>
      <c r="C85" s="2">
        <f t="shared" si="1"/>
        <v>2.1999999999999997E-3</v>
      </c>
      <c r="D85" s="2">
        <f>Calculo_FlyBack_Simples!$Q$28</f>
        <v>2.8E-5</v>
      </c>
      <c r="E85" s="26" t="str">
        <f>IF(Tabela3[[#This Row],[Capacitor_TCC]]&gt;Tabela3[[#This Row],[Em Faraday]],"Não","Sim")</f>
        <v>Sim</v>
      </c>
      <c r="F85" s="1">
        <f>Calculo_FlyBack_Simples!$Q$24</f>
        <v>3.6180499999999992E-10</v>
      </c>
      <c r="G85" s="26" t="str">
        <f>IF(Tabela3[[#This Row],[Capacitor_Snubber_OFF]]&gt;Tabela3[[#This Row],[Em Faraday]],"Não","Sim")</f>
        <v>Sim</v>
      </c>
    </row>
    <row r="86" spans="1:7" x14ac:dyDescent="0.25">
      <c r="A86" s="2">
        <v>3300</v>
      </c>
      <c r="B86" s="2">
        <v>9.9999999999999995E-7</v>
      </c>
      <c r="C86" s="2">
        <f t="shared" si="1"/>
        <v>3.3E-3</v>
      </c>
      <c r="D86" s="2">
        <f>Calculo_FlyBack_Simples!$Q$28</f>
        <v>2.8E-5</v>
      </c>
      <c r="E86" s="26" t="str">
        <f>IF(Tabela3[[#This Row],[Capacitor_TCC]]&gt;Tabela3[[#This Row],[Em Faraday]],"Não","Sim")</f>
        <v>Sim</v>
      </c>
      <c r="F86" s="1">
        <f>Calculo_FlyBack_Simples!$Q$24</f>
        <v>3.6180499999999992E-10</v>
      </c>
      <c r="G86" s="26" t="str">
        <f>IF(Tabela3[[#This Row],[Capacitor_Snubber_OFF]]&gt;Tabela3[[#This Row],[Em Faraday]],"Não","Sim")</f>
        <v>Sim</v>
      </c>
    </row>
    <row r="87" spans="1:7" x14ac:dyDescent="0.25">
      <c r="A87" s="2">
        <v>4700</v>
      </c>
      <c r="B87" s="2">
        <v>9.9999999999999995E-7</v>
      </c>
      <c r="C87" s="2">
        <f t="shared" si="1"/>
        <v>4.7000000000000002E-3</v>
      </c>
      <c r="D87" s="2">
        <f>Calculo_FlyBack_Simples!$Q$28</f>
        <v>2.8E-5</v>
      </c>
      <c r="E87" s="26" t="str">
        <f>IF(Tabela3[[#This Row],[Capacitor_TCC]]&gt;Tabela3[[#This Row],[Em Faraday]],"Não","Sim")</f>
        <v>Sim</v>
      </c>
      <c r="F87" s="1">
        <f>Calculo_FlyBack_Simples!$Q$24</f>
        <v>3.6180499999999992E-10</v>
      </c>
      <c r="G87" s="26" t="str">
        <f>IF(Tabela3[[#This Row],[Capacitor_Snubber_OFF]]&gt;Tabela3[[#This Row],[Em Faraday]],"Não","Sim")</f>
        <v>Sim</v>
      </c>
    </row>
    <row r="88" spans="1:7" x14ac:dyDescent="0.25">
      <c r="A88" s="2">
        <v>6800</v>
      </c>
      <c r="B88" s="2">
        <v>9.9999999999999995E-7</v>
      </c>
      <c r="C88" s="2">
        <f t="shared" si="1"/>
        <v>6.7999999999999996E-3</v>
      </c>
      <c r="D88" s="2">
        <f>Calculo_FlyBack_Simples!$Q$28</f>
        <v>2.8E-5</v>
      </c>
      <c r="E88" s="26" t="str">
        <f>IF(Tabela3[[#This Row],[Capacitor_TCC]]&gt;Tabela3[[#This Row],[Em Faraday]],"Não","Sim")</f>
        <v>Sim</v>
      </c>
      <c r="F88" s="1">
        <f>Calculo_FlyBack_Simples!$Q$24</f>
        <v>3.6180499999999992E-10</v>
      </c>
      <c r="G88" s="26" t="str">
        <f>IF(Tabela3[[#This Row],[Capacitor_Snubber_OFF]]&gt;Tabela3[[#This Row],[Em Faraday]],"Não","Sim")</f>
        <v>Sim</v>
      </c>
    </row>
    <row r="89" spans="1:7" x14ac:dyDescent="0.25">
      <c r="A89" s="2">
        <v>10000</v>
      </c>
      <c r="B89" s="2">
        <v>9.9999999999999995E-7</v>
      </c>
      <c r="C89" s="2">
        <f t="shared" si="1"/>
        <v>0.01</v>
      </c>
      <c r="D89" s="2">
        <f>Calculo_FlyBack_Simples!$Q$28</f>
        <v>2.8E-5</v>
      </c>
      <c r="E89" s="26" t="str">
        <f>IF(Tabela3[[#This Row],[Capacitor_TCC]]&gt;Tabela3[[#This Row],[Em Faraday]],"Não","Sim")</f>
        <v>Sim</v>
      </c>
      <c r="F89" s="1">
        <f>Calculo_FlyBack_Simples!$Q$24</f>
        <v>3.6180499999999992E-10</v>
      </c>
      <c r="G89" s="26" t="str">
        <f>IF(Tabela3[[#This Row],[Capacitor_Snubber_OFF]]&gt;Tabela3[[#This Row],[Em Faraday]],"Não","Sim")</f>
        <v>Sim</v>
      </c>
    </row>
    <row r="90" spans="1:7" x14ac:dyDescent="0.25">
      <c r="A90" s="2">
        <v>15000</v>
      </c>
      <c r="B90" s="2">
        <v>9.9999999999999995E-7</v>
      </c>
      <c r="C90" s="2">
        <f t="shared" si="1"/>
        <v>1.4999999999999999E-2</v>
      </c>
      <c r="D90" s="2">
        <f>Calculo_FlyBack_Simples!$Q$28</f>
        <v>2.8E-5</v>
      </c>
      <c r="E90" s="26" t="str">
        <f>IF(Tabela3[[#This Row],[Capacitor_TCC]]&gt;Tabela3[[#This Row],[Em Faraday]],"Não","Sim")</f>
        <v>Sim</v>
      </c>
      <c r="F90" s="1">
        <f>Calculo_FlyBack_Simples!$Q$24</f>
        <v>3.6180499999999992E-10</v>
      </c>
      <c r="G90" s="26" t="str">
        <f>IF(Tabela3[[#This Row],[Capacitor_Snubber_OFF]]&gt;Tabela3[[#This Row],[Em Faraday]],"Não","Sim")</f>
        <v>Sim</v>
      </c>
    </row>
    <row r="91" spans="1:7" x14ac:dyDescent="0.25">
      <c r="A91" s="2">
        <v>22000</v>
      </c>
      <c r="B91" s="2">
        <v>9.9999999999999995E-7</v>
      </c>
      <c r="C91" s="2">
        <f t="shared" si="1"/>
        <v>2.1999999999999999E-2</v>
      </c>
      <c r="D91" s="2">
        <f>Calculo_FlyBack_Simples!$Q$28</f>
        <v>2.8E-5</v>
      </c>
      <c r="E91" s="26" t="str">
        <f>IF(Tabela3[[#This Row],[Capacitor_TCC]]&gt;Tabela3[[#This Row],[Em Faraday]],"Não","Sim")</f>
        <v>Sim</v>
      </c>
      <c r="F91" s="1">
        <f>Calculo_FlyBack_Simples!$Q$24</f>
        <v>3.6180499999999992E-10</v>
      </c>
      <c r="G91" s="26" t="str">
        <f>IF(Tabela3[[#This Row],[Capacitor_Snubber_OFF]]&gt;Tabela3[[#This Row],[Em Faraday]],"Não","Sim")</f>
        <v>Sim</v>
      </c>
    </row>
    <row r="92" spans="1:7" x14ac:dyDescent="0.25">
      <c r="A92" s="2">
        <v>47000</v>
      </c>
      <c r="B92" s="2">
        <v>9.9999999999999995E-7</v>
      </c>
      <c r="C92" s="2">
        <f t="shared" si="1"/>
        <v>4.7E-2</v>
      </c>
      <c r="D92" s="2">
        <f>Calculo_FlyBack_Simples!$Q$28</f>
        <v>2.8E-5</v>
      </c>
      <c r="E92" s="26" t="str">
        <f>IF(Tabela3[[#This Row],[Capacitor_TCC]]&gt;Tabela3[[#This Row],[Em Faraday]],"Não","Sim")</f>
        <v>Sim</v>
      </c>
      <c r="F92" s="1">
        <f>Calculo_FlyBack_Simples!$Q$24</f>
        <v>3.6180499999999992E-10</v>
      </c>
      <c r="G92" s="26" t="str">
        <f>IF(Tabela3[[#This Row],[Capacitor_Snubber_OFF]]&gt;Tabela3[[#This Row],[Em Faraday]],"Não","Sim")</f>
        <v>Sim</v>
      </c>
    </row>
    <row r="93" spans="1:7" x14ac:dyDescent="0.25">
      <c r="A93" s="2">
        <v>100000</v>
      </c>
      <c r="B93" s="2">
        <v>9.9999999999999995E-7</v>
      </c>
      <c r="C93" s="2">
        <f t="shared" si="1"/>
        <v>9.9999999999999992E-2</v>
      </c>
      <c r="D93" s="2">
        <f>Calculo_FlyBack_Simples!$Q$28</f>
        <v>2.8E-5</v>
      </c>
      <c r="E93" s="26" t="str">
        <f>IF(Tabela3[[#This Row],[Capacitor_TCC]]&gt;Tabela3[[#This Row],[Em Faraday]],"Não","Sim")</f>
        <v>Sim</v>
      </c>
      <c r="F93" s="1">
        <f>Calculo_FlyBack_Simples!$Q$24</f>
        <v>3.6180499999999992E-10</v>
      </c>
      <c r="G93" s="26" t="str">
        <f>IF(Tabela3[[#This Row],[Capacitor_Snubber_OFF]]&gt;Tabela3[[#This Row],[Em Faraday]],"Não","Sim")</f>
        <v>Sim</v>
      </c>
    </row>
    <row r="94" spans="1:7" x14ac:dyDescent="0.25">
      <c r="A94" s="2">
        <v>470000</v>
      </c>
      <c r="B94" s="2">
        <v>9.9999999999999995E-7</v>
      </c>
      <c r="C94" s="2">
        <f t="shared" si="1"/>
        <v>0.47</v>
      </c>
      <c r="D94" s="2">
        <f>Calculo_FlyBack_Simples!$Q$28</f>
        <v>2.8E-5</v>
      </c>
      <c r="E94" s="26" t="str">
        <f>IF(Tabela3[[#This Row],[Capacitor_TCC]]&gt;Tabela3[[#This Row],[Em Faraday]],"Não","Sim")</f>
        <v>Sim</v>
      </c>
      <c r="F94" s="1">
        <f>Calculo_FlyBack_Simples!$Q$24</f>
        <v>3.6180499999999992E-10</v>
      </c>
      <c r="G94" s="26" t="str">
        <f>IF(Tabela3[[#This Row],[Capacitor_Snubber_OFF]]&gt;Tabela3[[#This Row],[Em Faraday]],"Não","Sim")</f>
        <v>Sim</v>
      </c>
    </row>
    <row r="95" spans="1:7" x14ac:dyDescent="0.25">
      <c r="A95" s="2">
        <v>1000000</v>
      </c>
      <c r="B95" s="2">
        <v>9.9999999999999995E-7</v>
      </c>
      <c r="C95" s="2">
        <f t="shared" si="1"/>
        <v>1</v>
      </c>
      <c r="D95" s="2">
        <f>Calculo_FlyBack_Simples!$Q$28</f>
        <v>2.8E-5</v>
      </c>
      <c r="E95" s="26" t="str">
        <f>IF(Tabela3[[#This Row],[Capacitor_TCC]]&gt;Tabela3[[#This Row],[Em Faraday]],"Não","Sim")</f>
        <v>Sim</v>
      </c>
      <c r="F95" s="1">
        <f>Calculo_FlyBack_Simples!$Q$24</f>
        <v>3.6180499999999992E-10</v>
      </c>
      <c r="G95" s="26" t="str">
        <f>IF(Tabela3[[#This Row],[Capacitor_Snubber_OFF]]&gt;Tabela3[[#This Row],[Em Faraday]],"Não","Sim")</f>
        <v>Sim</v>
      </c>
    </row>
  </sheetData>
  <phoneticPr fontId="6" type="noConversion"/>
  <conditionalFormatting sqref="E1:E95">
    <cfRule type="cellIs" dxfId="3" priority="1" operator="equal">
      <formula>"Sim"</formula>
    </cfRule>
    <cfRule type="cellIs" dxfId="2" priority="2" operator="equal">
      <formula>"Não"</formula>
    </cfRule>
  </conditionalFormatting>
  <conditionalFormatting sqref="G1:G1048576">
    <cfRule type="cellIs" dxfId="1" priority="5" operator="equal">
      <formula>"Sim"</formula>
    </cfRule>
    <cfRule type="cellIs" dxfId="0" priority="6" operator="equal">
      <formula>"Não"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7A2EB-EEFA-4655-9A19-49155C84B77E}">
  <dimension ref="M26:AI46"/>
  <sheetViews>
    <sheetView workbookViewId="0"/>
  </sheetViews>
  <sheetFormatPr defaultRowHeight="15" x14ac:dyDescent="0.25"/>
  <cols>
    <col min="25" max="25" width="12.140625" bestFit="1" customWidth="1"/>
    <col min="29" max="29" width="12.140625" bestFit="1" customWidth="1"/>
    <col min="35" max="35" width="12.140625" bestFit="1" customWidth="1"/>
  </cols>
  <sheetData>
    <row r="26" spans="14:14" x14ac:dyDescent="0.25">
      <c r="N26" s="32" t="s">
        <v>504</v>
      </c>
    </row>
    <row r="27" spans="14:14" x14ac:dyDescent="0.25">
      <c r="N27" s="32" t="s">
        <v>505</v>
      </c>
    </row>
    <row r="33" spans="13:35" x14ac:dyDescent="0.25">
      <c r="M33">
        <f>15-1</f>
        <v>14</v>
      </c>
    </row>
    <row r="35" spans="13:35" x14ac:dyDescent="0.25">
      <c r="O35" t="s">
        <v>506</v>
      </c>
      <c r="P35">
        <v>100</v>
      </c>
      <c r="Q35" t="s">
        <v>28</v>
      </c>
      <c r="S35" t="s">
        <v>506</v>
      </c>
      <c r="T35">
        <f>(T37/T38)*1000</f>
        <v>176.47058823529412</v>
      </c>
      <c r="U35" t="s">
        <v>28</v>
      </c>
      <c r="V35" t="s">
        <v>506</v>
      </c>
      <c r="W35">
        <f>(W37/W38)*1000</f>
        <v>17.647058823529413</v>
      </c>
      <c r="X35" t="s">
        <v>28</v>
      </c>
      <c r="Y35" s="37">
        <f>W35/P35</f>
        <v>0.17647058823529413</v>
      </c>
      <c r="Z35" t="s">
        <v>506</v>
      </c>
      <c r="AA35">
        <f>(AA37/AA38)*1000</f>
        <v>15</v>
      </c>
      <c r="AB35" t="s">
        <v>28</v>
      </c>
      <c r="AC35" s="37">
        <f>AA35/P35</f>
        <v>0.15</v>
      </c>
      <c r="AD35" t="s">
        <v>506</v>
      </c>
      <c r="AE35">
        <f>(AE37/AE38)*1000</f>
        <v>150</v>
      </c>
      <c r="AF35" t="s">
        <v>28</v>
      </c>
    </row>
    <row r="36" spans="13:35" x14ac:dyDescent="0.25">
      <c r="O36" t="s">
        <v>506</v>
      </c>
      <c r="P36">
        <f>P35/1000</f>
        <v>0.1</v>
      </c>
      <c r="Q36" t="s">
        <v>31</v>
      </c>
      <c r="S36" t="s">
        <v>506</v>
      </c>
      <c r="T36">
        <f>T35/1000</f>
        <v>0.17647058823529413</v>
      </c>
      <c r="U36" t="s">
        <v>31</v>
      </c>
      <c r="V36" t="s">
        <v>506</v>
      </c>
      <c r="W36">
        <f>W35/1000</f>
        <v>1.7647058823529412E-2</v>
      </c>
      <c r="X36" t="s">
        <v>31</v>
      </c>
      <c r="Z36" t="s">
        <v>506</v>
      </c>
      <c r="AA36">
        <f>AA35/1000</f>
        <v>1.4999999999999999E-2</v>
      </c>
      <c r="AB36" t="s">
        <v>31</v>
      </c>
      <c r="AD36" t="s">
        <v>506</v>
      </c>
      <c r="AE36">
        <f>AE35/1000</f>
        <v>0.15</v>
      </c>
      <c r="AF36" t="s">
        <v>31</v>
      </c>
    </row>
    <row r="37" spans="13:35" x14ac:dyDescent="0.25">
      <c r="O37" t="s">
        <v>507</v>
      </c>
      <c r="P37">
        <v>12</v>
      </c>
      <c r="S37" t="s">
        <v>507</v>
      </c>
      <c r="T37">
        <v>12</v>
      </c>
      <c r="V37" t="s">
        <v>507</v>
      </c>
      <c r="W37">
        <v>12</v>
      </c>
      <c r="Z37" t="s">
        <v>507</v>
      </c>
      <c r="AA37">
        <v>15</v>
      </c>
      <c r="AD37" t="s">
        <v>507</v>
      </c>
      <c r="AE37">
        <v>15</v>
      </c>
    </row>
    <row r="38" spans="13:35" x14ac:dyDescent="0.25">
      <c r="O38" t="s">
        <v>508</v>
      </c>
      <c r="P38">
        <f>P37/P36</f>
        <v>120</v>
      </c>
      <c r="Q38" t="s">
        <v>71</v>
      </c>
      <c r="S38" t="s">
        <v>508</v>
      </c>
      <c r="T38">
        <v>68</v>
      </c>
      <c r="U38" t="s">
        <v>71</v>
      </c>
      <c r="V38" t="s">
        <v>508</v>
      </c>
      <c r="W38">
        <v>680</v>
      </c>
      <c r="X38" t="s">
        <v>71</v>
      </c>
      <c r="Z38" t="s">
        <v>508</v>
      </c>
      <c r="AA38">
        <v>1000</v>
      </c>
      <c r="AB38" t="s">
        <v>71</v>
      </c>
      <c r="AD38" t="s">
        <v>508</v>
      </c>
      <c r="AE38">
        <v>100</v>
      </c>
      <c r="AF38" t="s">
        <v>71</v>
      </c>
    </row>
    <row r="40" spans="13:35" x14ac:dyDescent="0.25">
      <c r="T40">
        <f>T35/W35</f>
        <v>10</v>
      </c>
    </row>
    <row r="41" spans="13:35" x14ac:dyDescent="0.25">
      <c r="AA41">
        <f>AE35/AA35</f>
        <v>10</v>
      </c>
    </row>
    <row r="43" spans="13:35" x14ac:dyDescent="0.25">
      <c r="AE43" t="s">
        <v>9</v>
      </c>
      <c r="AF43">
        <v>5</v>
      </c>
      <c r="AG43">
        <v>12</v>
      </c>
      <c r="AH43">
        <v>12</v>
      </c>
      <c r="AI43">
        <v>12</v>
      </c>
    </row>
    <row r="44" spans="13:35" x14ac:dyDescent="0.25">
      <c r="AE44" t="s">
        <v>509</v>
      </c>
      <c r="AF44" s="38">
        <f>2/1000</f>
        <v>2E-3</v>
      </c>
      <c r="AG44">
        <f>AG43/AG45</f>
        <v>1.7647058823529412E-2</v>
      </c>
      <c r="AH44">
        <f>AH43/AH45</f>
        <v>0.17647058823529413</v>
      </c>
      <c r="AI44">
        <f>AI43/AI45</f>
        <v>5.454545454545455E-3</v>
      </c>
    </row>
    <row r="45" spans="13:35" x14ac:dyDescent="0.25">
      <c r="AE45" t="s">
        <v>510</v>
      </c>
      <c r="AF45">
        <f>AF43/AF44</f>
        <v>2500</v>
      </c>
      <c r="AG45">
        <v>680</v>
      </c>
      <c r="AH45">
        <v>68</v>
      </c>
      <c r="AI45">
        <v>2200</v>
      </c>
    </row>
    <row r="46" spans="13:35" x14ac:dyDescent="0.25">
      <c r="AF46">
        <f>AF44*1000</f>
        <v>2</v>
      </c>
      <c r="AG46">
        <f t="shared" ref="AG46:AI46" si="0">AG44*1000</f>
        <v>17.647058823529413</v>
      </c>
      <c r="AH46">
        <f t="shared" si="0"/>
        <v>176.47058823529412</v>
      </c>
      <c r="AI46">
        <f t="shared" si="0"/>
        <v>5.454545454545455</v>
      </c>
    </row>
  </sheetData>
  <hyperlinks>
    <hyperlink ref="N26" r:id="rId1" display="https://eltgeral.com.br/tipos-de-gate-driver-para-mosfet-e-igbt/" xr:uid="{B5D05EF4-D742-41C0-BE0F-F209502055DB}"/>
    <hyperlink ref="N27" r:id="rId2" display="https://www.youtube.com/watch?v=WKcHU6leRBc" xr:uid="{8FD116A6-0377-4CA4-8574-1F68F56BFF2D}"/>
  </hyperlinks>
  <pageMargins left="0.511811024" right="0.511811024" top="0.78740157499999996" bottom="0.78740157499999996" header="0.31496062000000002" footer="0.3149606200000000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6F05-8AF9-4DEC-9991-46B0FADD1D64}">
  <dimension ref="A1:P63"/>
  <sheetViews>
    <sheetView workbookViewId="0">
      <pane xSplit="1" topLeftCell="B1" activePane="topRight" state="frozen"/>
      <selection pane="topRight" activeCell="F22" sqref="F22"/>
    </sheetView>
  </sheetViews>
  <sheetFormatPr defaultRowHeight="15" x14ac:dyDescent="0.25"/>
  <cols>
    <col min="1" max="1" width="16.140625" style="2" bestFit="1" customWidth="1"/>
    <col min="2" max="2" width="13.42578125" style="2" bestFit="1" customWidth="1"/>
    <col min="3" max="3" width="15.42578125" style="11" bestFit="1" customWidth="1"/>
    <col min="4" max="4" width="18.140625" style="2" bestFit="1" customWidth="1"/>
    <col min="5" max="5" width="13.42578125" style="2" bestFit="1" customWidth="1"/>
    <col min="6" max="6" width="15.42578125" style="11" bestFit="1" customWidth="1"/>
    <col min="7" max="7" width="18.140625" style="2" bestFit="1" customWidth="1"/>
    <col min="8" max="8" width="13.42578125" style="2" bestFit="1" customWidth="1"/>
    <col min="9" max="9" width="15.42578125" style="11" bestFit="1" customWidth="1"/>
    <col min="10" max="10" width="18.140625" style="2" bestFit="1" customWidth="1"/>
    <col min="11" max="11" width="13.42578125" style="2" bestFit="1" customWidth="1"/>
    <col min="12" max="12" width="15.42578125" style="2" bestFit="1" customWidth="1"/>
    <col min="13" max="13" width="18.140625" style="2" bestFit="1" customWidth="1"/>
    <col min="14" max="14" width="15.28515625" style="2" bestFit="1" customWidth="1"/>
    <col min="15" max="15" width="15.42578125" style="2" bestFit="1" customWidth="1"/>
    <col min="16" max="16" width="16.28515625" style="2" bestFit="1" customWidth="1"/>
    <col min="17" max="16384" width="9.140625" style="2"/>
  </cols>
  <sheetData>
    <row r="1" spans="1:16" x14ac:dyDescent="0.25">
      <c r="A1" s="2" t="s">
        <v>511</v>
      </c>
      <c r="B1" s="2" t="s">
        <v>541</v>
      </c>
      <c r="C1" s="11" t="s">
        <v>546</v>
      </c>
      <c r="D1" s="2" t="s">
        <v>550</v>
      </c>
      <c r="E1" s="2" t="s">
        <v>542</v>
      </c>
      <c r="F1" s="11" t="s">
        <v>543</v>
      </c>
      <c r="G1" s="2" t="s">
        <v>544</v>
      </c>
      <c r="H1" s="2" t="s">
        <v>547</v>
      </c>
      <c r="I1" s="11" t="s">
        <v>548</v>
      </c>
      <c r="J1" s="2" t="s">
        <v>545</v>
      </c>
      <c r="K1" s="2" t="s">
        <v>549</v>
      </c>
      <c r="L1" s="11" t="s">
        <v>551</v>
      </c>
      <c r="M1" s="2" t="s">
        <v>552</v>
      </c>
      <c r="N1" s="2" t="s">
        <v>569</v>
      </c>
      <c r="O1" s="11" t="s">
        <v>570</v>
      </c>
      <c r="P1" s="2" t="s">
        <v>571</v>
      </c>
    </row>
    <row r="2" spans="1:16" x14ac:dyDescent="0.25">
      <c r="A2" s="2">
        <v>1</v>
      </c>
      <c r="B2" s="2">
        <f>Estudo_Drive!$S$4</f>
        <v>47.244094488188978</v>
      </c>
      <c r="C2" s="11">
        <f>Tabela2[[#This Row],[Resistencia]]/Tabela2[[#This Row],[R3_Novo]]</f>
        <v>2.1166666666666667E-2</v>
      </c>
      <c r="D2" s="2" t="str">
        <f>IF(Tabela2[[#This Row],[% R3_Novo]]&lt;0.85,"Não","Sim")</f>
        <v>Não</v>
      </c>
      <c r="E2" s="2">
        <f>Estudo_Drive!$S$20</f>
        <v>444.88188976377955</v>
      </c>
      <c r="F2" s="11">
        <f>Tabela2[[#This Row],[Resistencia]]/Tabela2[[#This Row],[R2_Novo]]</f>
        <v>2.2477876106194688E-3</v>
      </c>
      <c r="G2" s="2" t="str">
        <f>IF(Tabela2[[#This Row],[% R2_Novo]]&lt;0.9,"Não","Sim")</f>
        <v>Não</v>
      </c>
      <c r="H2" s="2">
        <f>Estudo_Drive!$S$24</f>
        <v>4448.818897637796</v>
      </c>
      <c r="I2" s="11">
        <f>Tabela2[[#This Row],[Resistencia]]/Tabela2[[#This Row],[R1_Novo]]</f>
        <v>2.2477876106194686E-4</v>
      </c>
      <c r="J2" s="2" t="str">
        <f>IF(Tabela2[[#This Row],[% R1_Novo]]&lt;0.9,"Não","Sim")</f>
        <v>Não</v>
      </c>
      <c r="K2" s="2">
        <f>Estudo_Drive!$S$28</f>
        <v>16929.133858267716</v>
      </c>
      <c r="L2" s="11">
        <f>Tabela2[[#This Row],[Resistencia]]/Tabela2[[#This Row],[Rg_Novo]]</f>
        <v>5.9069767441860468E-5</v>
      </c>
      <c r="M2" s="2" t="str">
        <f>IF(Tabela2[[#This Row],[% Rg_Novo]]&lt;0.9,"Não","Sim")</f>
        <v>Não</v>
      </c>
      <c r="N2" s="2">
        <f>Calculo_FlyBack_Simples!$Q$18</f>
        <v>6691</v>
      </c>
      <c r="O2" s="11">
        <f>Tabela2[[#This Row],[Resistencia]]/Tabela2[[#This Row],[R_Snubber]]</f>
        <v>1.4945449110745777E-4</v>
      </c>
      <c r="P2" s="2" t="str">
        <f>IF(Tabela2[[#This Row],[% R_Snubber]]&lt;0.9,"Não","Sim")</f>
        <v>Não</v>
      </c>
    </row>
    <row r="3" spans="1:16" x14ac:dyDescent="0.25">
      <c r="A3" s="2">
        <v>1.2</v>
      </c>
      <c r="B3" s="2">
        <f>Estudo_Drive!$S$4</f>
        <v>47.244094488188978</v>
      </c>
      <c r="C3" s="11">
        <f>Tabela2[[#This Row],[Resistencia]]/Tabela2[[#This Row],[R3_Novo]]</f>
        <v>2.5399999999999999E-2</v>
      </c>
      <c r="D3" s="2" t="str">
        <f>IF(Tabela2[[#This Row],[% R3_Novo]]&lt;0.85,"Não","Sim")</f>
        <v>Não</v>
      </c>
      <c r="E3" s="2">
        <f>Estudo_Drive!$S$20</f>
        <v>444.88188976377955</v>
      </c>
      <c r="F3" s="11">
        <f>Tabela2[[#This Row],[Resistencia]]/Tabela2[[#This Row],[R2_Novo]]</f>
        <v>2.6973451327433626E-3</v>
      </c>
      <c r="G3" s="2" t="str">
        <f>IF(Tabela2[[#This Row],[% R2_Novo]]&lt;0.9,"Não","Sim")</f>
        <v>Não</v>
      </c>
      <c r="H3" s="2">
        <f>Estudo_Drive!$S$24</f>
        <v>4448.818897637796</v>
      </c>
      <c r="I3" s="11">
        <f>Tabela2[[#This Row],[Resistencia]]/Tabela2[[#This Row],[R1_Novo]]</f>
        <v>2.6973451327433622E-4</v>
      </c>
      <c r="J3" s="2" t="str">
        <f>IF(Tabela2[[#This Row],[% R1_Novo]]&lt;0.9,"Não","Sim")</f>
        <v>Não</v>
      </c>
      <c r="K3" s="2">
        <f>Estudo_Drive!$S$28</f>
        <v>16929.133858267716</v>
      </c>
      <c r="L3" s="11">
        <f>Tabela2[[#This Row],[Resistencia]]/Tabela2[[#This Row],[Rg_Novo]]</f>
        <v>7.088372093023255E-5</v>
      </c>
      <c r="M3" s="2" t="str">
        <f>IF(Tabela2[[#This Row],[% Rg_Novo]]&lt;0.9,"Não","Sim")</f>
        <v>Não</v>
      </c>
      <c r="N3" s="2">
        <f>Calculo_FlyBack_Simples!$Q$18</f>
        <v>6691</v>
      </c>
      <c r="O3" s="11">
        <f>Tabela2[[#This Row],[Resistencia]]/Tabela2[[#This Row],[R_Snubber]]</f>
        <v>1.7934538932894934E-4</v>
      </c>
      <c r="P3" s="2" t="str">
        <f>IF(Tabela2[[#This Row],[% R_Snubber]]&lt;0.9,"Não","Sim")</f>
        <v>Não</v>
      </c>
    </row>
    <row r="4" spans="1:16" x14ac:dyDescent="0.25">
      <c r="A4" s="2">
        <v>1.5</v>
      </c>
      <c r="B4" s="2">
        <f>Estudo_Drive!$S$4</f>
        <v>47.244094488188978</v>
      </c>
      <c r="C4" s="11">
        <f>Tabela2[[#This Row],[Resistencia]]/Tabela2[[#This Row],[R3_Novo]]</f>
        <v>3.175E-2</v>
      </c>
      <c r="D4" s="2" t="str">
        <f>IF(Tabela2[[#This Row],[% R3_Novo]]&lt;0.85,"Não","Sim")</f>
        <v>Não</v>
      </c>
      <c r="E4" s="2">
        <f>Estudo_Drive!$S$20</f>
        <v>444.88188976377955</v>
      </c>
      <c r="F4" s="11">
        <f>Tabela2[[#This Row],[Resistencia]]/Tabela2[[#This Row],[R2_Novo]]</f>
        <v>3.3716814159292035E-3</v>
      </c>
      <c r="G4" s="2" t="str">
        <f>IF(Tabela2[[#This Row],[% R2_Novo]]&lt;0.9,"Não","Sim")</f>
        <v>Não</v>
      </c>
      <c r="H4" s="2">
        <f>Estudo_Drive!$S$24</f>
        <v>4448.818897637796</v>
      </c>
      <c r="I4" s="11">
        <f>Tabela2[[#This Row],[Resistencia]]/Tabela2[[#This Row],[R1_Novo]]</f>
        <v>3.3716814159292033E-4</v>
      </c>
      <c r="J4" s="2" t="str">
        <f>IF(Tabela2[[#This Row],[% R1_Novo]]&lt;0.9,"Não","Sim")</f>
        <v>Não</v>
      </c>
      <c r="K4" s="2">
        <f>Estudo_Drive!$S$28</f>
        <v>16929.133858267716</v>
      </c>
      <c r="L4" s="11">
        <f>Tabela2[[#This Row],[Resistencia]]/Tabela2[[#This Row],[Rg_Novo]]</f>
        <v>8.8604651162790701E-5</v>
      </c>
      <c r="M4" s="2" t="str">
        <f>IF(Tabela2[[#This Row],[% Rg_Novo]]&lt;0.9,"Não","Sim")</f>
        <v>Não</v>
      </c>
      <c r="N4" s="2">
        <f>Calculo_FlyBack_Simples!$Q$18</f>
        <v>6691</v>
      </c>
      <c r="O4" s="11">
        <f>Tabela2[[#This Row],[Resistencia]]/Tabela2[[#This Row],[R_Snubber]]</f>
        <v>2.2418173666118667E-4</v>
      </c>
      <c r="P4" s="2" t="str">
        <f>IF(Tabela2[[#This Row],[% R_Snubber]]&lt;0.9,"Não","Sim")</f>
        <v>Não</v>
      </c>
    </row>
    <row r="5" spans="1:16" x14ac:dyDescent="0.25">
      <c r="A5" s="2">
        <v>1.8</v>
      </c>
      <c r="B5" s="2">
        <f>Estudo_Drive!$S$4</f>
        <v>47.244094488188978</v>
      </c>
      <c r="C5" s="11">
        <f>Tabela2[[#This Row],[Resistencia]]/Tabela2[[#This Row],[R3_Novo]]</f>
        <v>3.8100000000000002E-2</v>
      </c>
      <c r="D5" s="2" t="str">
        <f>IF(Tabela2[[#This Row],[% R3_Novo]]&lt;0.85,"Não","Sim")</f>
        <v>Não</v>
      </c>
      <c r="E5" s="2">
        <f>Estudo_Drive!$S$20</f>
        <v>444.88188976377955</v>
      </c>
      <c r="F5" s="11">
        <f>Tabela2[[#This Row],[Resistencia]]/Tabela2[[#This Row],[R2_Novo]]</f>
        <v>4.0460176991150443E-3</v>
      </c>
      <c r="G5" s="2" t="str">
        <f>IF(Tabela2[[#This Row],[% R2_Novo]]&lt;0.9,"Não","Sim")</f>
        <v>Não</v>
      </c>
      <c r="H5" s="2">
        <f>Estudo_Drive!$S$24</f>
        <v>4448.818897637796</v>
      </c>
      <c r="I5" s="11">
        <f>Tabela2[[#This Row],[Resistencia]]/Tabela2[[#This Row],[R1_Novo]]</f>
        <v>4.0460176991150438E-4</v>
      </c>
      <c r="J5" s="2" t="str">
        <f>IF(Tabela2[[#This Row],[% R1_Novo]]&lt;0.9,"Não","Sim")</f>
        <v>Não</v>
      </c>
      <c r="K5" s="2">
        <f>Estudo_Drive!$S$28</f>
        <v>16929.133858267716</v>
      </c>
      <c r="L5" s="11">
        <f>Tabela2[[#This Row],[Resistencia]]/Tabela2[[#This Row],[Rg_Novo]]</f>
        <v>1.0632558139534884E-4</v>
      </c>
      <c r="M5" s="2" t="str">
        <f>IF(Tabela2[[#This Row],[% Rg_Novo]]&lt;0.9,"Não","Sim")</f>
        <v>Não</v>
      </c>
      <c r="N5" s="2">
        <f>Calculo_FlyBack_Simples!$Q$18</f>
        <v>6691</v>
      </c>
      <c r="O5" s="11">
        <f>Tabela2[[#This Row],[Resistencia]]/Tabela2[[#This Row],[R_Snubber]]</f>
        <v>2.6901808399342402E-4</v>
      </c>
      <c r="P5" s="2" t="str">
        <f>IF(Tabela2[[#This Row],[% R_Snubber]]&lt;0.9,"Não","Sim")</f>
        <v>Não</v>
      </c>
    </row>
    <row r="6" spans="1:16" x14ac:dyDescent="0.25">
      <c r="A6" s="2">
        <v>2.2000000000000002</v>
      </c>
      <c r="B6" s="2">
        <f>Estudo_Drive!$S$4</f>
        <v>47.244094488188978</v>
      </c>
      <c r="C6" s="11">
        <f>Tabela2[[#This Row],[Resistencia]]/Tabela2[[#This Row],[R3_Novo]]</f>
        <v>4.6566666666666666E-2</v>
      </c>
      <c r="D6" s="2" t="str">
        <f>IF(Tabela2[[#This Row],[% R3_Novo]]&lt;0.85,"Não","Sim")</f>
        <v>Não</v>
      </c>
      <c r="E6" s="2">
        <f>Estudo_Drive!$S$20</f>
        <v>444.88188976377955</v>
      </c>
      <c r="F6" s="11">
        <f>Tabela2[[#This Row],[Resistencia]]/Tabela2[[#This Row],[R2_Novo]]</f>
        <v>4.9451327433628319E-3</v>
      </c>
      <c r="G6" s="2" t="str">
        <f>IF(Tabela2[[#This Row],[% R2_Novo]]&lt;0.9,"Não","Sim")</f>
        <v>Não</v>
      </c>
      <c r="H6" s="2">
        <f>Estudo_Drive!$S$24</f>
        <v>4448.818897637796</v>
      </c>
      <c r="I6" s="11">
        <f>Tabela2[[#This Row],[Resistencia]]/Tabela2[[#This Row],[R1_Novo]]</f>
        <v>4.945132743362831E-4</v>
      </c>
      <c r="J6" s="2" t="str">
        <f>IF(Tabela2[[#This Row],[% R1_Novo]]&lt;0.9,"Não","Sim")</f>
        <v>Não</v>
      </c>
      <c r="K6" s="2">
        <f>Estudo_Drive!$S$28</f>
        <v>16929.133858267716</v>
      </c>
      <c r="L6" s="11">
        <f>Tabela2[[#This Row],[Resistencia]]/Tabela2[[#This Row],[Rg_Novo]]</f>
        <v>1.2995348837209304E-4</v>
      </c>
      <c r="M6" s="2" t="str">
        <f>IF(Tabela2[[#This Row],[% Rg_Novo]]&lt;0.9,"Não","Sim")</f>
        <v>Não</v>
      </c>
      <c r="N6" s="2">
        <f>Calculo_FlyBack_Simples!$Q$18</f>
        <v>6691</v>
      </c>
      <c r="O6" s="11">
        <f>Tabela2[[#This Row],[Resistencia]]/Tabela2[[#This Row],[R_Snubber]]</f>
        <v>3.2879988043640716E-4</v>
      </c>
      <c r="P6" s="2" t="str">
        <f>IF(Tabela2[[#This Row],[% R_Snubber]]&lt;0.9,"Não","Sim")</f>
        <v>Não</v>
      </c>
    </row>
    <row r="7" spans="1:16" x14ac:dyDescent="0.25">
      <c r="A7" s="2">
        <v>2.7</v>
      </c>
      <c r="B7" s="2">
        <f>Estudo_Drive!$S$4</f>
        <v>47.244094488188978</v>
      </c>
      <c r="C7" s="11">
        <f>Tabela2[[#This Row],[Resistencia]]/Tabela2[[#This Row],[R3_Novo]]</f>
        <v>5.7149999999999999E-2</v>
      </c>
      <c r="D7" s="2" t="str">
        <f>IF(Tabela2[[#This Row],[% R3_Novo]]&lt;0.85,"Não","Sim")</f>
        <v>Não</v>
      </c>
      <c r="E7" s="2">
        <f>Estudo_Drive!$S$20</f>
        <v>444.88188976377955</v>
      </c>
      <c r="F7" s="11">
        <f>Tabela2[[#This Row],[Resistencia]]/Tabela2[[#This Row],[R2_Novo]]</f>
        <v>6.0690265486725665E-3</v>
      </c>
      <c r="G7" s="2" t="str">
        <f>IF(Tabela2[[#This Row],[% R2_Novo]]&lt;0.9,"Não","Sim")</f>
        <v>Não</v>
      </c>
      <c r="H7" s="2">
        <f>Estudo_Drive!$S$24</f>
        <v>4448.818897637796</v>
      </c>
      <c r="I7" s="11">
        <f>Tabela2[[#This Row],[Resistencia]]/Tabela2[[#This Row],[R1_Novo]]</f>
        <v>6.0690265486725654E-4</v>
      </c>
      <c r="J7" s="2" t="str">
        <f>IF(Tabela2[[#This Row],[% R1_Novo]]&lt;0.9,"Não","Sim")</f>
        <v>Não</v>
      </c>
      <c r="K7" s="2">
        <f>Estudo_Drive!$S$28</f>
        <v>16929.133858267716</v>
      </c>
      <c r="L7" s="11">
        <f>Tabela2[[#This Row],[Resistencia]]/Tabela2[[#This Row],[Rg_Novo]]</f>
        <v>1.5948837209302328E-4</v>
      </c>
      <c r="M7" s="2" t="str">
        <f>IF(Tabela2[[#This Row],[% Rg_Novo]]&lt;0.9,"Não","Sim")</f>
        <v>Não</v>
      </c>
      <c r="N7" s="2">
        <f>Calculo_FlyBack_Simples!$Q$18</f>
        <v>6691</v>
      </c>
      <c r="O7" s="11">
        <f>Tabela2[[#This Row],[Resistencia]]/Tabela2[[#This Row],[R_Snubber]]</f>
        <v>4.0352712599013601E-4</v>
      </c>
      <c r="P7" s="2" t="str">
        <f>IF(Tabela2[[#This Row],[% R_Snubber]]&lt;0.9,"Não","Sim")</f>
        <v>Não</v>
      </c>
    </row>
    <row r="8" spans="1:16" x14ac:dyDescent="0.25">
      <c r="A8" s="2">
        <v>3.3</v>
      </c>
      <c r="B8" s="2">
        <f>Estudo_Drive!$S$4</f>
        <v>47.244094488188978</v>
      </c>
      <c r="C8" s="11">
        <f>Tabela2[[#This Row],[Resistencia]]/Tabela2[[#This Row],[R3_Novo]]</f>
        <v>6.9849999999999995E-2</v>
      </c>
      <c r="D8" s="2" t="str">
        <f>IF(Tabela2[[#This Row],[% R3_Novo]]&lt;0.85,"Não","Sim")</f>
        <v>Não</v>
      </c>
      <c r="E8" s="2">
        <f>Estudo_Drive!$S$20</f>
        <v>444.88188976377955</v>
      </c>
      <c r="F8" s="11">
        <f>Tabela2[[#This Row],[Resistencia]]/Tabela2[[#This Row],[R2_Novo]]</f>
        <v>7.4176991150442465E-3</v>
      </c>
      <c r="G8" s="2" t="str">
        <f>IF(Tabela2[[#This Row],[% R2_Novo]]&lt;0.9,"Não","Sim")</f>
        <v>Não</v>
      </c>
      <c r="H8" s="2">
        <f>Estudo_Drive!$S$24</f>
        <v>4448.818897637796</v>
      </c>
      <c r="I8" s="11">
        <f>Tabela2[[#This Row],[Resistencia]]/Tabela2[[#This Row],[R1_Novo]]</f>
        <v>7.4176991150442465E-4</v>
      </c>
      <c r="J8" s="2" t="str">
        <f>IF(Tabela2[[#This Row],[% R1_Novo]]&lt;0.9,"Não","Sim")</f>
        <v>Não</v>
      </c>
      <c r="K8" s="2">
        <f>Estudo_Drive!$S$28</f>
        <v>16929.133858267716</v>
      </c>
      <c r="L8" s="11">
        <f>Tabela2[[#This Row],[Resistencia]]/Tabela2[[#This Row],[Rg_Novo]]</f>
        <v>1.9493023255813953E-4</v>
      </c>
      <c r="M8" s="2" t="str">
        <f>IF(Tabela2[[#This Row],[% Rg_Novo]]&lt;0.9,"Não","Sim")</f>
        <v>Não</v>
      </c>
      <c r="N8" s="2">
        <f>Calculo_FlyBack_Simples!$Q$18</f>
        <v>6691</v>
      </c>
      <c r="O8" s="11">
        <f>Tabela2[[#This Row],[Resistencia]]/Tabela2[[#This Row],[R_Snubber]]</f>
        <v>4.9319982065461061E-4</v>
      </c>
      <c r="P8" s="2" t="str">
        <f>IF(Tabela2[[#This Row],[% R_Snubber]]&lt;0.9,"Não","Sim")</f>
        <v>Não</v>
      </c>
    </row>
    <row r="9" spans="1:16" x14ac:dyDescent="0.25">
      <c r="A9" s="2">
        <v>3.9</v>
      </c>
      <c r="B9" s="2">
        <f>Estudo_Drive!$S$4</f>
        <v>47.244094488188978</v>
      </c>
      <c r="C9" s="11">
        <f>Tabela2[[#This Row],[Resistencia]]/Tabela2[[#This Row],[R3_Novo]]</f>
        <v>8.2549999999999998E-2</v>
      </c>
      <c r="D9" s="2" t="str">
        <f>IF(Tabela2[[#This Row],[% R3_Novo]]&lt;0.85,"Não","Sim")</f>
        <v>Não</v>
      </c>
      <c r="E9" s="2">
        <f>Estudo_Drive!$S$20</f>
        <v>444.88188976377955</v>
      </c>
      <c r="F9" s="11">
        <f>Tabela2[[#This Row],[Resistencia]]/Tabela2[[#This Row],[R2_Novo]]</f>
        <v>8.7663716814159291E-3</v>
      </c>
      <c r="G9" s="2" t="str">
        <f>IF(Tabela2[[#This Row],[% R2_Novo]]&lt;0.9,"Não","Sim")</f>
        <v>Não</v>
      </c>
      <c r="H9" s="2">
        <f>Estudo_Drive!$S$24</f>
        <v>4448.818897637796</v>
      </c>
      <c r="I9" s="11">
        <f>Tabela2[[#This Row],[Resistencia]]/Tabela2[[#This Row],[R1_Novo]]</f>
        <v>8.7663716814159276E-4</v>
      </c>
      <c r="J9" s="2" t="str">
        <f>IF(Tabela2[[#This Row],[% R1_Novo]]&lt;0.9,"Não","Sim")</f>
        <v>Não</v>
      </c>
      <c r="K9" s="2">
        <f>Estudo_Drive!$S$28</f>
        <v>16929.133858267716</v>
      </c>
      <c r="L9" s="11">
        <f>Tabela2[[#This Row],[Resistencia]]/Tabela2[[#This Row],[Rg_Novo]]</f>
        <v>2.303720930232558E-4</v>
      </c>
      <c r="M9" s="2" t="str">
        <f>IF(Tabela2[[#This Row],[% Rg_Novo]]&lt;0.9,"Não","Sim")</f>
        <v>Não</v>
      </c>
      <c r="N9" s="2">
        <f>Calculo_FlyBack_Simples!$Q$18</f>
        <v>6691</v>
      </c>
      <c r="O9" s="11">
        <f>Tabela2[[#This Row],[Resistencia]]/Tabela2[[#This Row],[R_Snubber]]</f>
        <v>5.8287251531908538E-4</v>
      </c>
      <c r="P9" s="2" t="str">
        <f>IF(Tabela2[[#This Row],[% R_Snubber]]&lt;0.9,"Não","Sim")</f>
        <v>Não</v>
      </c>
    </row>
    <row r="10" spans="1:16" x14ac:dyDescent="0.25">
      <c r="A10" s="2">
        <v>4.7</v>
      </c>
      <c r="B10" s="2">
        <f>Estudo_Drive!$S$4</f>
        <v>47.244094488188978</v>
      </c>
      <c r="C10" s="11">
        <f>Tabela2[[#This Row],[Resistencia]]/Tabela2[[#This Row],[R3_Novo]]</f>
        <v>9.948333333333334E-2</v>
      </c>
      <c r="D10" s="2" t="str">
        <f>IF(Tabela2[[#This Row],[% R3_Novo]]&lt;0.85,"Não","Sim")</f>
        <v>Não</v>
      </c>
      <c r="E10" s="2">
        <f>Estudo_Drive!$S$20</f>
        <v>444.88188976377955</v>
      </c>
      <c r="F10" s="11">
        <f>Tabela2[[#This Row],[Resistencia]]/Tabela2[[#This Row],[R2_Novo]]</f>
        <v>1.0564601769911504E-2</v>
      </c>
      <c r="G10" s="2" t="str">
        <f>IF(Tabela2[[#This Row],[% R2_Novo]]&lt;0.9,"Não","Sim")</f>
        <v>Não</v>
      </c>
      <c r="H10" s="2">
        <f>Estudo_Drive!$S$24</f>
        <v>4448.818897637796</v>
      </c>
      <c r="I10" s="11">
        <f>Tabela2[[#This Row],[Resistencia]]/Tabela2[[#This Row],[R1_Novo]]</f>
        <v>1.0564601769911502E-3</v>
      </c>
      <c r="J10" s="2" t="str">
        <f>IF(Tabela2[[#This Row],[% R1_Novo]]&lt;0.9,"Não","Sim")</f>
        <v>Não</v>
      </c>
      <c r="K10" s="2">
        <f>Estudo_Drive!$S$28</f>
        <v>16929.133858267716</v>
      </c>
      <c r="L10" s="11">
        <f>Tabela2[[#This Row],[Resistencia]]/Tabela2[[#This Row],[Rg_Novo]]</f>
        <v>2.7762790697674421E-4</v>
      </c>
      <c r="M10" s="2" t="str">
        <f>IF(Tabela2[[#This Row],[% Rg_Novo]]&lt;0.9,"Não","Sim")</f>
        <v>Não</v>
      </c>
      <c r="N10" s="2">
        <f>Calculo_FlyBack_Simples!$Q$18</f>
        <v>6691</v>
      </c>
      <c r="O10" s="11">
        <f>Tabela2[[#This Row],[Resistencia]]/Tabela2[[#This Row],[R_Snubber]]</f>
        <v>7.0243610820505155E-4</v>
      </c>
      <c r="P10" s="2" t="str">
        <f>IF(Tabela2[[#This Row],[% R_Snubber]]&lt;0.9,"Não","Sim")</f>
        <v>Não</v>
      </c>
    </row>
    <row r="11" spans="1:16" x14ac:dyDescent="0.25">
      <c r="A11" s="2">
        <v>5.6</v>
      </c>
      <c r="B11" s="2">
        <f>Estudo_Drive!$S$4</f>
        <v>47.244094488188978</v>
      </c>
      <c r="C11" s="11">
        <f>Tabela2[[#This Row],[Resistencia]]/Tabela2[[#This Row],[R3_Novo]]</f>
        <v>0.11853333333333332</v>
      </c>
      <c r="D11" s="2" t="str">
        <f>IF(Tabela2[[#This Row],[% R3_Novo]]&lt;0.85,"Não","Sim")</f>
        <v>Não</v>
      </c>
      <c r="E11" s="2">
        <f>Estudo_Drive!$S$20</f>
        <v>444.88188976377955</v>
      </c>
      <c r="F11" s="11">
        <f>Tabela2[[#This Row],[Resistencia]]/Tabela2[[#This Row],[R2_Novo]]</f>
        <v>1.2587610619469025E-2</v>
      </c>
      <c r="G11" s="2" t="str">
        <f>IF(Tabela2[[#This Row],[% R2_Novo]]&lt;0.9,"Não","Sim")</f>
        <v>Não</v>
      </c>
      <c r="H11" s="2">
        <f>Estudo_Drive!$S$24</f>
        <v>4448.818897637796</v>
      </c>
      <c r="I11" s="11">
        <f>Tabela2[[#This Row],[Resistencia]]/Tabela2[[#This Row],[R1_Novo]]</f>
        <v>1.2587610619469024E-3</v>
      </c>
      <c r="J11" s="2" t="str">
        <f>IF(Tabela2[[#This Row],[% R1_Novo]]&lt;0.9,"Não","Sim")</f>
        <v>Não</v>
      </c>
      <c r="K11" s="2">
        <f>Estudo_Drive!$S$28</f>
        <v>16929.133858267716</v>
      </c>
      <c r="L11" s="11">
        <f>Tabela2[[#This Row],[Resistencia]]/Tabela2[[#This Row],[Rg_Novo]]</f>
        <v>3.3079069767441859E-4</v>
      </c>
      <c r="M11" s="2" t="str">
        <f>IF(Tabela2[[#This Row],[% Rg_Novo]]&lt;0.9,"Não","Sim")</f>
        <v>Não</v>
      </c>
      <c r="N11" s="2">
        <f>Calculo_FlyBack_Simples!$Q$18</f>
        <v>6691</v>
      </c>
      <c r="O11" s="11">
        <f>Tabela2[[#This Row],[Resistencia]]/Tabela2[[#This Row],[R_Snubber]]</f>
        <v>8.3694515020176353E-4</v>
      </c>
      <c r="P11" s="2" t="str">
        <f>IF(Tabela2[[#This Row],[% R_Snubber]]&lt;0.9,"Não","Sim")</f>
        <v>Não</v>
      </c>
    </row>
    <row r="12" spans="1:16" x14ac:dyDescent="0.25">
      <c r="A12" s="2">
        <v>6.8</v>
      </c>
      <c r="B12" s="2">
        <f>Estudo_Drive!$S$4</f>
        <v>47.244094488188978</v>
      </c>
      <c r="C12" s="11">
        <f>Tabela2[[#This Row],[Resistencia]]/Tabela2[[#This Row],[R3_Novo]]</f>
        <v>0.14393333333333333</v>
      </c>
      <c r="D12" s="2" t="str">
        <f>IF(Tabela2[[#This Row],[% R3_Novo]]&lt;0.85,"Não","Sim")</f>
        <v>Não</v>
      </c>
      <c r="E12" s="2">
        <f>Estudo_Drive!$S$20</f>
        <v>444.88188976377955</v>
      </c>
      <c r="F12" s="11">
        <f>Tabela2[[#This Row],[Resistencia]]/Tabela2[[#This Row],[R2_Novo]]</f>
        <v>1.5284955752212387E-2</v>
      </c>
      <c r="G12" s="2" t="str">
        <f>IF(Tabela2[[#This Row],[% R2_Novo]]&lt;0.9,"Não","Sim")</f>
        <v>Não</v>
      </c>
      <c r="H12" s="2">
        <f>Estudo_Drive!$S$24</f>
        <v>4448.818897637796</v>
      </c>
      <c r="I12" s="11">
        <f>Tabela2[[#This Row],[Resistencia]]/Tabela2[[#This Row],[R1_Novo]]</f>
        <v>1.5284955752212386E-3</v>
      </c>
      <c r="J12" s="2" t="str">
        <f>IF(Tabela2[[#This Row],[% R1_Novo]]&lt;0.9,"Não","Sim")</f>
        <v>Não</v>
      </c>
      <c r="K12" s="2">
        <f>Estudo_Drive!$S$28</f>
        <v>16929.133858267716</v>
      </c>
      <c r="L12" s="11">
        <f>Tabela2[[#This Row],[Resistencia]]/Tabela2[[#This Row],[Rg_Novo]]</f>
        <v>4.0167441860465114E-4</v>
      </c>
      <c r="M12" s="2" t="str">
        <f>IF(Tabela2[[#This Row],[% Rg_Novo]]&lt;0.9,"Não","Sim")</f>
        <v>Não</v>
      </c>
      <c r="N12" s="2">
        <f>Calculo_FlyBack_Simples!$Q$18</f>
        <v>6691</v>
      </c>
      <c r="O12" s="11">
        <f>Tabela2[[#This Row],[Resistencia]]/Tabela2[[#This Row],[R_Snubber]]</f>
        <v>1.0162905395307128E-3</v>
      </c>
      <c r="P12" s="2" t="str">
        <f>IF(Tabela2[[#This Row],[% R_Snubber]]&lt;0.9,"Não","Sim")</f>
        <v>Não</v>
      </c>
    </row>
    <row r="13" spans="1:16" x14ac:dyDescent="0.25">
      <c r="A13" s="2">
        <v>8.1999999999999993</v>
      </c>
      <c r="B13" s="2">
        <f>Estudo_Drive!$S$4</f>
        <v>47.244094488188978</v>
      </c>
      <c r="C13" s="11">
        <f>Tabela2[[#This Row],[Resistencia]]/Tabela2[[#This Row],[R3_Novo]]</f>
        <v>0.17356666666666665</v>
      </c>
      <c r="D13" s="2" t="str">
        <f>IF(Tabela2[[#This Row],[% R3_Novo]]&lt;0.85,"Não","Sim")</f>
        <v>Não</v>
      </c>
      <c r="E13" s="2">
        <f>Estudo_Drive!$S$20</f>
        <v>444.88188976377955</v>
      </c>
      <c r="F13" s="11">
        <f>Tabela2[[#This Row],[Resistencia]]/Tabela2[[#This Row],[R2_Novo]]</f>
        <v>1.8431858407079643E-2</v>
      </c>
      <c r="G13" s="2" t="str">
        <f>IF(Tabela2[[#This Row],[% R2_Novo]]&lt;0.9,"Não","Sim")</f>
        <v>Não</v>
      </c>
      <c r="H13" s="2">
        <f>Estudo_Drive!$S$24</f>
        <v>4448.818897637796</v>
      </c>
      <c r="I13" s="11">
        <f>Tabela2[[#This Row],[Resistencia]]/Tabela2[[#This Row],[R1_Novo]]</f>
        <v>1.8431858407079642E-3</v>
      </c>
      <c r="J13" s="2" t="str">
        <f>IF(Tabela2[[#This Row],[% R1_Novo]]&lt;0.9,"Não","Sim")</f>
        <v>Não</v>
      </c>
      <c r="K13" s="2">
        <f>Estudo_Drive!$S$28</f>
        <v>16929.133858267716</v>
      </c>
      <c r="L13" s="11">
        <f>Tabela2[[#This Row],[Resistencia]]/Tabela2[[#This Row],[Rg_Novo]]</f>
        <v>4.8437209302325577E-4</v>
      </c>
      <c r="M13" s="2" t="str">
        <f>IF(Tabela2[[#This Row],[% Rg_Novo]]&lt;0.9,"Não","Sim")</f>
        <v>Não</v>
      </c>
      <c r="N13" s="2">
        <f>Calculo_FlyBack_Simples!$Q$18</f>
        <v>6691</v>
      </c>
      <c r="O13" s="11">
        <f>Tabela2[[#This Row],[Resistencia]]/Tabela2[[#This Row],[R_Snubber]]</f>
        <v>1.2255268270811538E-3</v>
      </c>
      <c r="P13" s="2" t="str">
        <f>IF(Tabela2[[#This Row],[% R_Snubber]]&lt;0.9,"Não","Sim")</f>
        <v>Não</v>
      </c>
    </row>
    <row r="14" spans="1:16" x14ac:dyDescent="0.25">
      <c r="A14" s="2">
        <v>10</v>
      </c>
      <c r="B14" s="2">
        <f>Estudo_Drive!$S$4</f>
        <v>47.244094488188978</v>
      </c>
      <c r="C14" s="11">
        <f>Tabela2[[#This Row],[Resistencia]]/Tabela2[[#This Row],[R3_Novo]]</f>
        <v>0.21166666666666667</v>
      </c>
      <c r="D14" s="2" t="str">
        <f>IF(Tabela2[[#This Row],[% R3_Novo]]&lt;0.85,"Não","Sim")</f>
        <v>Não</v>
      </c>
      <c r="E14" s="2">
        <f>Estudo_Drive!$S$20</f>
        <v>444.88188976377955</v>
      </c>
      <c r="F14" s="11">
        <f>Tabela2[[#This Row],[Resistencia]]/Tabela2[[#This Row],[R2_Novo]]</f>
        <v>2.2477876106194689E-2</v>
      </c>
      <c r="G14" s="2" t="str">
        <f>IF(Tabela2[[#This Row],[% R2_Novo]]&lt;0.9,"Não","Sim")</f>
        <v>Não</v>
      </c>
      <c r="H14" s="2">
        <f>Estudo_Drive!$S$24</f>
        <v>4448.818897637796</v>
      </c>
      <c r="I14" s="11">
        <f>Tabela2[[#This Row],[Resistencia]]/Tabela2[[#This Row],[R1_Novo]]</f>
        <v>2.2477876106194688E-3</v>
      </c>
      <c r="J14" s="2" t="str">
        <f>IF(Tabela2[[#This Row],[% R1_Novo]]&lt;0.9,"Não","Sim")</f>
        <v>Não</v>
      </c>
      <c r="K14" s="2">
        <f>Estudo_Drive!$S$28</f>
        <v>16929.133858267716</v>
      </c>
      <c r="L14" s="11">
        <f>Tabela2[[#This Row],[Resistencia]]/Tabela2[[#This Row],[Rg_Novo]]</f>
        <v>5.9069767441860468E-4</v>
      </c>
      <c r="M14" s="2" t="str">
        <f>IF(Tabela2[[#This Row],[% Rg_Novo]]&lt;0.9,"Não","Sim")</f>
        <v>Não</v>
      </c>
      <c r="N14" s="2">
        <f>Calculo_FlyBack_Simples!$Q$18</f>
        <v>6691</v>
      </c>
      <c r="O14" s="11">
        <f>Tabela2[[#This Row],[Resistencia]]/Tabela2[[#This Row],[R_Snubber]]</f>
        <v>1.4945449110745778E-3</v>
      </c>
      <c r="P14" s="2" t="str">
        <f>IF(Tabela2[[#This Row],[% R_Snubber]]&lt;0.9,"Não","Sim")</f>
        <v>Não</v>
      </c>
    </row>
    <row r="15" spans="1:16" x14ac:dyDescent="0.25">
      <c r="A15" s="2">
        <v>12</v>
      </c>
      <c r="B15" s="2">
        <f>Estudo_Drive!$S$4</f>
        <v>47.244094488188978</v>
      </c>
      <c r="C15" s="11">
        <f>Tabela2[[#This Row],[Resistencia]]/Tabela2[[#This Row],[R3_Novo]]</f>
        <v>0.254</v>
      </c>
      <c r="D15" s="2" t="str">
        <f>IF(Tabela2[[#This Row],[% R3_Novo]]&lt;0.85,"Não","Sim")</f>
        <v>Não</v>
      </c>
      <c r="E15" s="2">
        <f>Estudo_Drive!$S$20</f>
        <v>444.88188976377955</v>
      </c>
      <c r="F15" s="11">
        <f>Tabela2[[#This Row],[Resistencia]]/Tabela2[[#This Row],[R2_Novo]]</f>
        <v>2.6973451327433628E-2</v>
      </c>
      <c r="G15" s="2" t="str">
        <f>IF(Tabela2[[#This Row],[% R2_Novo]]&lt;0.9,"Não","Sim")</f>
        <v>Não</v>
      </c>
      <c r="H15" s="2">
        <f>Estudo_Drive!$S$24</f>
        <v>4448.818897637796</v>
      </c>
      <c r="I15" s="11">
        <f>Tabela2[[#This Row],[Resistencia]]/Tabela2[[#This Row],[R1_Novo]]</f>
        <v>2.6973451327433626E-3</v>
      </c>
      <c r="J15" s="2" t="str">
        <f>IF(Tabela2[[#This Row],[% R1_Novo]]&lt;0.9,"Não","Sim")</f>
        <v>Não</v>
      </c>
      <c r="K15" s="2">
        <f>Estudo_Drive!$S$28</f>
        <v>16929.133858267716</v>
      </c>
      <c r="L15" s="11">
        <f>Tabela2[[#This Row],[Resistencia]]/Tabela2[[#This Row],[Rg_Novo]]</f>
        <v>7.0883720930232561E-4</v>
      </c>
      <c r="M15" s="2" t="str">
        <f>IF(Tabela2[[#This Row],[% Rg_Novo]]&lt;0.9,"Não","Sim")</f>
        <v>Não</v>
      </c>
      <c r="N15" s="2">
        <f>Calculo_FlyBack_Simples!$Q$18</f>
        <v>6691</v>
      </c>
      <c r="O15" s="11">
        <f>Tabela2[[#This Row],[Resistencia]]/Tabela2[[#This Row],[R_Snubber]]</f>
        <v>1.7934538932894933E-3</v>
      </c>
      <c r="P15" s="2" t="str">
        <f>IF(Tabela2[[#This Row],[% R_Snubber]]&lt;0.9,"Não","Sim")</f>
        <v>Não</v>
      </c>
    </row>
    <row r="16" spans="1:16" x14ac:dyDescent="0.25">
      <c r="A16" s="2">
        <v>15</v>
      </c>
      <c r="B16" s="2">
        <f>Estudo_Drive!$S$4</f>
        <v>47.244094488188978</v>
      </c>
      <c r="C16" s="11">
        <f>Tabela2[[#This Row],[Resistencia]]/Tabela2[[#This Row],[R3_Novo]]</f>
        <v>0.3175</v>
      </c>
      <c r="D16" s="2" t="str">
        <f>IF(Tabela2[[#This Row],[% R3_Novo]]&lt;0.85,"Não","Sim")</f>
        <v>Não</v>
      </c>
      <c r="E16" s="2">
        <f>Estudo_Drive!$S$20</f>
        <v>444.88188976377955</v>
      </c>
      <c r="F16" s="11">
        <f>Tabela2[[#This Row],[Resistencia]]/Tabela2[[#This Row],[R2_Novo]]</f>
        <v>3.3716814159292036E-2</v>
      </c>
      <c r="G16" s="2" t="str">
        <f>IF(Tabela2[[#This Row],[% R2_Novo]]&lt;0.9,"Não","Sim")</f>
        <v>Não</v>
      </c>
      <c r="H16" s="2">
        <f>Estudo_Drive!$S$24</f>
        <v>4448.818897637796</v>
      </c>
      <c r="I16" s="11">
        <f>Tabela2[[#This Row],[Resistencia]]/Tabela2[[#This Row],[R1_Novo]]</f>
        <v>3.371681415929203E-3</v>
      </c>
      <c r="J16" s="2" t="str">
        <f>IF(Tabela2[[#This Row],[% R1_Novo]]&lt;0.9,"Não","Sim")</f>
        <v>Não</v>
      </c>
      <c r="K16" s="2">
        <f>Estudo_Drive!$S$28</f>
        <v>16929.133858267716</v>
      </c>
      <c r="L16" s="11">
        <f>Tabela2[[#This Row],[Resistencia]]/Tabela2[[#This Row],[Rg_Novo]]</f>
        <v>8.8604651162790696E-4</v>
      </c>
      <c r="M16" s="2" t="str">
        <f>IF(Tabela2[[#This Row],[% Rg_Novo]]&lt;0.9,"Não","Sim")</f>
        <v>Não</v>
      </c>
      <c r="N16" s="2">
        <f>Calculo_FlyBack_Simples!$Q$18</f>
        <v>6691</v>
      </c>
      <c r="O16" s="11">
        <f>Tabela2[[#This Row],[Resistencia]]/Tabela2[[#This Row],[R_Snubber]]</f>
        <v>2.2418173666118668E-3</v>
      </c>
      <c r="P16" s="2" t="str">
        <f>IF(Tabela2[[#This Row],[% R_Snubber]]&lt;0.9,"Não","Sim")</f>
        <v>Não</v>
      </c>
    </row>
    <row r="17" spans="1:16" x14ac:dyDescent="0.25">
      <c r="A17" s="2">
        <v>18</v>
      </c>
      <c r="B17" s="2">
        <f>Estudo_Drive!$S$4</f>
        <v>47.244094488188978</v>
      </c>
      <c r="C17" s="11">
        <f>Tabela2[[#This Row],[Resistencia]]/Tabela2[[#This Row],[R3_Novo]]</f>
        <v>0.38100000000000001</v>
      </c>
      <c r="D17" s="2" t="str">
        <f>IF(Tabela2[[#This Row],[% R3_Novo]]&lt;0.85,"Não","Sim")</f>
        <v>Não</v>
      </c>
      <c r="E17" s="2">
        <f>Estudo_Drive!$S$20</f>
        <v>444.88188976377955</v>
      </c>
      <c r="F17" s="11">
        <f>Tabela2[[#This Row],[Resistencia]]/Tabela2[[#This Row],[R2_Novo]]</f>
        <v>4.046017699115044E-2</v>
      </c>
      <c r="G17" s="2" t="str">
        <f>IF(Tabela2[[#This Row],[% R2_Novo]]&lt;0.9,"Não","Sim")</f>
        <v>Não</v>
      </c>
      <c r="H17" s="2">
        <f>Estudo_Drive!$S$24</f>
        <v>4448.818897637796</v>
      </c>
      <c r="I17" s="11">
        <f>Tabela2[[#This Row],[Resistencia]]/Tabela2[[#This Row],[R1_Novo]]</f>
        <v>4.0460176991150435E-3</v>
      </c>
      <c r="J17" s="2" t="str">
        <f>IF(Tabela2[[#This Row],[% R1_Novo]]&lt;0.9,"Não","Sim")</f>
        <v>Não</v>
      </c>
      <c r="K17" s="2">
        <f>Estudo_Drive!$S$28</f>
        <v>16929.133858267716</v>
      </c>
      <c r="L17" s="11">
        <f>Tabela2[[#This Row],[Resistencia]]/Tabela2[[#This Row],[Rg_Novo]]</f>
        <v>1.0632558139534883E-3</v>
      </c>
      <c r="M17" s="2" t="str">
        <f>IF(Tabela2[[#This Row],[% Rg_Novo]]&lt;0.9,"Não","Sim")</f>
        <v>Não</v>
      </c>
      <c r="N17" s="2">
        <f>Calculo_FlyBack_Simples!$Q$18</f>
        <v>6691</v>
      </c>
      <c r="O17" s="11">
        <f>Tabela2[[#This Row],[Resistencia]]/Tabela2[[#This Row],[R_Snubber]]</f>
        <v>2.6901808399342401E-3</v>
      </c>
      <c r="P17" s="2" t="str">
        <f>IF(Tabela2[[#This Row],[% R_Snubber]]&lt;0.9,"Não","Sim")</f>
        <v>Não</v>
      </c>
    </row>
    <row r="18" spans="1:16" x14ac:dyDescent="0.25">
      <c r="A18" s="2">
        <v>22</v>
      </c>
      <c r="B18" s="2">
        <f>Estudo_Drive!$S$4</f>
        <v>47.244094488188978</v>
      </c>
      <c r="C18" s="11">
        <f>Tabela2[[#This Row],[Resistencia]]/Tabela2[[#This Row],[R3_Novo]]</f>
        <v>0.46566666666666667</v>
      </c>
      <c r="D18" s="2" t="str">
        <f>IF(Tabela2[[#This Row],[% R3_Novo]]&lt;0.85,"Não","Sim")</f>
        <v>Não</v>
      </c>
      <c r="E18" s="2">
        <f>Estudo_Drive!$S$20</f>
        <v>444.88188976377955</v>
      </c>
      <c r="F18" s="11">
        <f>Tabela2[[#This Row],[Resistencia]]/Tabela2[[#This Row],[R2_Novo]]</f>
        <v>4.9451327433628317E-2</v>
      </c>
      <c r="G18" s="2" t="str">
        <f>IF(Tabela2[[#This Row],[% R2_Novo]]&lt;0.9,"Não","Sim")</f>
        <v>Não</v>
      </c>
      <c r="H18" s="2">
        <f>Estudo_Drive!$S$24</f>
        <v>4448.818897637796</v>
      </c>
      <c r="I18" s="11">
        <f>Tabela2[[#This Row],[Resistencia]]/Tabela2[[#This Row],[R1_Novo]]</f>
        <v>4.945132743362831E-3</v>
      </c>
      <c r="J18" s="2" t="str">
        <f>IF(Tabela2[[#This Row],[% R1_Novo]]&lt;0.9,"Não","Sim")</f>
        <v>Não</v>
      </c>
      <c r="K18" s="2">
        <f>Estudo_Drive!$S$28</f>
        <v>16929.133858267716</v>
      </c>
      <c r="L18" s="11">
        <f>Tabela2[[#This Row],[Resistencia]]/Tabela2[[#This Row],[Rg_Novo]]</f>
        <v>1.2995348837209302E-3</v>
      </c>
      <c r="M18" s="2" t="str">
        <f>IF(Tabela2[[#This Row],[% Rg_Novo]]&lt;0.9,"Não","Sim")</f>
        <v>Não</v>
      </c>
      <c r="N18" s="2">
        <f>Calculo_FlyBack_Simples!$Q$18</f>
        <v>6691</v>
      </c>
      <c r="O18" s="11">
        <f>Tabela2[[#This Row],[Resistencia]]/Tabela2[[#This Row],[R_Snubber]]</f>
        <v>3.2879988043640713E-3</v>
      </c>
      <c r="P18" s="2" t="str">
        <f>IF(Tabela2[[#This Row],[% R_Snubber]]&lt;0.9,"Não","Sim")</f>
        <v>Não</v>
      </c>
    </row>
    <row r="19" spans="1:16" x14ac:dyDescent="0.25">
      <c r="A19" s="2">
        <v>27</v>
      </c>
      <c r="B19" s="2">
        <f>Estudo_Drive!$S$4</f>
        <v>47.244094488188978</v>
      </c>
      <c r="C19" s="11">
        <f>Tabela2[[#This Row],[Resistencia]]/Tabela2[[#This Row],[R3_Novo]]</f>
        <v>0.57150000000000001</v>
      </c>
      <c r="D19" s="2" t="str">
        <f>IF(Tabela2[[#This Row],[% R3_Novo]]&lt;0.85,"Não","Sim")</f>
        <v>Não</v>
      </c>
      <c r="E19" s="2">
        <f>Estudo_Drive!$S$20</f>
        <v>444.88188976377955</v>
      </c>
      <c r="F19" s="11">
        <f>Tabela2[[#This Row],[Resistencia]]/Tabela2[[#This Row],[R2_Novo]]</f>
        <v>6.069026548672566E-2</v>
      </c>
      <c r="G19" s="2" t="str">
        <f>IF(Tabela2[[#This Row],[% R2_Novo]]&lt;0.9,"Não","Sim")</f>
        <v>Não</v>
      </c>
      <c r="H19" s="2">
        <f>Estudo_Drive!$S$24</f>
        <v>4448.818897637796</v>
      </c>
      <c r="I19" s="11">
        <f>Tabela2[[#This Row],[Resistencia]]/Tabela2[[#This Row],[R1_Novo]]</f>
        <v>6.0690265486725656E-3</v>
      </c>
      <c r="J19" s="2" t="str">
        <f>IF(Tabela2[[#This Row],[% R1_Novo]]&lt;0.9,"Não","Sim")</f>
        <v>Não</v>
      </c>
      <c r="K19" s="2">
        <f>Estudo_Drive!$S$28</f>
        <v>16929.133858267716</v>
      </c>
      <c r="L19" s="11">
        <f>Tabela2[[#This Row],[Resistencia]]/Tabela2[[#This Row],[Rg_Novo]]</f>
        <v>1.5948837209302327E-3</v>
      </c>
      <c r="M19" s="2" t="str">
        <f>IF(Tabela2[[#This Row],[% Rg_Novo]]&lt;0.9,"Não","Sim")</f>
        <v>Não</v>
      </c>
      <c r="N19" s="2">
        <f>Calculo_FlyBack_Simples!$Q$18</f>
        <v>6691</v>
      </c>
      <c r="O19" s="11">
        <f>Tabela2[[#This Row],[Resistencia]]/Tabela2[[#This Row],[R_Snubber]]</f>
        <v>4.03527125990136E-3</v>
      </c>
      <c r="P19" s="2" t="str">
        <f>IF(Tabela2[[#This Row],[% R_Snubber]]&lt;0.9,"Não","Sim")</f>
        <v>Não</v>
      </c>
    </row>
    <row r="20" spans="1:16" x14ac:dyDescent="0.25">
      <c r="A20" s="2">
        <v>33</v>
      </c>
      <c r="B20" s="2">
        <f>Estudo_Drive!$S$4</f>
        <v>47.244094488188978</v>
      </c>
      <c r="C20" s="11">
        <f>Tabela2[[#This Row],[Resistencia]]/Tabela2[[#This Row],[R3_Novo]]</f>
        <v>0.69850000000000001</v>
      </c>
      <c r="D20" s="2" t="str">
        <f>IF(Tabela2[[#This Row],[% R3_Novo]]&lt;0.85,"Não","Sim")</f>
        <v>Não</v>
      </c>
      <c r="E20" s="2">
        <f>Estudo_Drive!$S$20</f>
        <v>444.88188976377955</v>
      </c>
      <c r="F20" s="11">
        <f>Tabela2[[#This Row],[Resistencia]]/Tabela2[[#This Row],[R2_Novo]]</f>
        <v>7.4176991150442476E-2</v>
      </c>
      <c r="G20" s="2" t="str">
        <f>IF(Tabela2[[#This Row],[% R2_Novo]]&lt;0.9,"Não","Sim")</f>
        <v>Não</v>
      </c>
      <c r="H20" s="2">
        <f>Estudo_Drive!$S$24</f>
        <v>4448.818897637796</v>
      </c>
      <c r="I20" s="11">
        <f>Tabela2[[#This Row],[Resistencia]]/Tabela2[[#This Row],[R1_Novo]]</f>
        <v>7.4176991150442465E-3</v>
      </c>
      <c r="J20" s="2" t="str">
        <f>IF(Tabela2[[#This Row],[% R1_Novo]]&lt;0.9,"Não","Sim")</f>
        <v>Não</v>
      </c>
      <c r="K20" s="2">
        <f>Estudo_Drive!$S$28</f>
        <v>16929.133858267716</v>
      </c>
      <c r="L20" s="11">
        <f>Tabela2[[#This Row],[Resistencia]]/Tabela2[[#This Row],[Rg_Novo]]</f>
        <v>1.9493023255813954E-3</v>
      </c>
      <c r="M20" s="2" t="str">
        <f>IF(Tabela2[[#This Row],[% Rg_Novo]]&lt;0.9,"Não","Sim")</f>
        <v>Não</v>
      </c>
      <c r="N20" s="2">
        <f>Calculo_FlyBack_Simples!$Q$18</f>
        <v>6691</v>
      </c>
      <c r="O20" s="11">
        <f>Tabela2[[#This Row],[Resistencia]]/Tabela2[[#This Row],[R_Snubber]]</f>
        <v>4.9319982065461065E-3</v>
      </c>
      <c r="P20" s="2" t="str">
        <f>IF(Tabela2[[#This Row],[% R_Snubber]]&lt;0.9,"Não","Sim")</f>
        <v>Não</v>
      </c>
    </row>
    <row r="21" spans="1:16" x14ac:dyDescent="0.25">
      <c r="A21" s="2">
        <v>39</v>
      </c>
      <c r="B21" s="2">
        <f>Estudo_Drive!$S$4</f>
        <v>47.244094488188978</v>
      </c>
      <c r="C21" s="11">
        <f>Tabela2[[#This Row],[Resistencia]]/Tabela2[[#This Row],[R3_Novo]]</f>
        <v>0.82550000000000001</v>
      </c>
      <c r="D21" s="2" t="str">
        <f>IF(Tabela2[[#This Row],[% R3_Novo]]&lt;0.85,"Não","Sim")</f>
        <v>Não</v>
      </c>
      <c r="E21" s="2">
        <f>Estudo_Drive!$S$20</f>
        <v>444.88188976377955</v>
      </c>
      <c r="F21" s="11">
        <f>Tabela2[[#This Row],[Resistencia]]/Tabela2[[#This Row],[R2_Novo]]</f>
        <v>8.7663716814159284E-2</v>
      </c>
      <c r="G21" s="2" t="str">
        <f>IF(Tabela2[[#This Row],[% R2_Novo]]&lt;0.9,"Não","Sim")</f>
        <v>Não</v>
      </c>
      <c r="H21" s="2">
        <f>Estudo_Drive!$S$24</f>
        <v>4448.818897637796</v>
      </c>
      <c r="I21" s="11">
        <f>Tabela2[[#This Row],[Resistencia]]/Tabela2[[#This Row],[R1_Novo]]</f>
        <v>8.7663716814159274E-3</v>
      </c>
      <c r="J21" s="2" t="str">
        <f>IF(Tabela2[[#This Row],[% R1_Novo]]&lt;0.9,"Não","Sim")</f>
        <v>Não</v>
      </c>
      <c r="K21" s="2">
        <f>Estudo_Drive!$S$28</f>
        <v>16929.133858267716</v>
      </c>
      <c r="L21" s="11">
        <f>Tabela2[[#This Row],[Resistencia]]/Tabela2[[#This Row],[Rg_Novo]]</f>
        <v>2.3037209302325581E-3</v>
      </c>
      <c r="M21" s="2" t="str">
        <f>IF(Tabela2[[#This Row],[% Rg_Novo]]&lt;0.9,"Não","Sim")</f>
        <v>Não</v>
      </c>
      <c r="N21" s="2">
        <f>Calculo_FlyBack_Simples!$Q$18</f>
        <v>6691</v>
      </c>
      <c r="O21" s="11">
        <f>Tabela2[[#This Row],[Resistencia]]/Tabela2[[#This Row],[R_Snubber]]</f>
        <v>5.8287251531908531E-3</v>
      </c>
      <c r="P21" s="2" t="str">
        <f>IF(Tabela2[[#This Row],[% R_Snubber]]&lt;0.9,"Não","Sim")</f>
        <v>Não</v>
      </c>
    </row>
    <row r="22" spans="1:16" x14ac:dyDescent="0.25">
      <c r="A22" s="2">
        <v>47</v>
      </c>
      <c r="B22" s="2">
        <f>Estudo_Drive!$S$4</f>
        <v>47.244094488188978</v>
      </c>
      <c r="C22" s="11">
        <f>Tabela2[[#This Row],[Resistencia]]/Tabela2[[#This Row],[R3_Novo]]</f>
        <v>0.99483333333333335</v>
      </c>
      <c r="D22" s="2" t="str">
        <f>IF(Tabela2[[#This Row],[% R3_Novo]]&lt;0.85,"Não","Sim")</f>
        <v>Sim</v>
      </c>
      <c r="E22" s="2">
        <f>Estudo_Drive!$S$20</f>
        <v>444.88188976377955</v>
      </c>
      <c r="F22" s="11">
        <f>Tabela2[[#This Row],[Resistencia]]/Tabela2[[#This Row],[R2_Novo]]</f>
        <v>0.10564601769911504</v>
      </c>
      <c r="G22" s="2" t="str">
        <f>IF(Tabela2[[#This Row],[% R2_Novo]]&lt;0.9,"Não","Sim")</f>
        <v>Não</v>
      </c>
      <c r="H22" s="2">
        <f>Estudo_Drive!$S$24</f>
        <v>4448.818897637796</v>
      </c>
      <c r="I22" s="11">
        <f>Tabela2[[#This Row],[Resistencia]]/Tabela2[[#This Row],[R1_Novo]]</f>
        <v>1.0564601769911502E-2</v>
      </c>
      <c r="J22" s="2" t="str">
        <f>IF(Tabela2[[#This Row],[% R1_Novo]]&lt;0.9,"Não","Sim")</f>
        <v>Não</v>
      </c>
      <c r="K22" s="2">
        <f>Estudo_Drive!$S$28</f>
        <v>16929.133858267716</v>
      </c>
      <c r="L22" s="11">
        <f>Tabela2[[#This Row],[Resistencia]]/Tabela2[[#This Row],[Rg_Novo]]</f>
        <v>2.7762790697674418E-3</v>
      </c>
      <c r="M22" s="2" t="str">
        <f>IF(Tabela2[[#This Row],[% Rg_Novo]]&lt;0.9,"Não","Sim")</f>
        <v>Não</v>
      </c>
      <c r="N22" s="2">
        <f>Calculo_FlyBack_Simples!$Q$18</f>
        <v>6691</v>
      </c>
      <c r="O22" s="11">
        <f>Tabela2[[#This Row],[Resistencia]]/Tabela2[[#This Row],[R_Snubber]]</f>
        <v>7.0243610820505155E-3</v>
      </c>
      <c r="P22" s="2" t="str">
        <f>IF(Tabela2[[#This Row],[% R_Snubber]]&lt;0.9,"Não","Sim")</f>
        <v>Não</v>
      </c>
    </row>
    <row r="23" spans="1:16" x14ac:dyDescent="0.25">
      <c r="A23" s="2">
        <v>56</v>
      </c>
      <c r="B23" s="2">
        <f>Estudo_Drive!$S$4</f>
        <v>47.244094488188978</v>
      </c>
      <c r="C23" s="11">
        <f>Tabela2[[#This Row],[Resistencia]]/Tabela2[[#This Row],[R3_Novo]]</f>
        <v>1.1853333333333333</v>
      </c>
      <c r="D23" s="2" t="str">
        <f>IF(Tabela2[[#This Row],[% R3_Novo]]&lt;0.85,"Não","Sim")</f>
        <v>Sim</v>
      </c>
      <c r="E23" s="2">
        <f>Estudo_Drive!$S$20</f>
        <v>444.88188976377955</v>
      </c>
      <c r="F23" s="11">
        <f>Tabela2[[#This Row],[Resistencia]]/Tabela2[[#This Row],[R2_Novo]]</f>
        <v>0.12587610619469025</v>
      </c>
      <c r="G23" s="2" t="str">
        <f>IF(Tabela2[[#This Row],[% R2_Novo]]&lt;0.9,"Não","Sim")</f>
        <v>Não</v>
      </c>
      <c r="H23" s="2">
        <f>Estudo_Drive!$S$24</f>
        <v>4448.818897637796</v>
      </c>
      <c r="I23" s="11">
        <f>Tabela2[[#This Row],[Resistencia]]/Tabela2[[#This Row],[R1_Novo]]</f>
        <v>1.2587610619469024E-2</v>
      </c>
      <c r="J23" s="2" t="str">
        <f>IF(Tabela2[[#This Row],[% R1_Novo]]&lt;0.9,"Não","Sim")</f>
        <v>Não</v>
      </c>
      <c r="K23" s="2">
        <f>Estudo_Drive!$S$28</f>
        <v>16929.133858267716</v>
      </c>
      <c r="L23" s="11">
        <f>Tabela2[[#This Row],[Resistencia]]/Tabela2[[#This Row],[Rg_Novo]]</f>
        <v>3.3079069767441862E-3</v>
      </c>
      <c r="M23" s="2" t="str">
        <f>IF(Tabela2[[#This Row],[% Rg_Novo]]&lt;0.9,"Não","Sim")</f>
        <v>Não</v>
      </c>
      <c r="N23" s="2">
        <f>Calculo_FlyBack_Simples!$Q$18</f>
        <v>6691</v>
      </c>
      <c r="O23" s="11">
        <f>Tabela2[[#This Row],[Resistencia]]/Tabela2[[#This Row],[R_Snubber]]</f>
        <v>8.3694515020176358E-3</v>
      </c>
      <c r="P23" s="2" t="str">
        <f>IF(Tabela2[[#This Row],[% R_Snubber]]&lt;0.9,"Não","Sim")</f>
        <v>Não</v>
      </c>
    </row>
    <row r="24" spans="1:16" x14ac:dyDescent="0.25">
      <c r="A24" s="2">
        <v>68</v>
      </c>
      <c r="B24" s="2">
        <f>Estudo_Drive!$S$4</f>
        <v>47.244094488188978</v>
      </c>
      <c r="C24" s="11">
        <f>Tabela2[[#This Row],[Resistencia]]/Tabela2[[#This Row],[R3_Novo]]</f>
        <v>1.4393333333333334</v>
      </c>
      <c r="D24" s="2" t="str">
        <f>IF(Tabela2[[#This Row],[% R3_Novo]]&lt;0.85,"Não","Sim")</f>
        <v>Sim</v>
      </c>
      <c r="E24" s="2">
        <f>Estudo_Drive!$S$20</f>
        <v>444.88188976377955</v>
      </c>
      <c r="F24" s="11">
        <f>Tabela2[[#This Row],[Resistencia]]/Tabela2[[#This Row],[R2_Novo]]</f>
        <v>0.1528495575221239</v>
      </c>
      <c r="G24" s="2" t="str">
        <f>IF(Tabela2[[#This Row],[% R2_Novo]]&lt;0.9,"Não","Sim")</f>
        <v>Não</v>
      </c>
      <c r="H24" s="2">
        <f>Estudo_Drive!$S$24</f>
        <v>4448.818897637796</v>
      </c>
      <c r="I24" s="11">
        <f>Tabela2[[#This Row],[Resistencia]]/Tabela2[[#This Row],[R1_Novo]]</f>
        <v>1.5284955752212387E-2</v>
      </c>
      <c r="J24" s="2" t="str">
        <f>IF(Tabela2[[#This Row],[% R1_Novo]]&lt;0.9,"Não","Sim")</f>
        <v>Não</v>
      </c>
      <c r="K24" s="2">
        <f>Estudo_Drive!$S$28</f>
        <v>16929.133858267716</v>
      </c>
      <c r="L24" s="11">
        <f>Tabela2[[#This Row],[Resistencia]]/Tabela2[[#This Row],[Rg_Novo]]</f>
        <v>4.0167441860465116E-3</v>
      </c>
      <c r="M24" s="2" t="str">
        <f>IF(Tabela2[[#This Row],[% Rg_Novo]]&lt;0.9,"Não","Sim")</f>
        <v>Não</v>
      </c>
      <c r="N24" s="2">
        <f>Calculo_FlyBack_Simples!$Q$18</f>
        <v>6691</v>
      </c>
      <c r="O24" s="11">
        <f>Tabela2[[#This Row],[Resistencia]]/Tabela2[[#This Row],[R_Snubber]]</f>
        <v>1.0162905395307129E-2</v>
      </c>
      <c r="P24" s="2" t="str">
        <f>IF(Tabela2[[#This Row],[% R_Snubber]]&lt;0.9,"Não","Sim")</f>
        <v>Não</v>
      </c>
    </row>
    <row r="25" spans="1:16" x14ac:dyDescent="0.25">
      <c r="A25" s="2">
        <v>82</v>
      </c>
      <c r="B25" s="2">
        <f>Estudo_Drive!$S$4</f>
        <v>47.244094488188978</v>
      </c>
      <c r="C25" s="11">
        <f>Tabela2[[#This Row],[Resistencia]]/Tabela2[[#This Row],[R3_Novo]]</f>
        <v>1.7356666666666667</v>
      </c>
      <c r="D25" s="2" t="str">
        <f>IF(Tabela2[[#This Row],[% R3_Novo]]&lt;0.85,"Não","Sim")</f>
        <v>Sim</v>
      </c>
      <c r="E25" s="2">
        <f>Estudo_Drive!$S$20</f>
        <v>444.88188976377955</v>
      </c>
      <c r="F25" s="11">
        <f>Tabela2[[#This Row],[Resistencia]]/Tabela2[[#This Row],[R2_Novo]]</f>
        <v>0.18431858407079646</v>
      </c>
      <c r="G25" s="2" t="str">
        <f>IF(Tabela2[[#This Row],[% R2_Novo]]&lt;0.9,"Não","Sim")</f>
        <v>Não</v>
      </c>
      <c r="H25" s="2">
        <f>Estudo_Drive!$S$24</f>
        <v>4448.818897637796</v>
      </c>
      <c r="I25" s="11">
        <f>Tabela2[[#This Row],[Resistencia]]/Tabela2[[#This Row],[R1_Novo]]</f>
        <v>1.8431858407079643E-2</v>
      </c>
      <c r="J25" s="2" t="str">
        <f>IF(Tabela2[[#This Row],[% R1_Novo]]&lt;0.9,"Não","Sim")</f>
        <v>Não</v>
      </c>
      <c r="K25" s="2">
        <f>Estudo_Drive!$S$28</f>
        <v>16929.133858267716</v>
      </c>
      <c r="L25" s="11">
        <f>Tabela2[[#This Row],[Resistencia]]/Tabela2[[#This Row],[Rg_Novo]]</f>
        <v>4.8437209302325578E-3</v>
      </c>
      <c r="M25" s="2" t="str">
        <f>IF(Tabela2[[#This Row],[% Rg_Novo]]&lt;0.9,"Não","Sim")</f>
        <v>Não</v>
      </c>
      <c r="N25" s="2">
        <f>Calculo_FlyBack_Simples!$Q$18</f>
        <v>6691</v>
      </c>
      <c r="O25" s="11">
        <f>Tabela2[[#This Row],[Resistencia]]/Tabela2[[#This Row],[R_Snubber]]</f>
        <v>1.2255268270811538E-2</v>
      </c>
      <c r="P25" s="2" t="str">
        <f>IF(Tabela2[[#This Row],[% R_Snubber]]&lt;0.9,"Não","Sim")</f>
        <v>Não</v>
      </c>
    </row>
    <row r="26" spans="1:16" x14ac:dyDescent="0.25">
      <c r="A26" s="2">
        <v>100</v>
      </c>
      <c r="B26" s="2">
        <f>Estudo_Drive!$S$4</f>
        <v>47.244094488188978</v>
      </c>
      <c r="C26" s="11">
        <f>Tabela2[[#This Row],[Resistencia]]/Tabela2[[#This Row],[R3_Novo]]</f>
        <v>2.1166666666666667</v>
      </c>
      <c r="D26" s="2" t="str">
        <f>IF(Tabela2[[#This Row],[% R3_Novo]]&lt;0.85,"Não","Sim")</f>
        <v>Sim</v>
      </c>
      <c r="E26" s="2">
        <f>Estudo_Drive!$S$20</f>
        <v>444.88188976377955</v>
      </c>
      <c r="F26" s="11">
        <f>Tabela2[[#This Row],[Resistencia]]/Tabela2[[#This Row],[R2_Novo]]</f>
        <v>0.22477876106194689</v>
      </c>
      <c r="G26" s="2" t="str">
        <f>IF(Tabela2[[#This Row],[% R2_Novo]]&lt;0.9,"Não","Sim")</f>
        <v>Não</v>
      </c>
      <c r="H26" s="2">
        <f>Estudo_Drive!$S$24</f>
        <v>4448.818897637796</v>
      </c>
      <c r="I26" s="11">
        <f>Tabela2[[#This Row],[Resistencia]]/Tabela2[[#This Row],[R1_Novo]]</f>
        <v>2.2477876106194686E-2</v>
      </c>
      <c r="J26" s="2" t="str">
        <f>IF(Tabela2[[#This Row],[% R1_Novo]]&lt;0.9,"Não","Sim")</f>
        <v>Não</v>
      </c>
      <c r="K26" s="2">
        <f>Estudo_Drive!$S$28</f>
        <v>16929.133858267716</v>
      </c>
      <c r="L26" s="11">
        <f>Tabela2[[#This Row],[Resistencia]]/Tabela2[[#This Row],[Rg_Novo]]</f>
        <v>5.9069767441860465E-3</v>
      </c>
      <c r="M26" s="2" t="str">
        <f>IF(Tabela2[[#This Row],[% Rg_Novo]]&lt;0.9,"Não","Sim")</f>
        <v>Não</v>
      </c>
      <c r="N26" s="2">
        <f>Calculo_FlyBack_Simples!$Q$18</f>
        <v>6691</v>
      </c>
      <c r="O26" s="11">
        <f>Tabela2[[#This Row],[Resistencia]]/Tabela2[[#This Row],[R_Snubber]]</f>
        <v>1.4945449110745778E-2</v>
      </c>
      <c r="P26" s="2" t="str">
        <f>IF(Tabela2[[#This Row],[% R_Snubber]]&lt;0.9,"Não","Sim")</f>
        <v>Não</v>
      </c>
    </row>
    <row r="27" spans="1:16" x14ac:dyDescent="0.25">
      <c r="A27" s="2">
        <v>120</v>
      </c>
      <c r="B27" s="2">
        <f>Estudo_Drive!$S$4</f>
        <v>47.244094488188978</v>
      </c>
      <c r="C27" s="11">
        <f>Tabela2[[#This Row],[Resistencia]]/Tabela2[[#This Row],[R3_Novo]]</f>
        <v>2.54</v>
      </c>
      <c r="D27" s="2" t="str">
        <f>IF(Tabela2[[#This Row],[% R3_Novo]]&lt;0.85,"Não","Sim")</f>
        <v>Sim</v>
      </c>
      <c r="E27" s="2">
        <f>Estudo_Drive!$S$20</f>
        <v>444.88188976377955</v>
      </c>
      <c r="F27" s="11">
        <f>Tabela2[[#This Row],[Resistencia]]/Tabela2[[#This Row],[R2_Novo]]</f>
        <v>0.26973451327433628</v>
      </c>
      <c r="G27" s="2" t="str">
        <f>IF(Tabela2[[#This Row],[% R2_Novo]]&lt;0.9,"Não","Sim")</f>
        <v>Não</v>
      </c>
      <c r="H27" s="2">
        <f>Estudo_Drive!$S$24</f>
        <v>4448.818897637796</v>
      </c>
      <c r="I27" s="11">
        <f>Tabela2[[#This Row],[Resistencia]]/Tabela2[[#This Row],[R1_Novo]]</f>
        <v>2.6973451327433624E-2</v>
      </c>
      <c r="J27" s="2" t="str">
        <f>IF(Tabela2[[#This Row],[% R1_Novo]]&lt;0.9,"Não","Sim")</f>
        <v>Não</v>
      </c>
      <c r="K27" s="2">
        <f>Estudo_Drive!$S$28</f>
        <v>16929.133858267716</v>
      </c>
      <c r="L27" s="11">
        <f>Tabela2[[#This Row],[Resistencia]]/Tabela2[[#This Row],[Rg_Novo]]</f>
        <v>7.0883720930232557E-3</v>
      </c>
      <c r="M27" s="2" t="str">
        <f>IF(Tabela2[[#This Row],[% Rg_Novo]]&lt;0.9,"Não","Sim")</f>
        <v>Não</v>
      </c>
      <c r="N27" s="2">
        <f>Calculo_FlyBack_Simples!$Q$18</f>
        <v>6691</v>
      </c>
      <c r="O27" s="11">
        <f>Tabela2[[#This Row],[Resistencia]]/Tabela2[[#This Row],[R_Snubber]]</f>
        <v>1.7934538932894935E-2</v>
      </c>
      <c r="P27" s="2" t="str">
        <f>IF(Tabela2[[#This Row],[% R_Snubber]]&lt;0.9,"Não","Sim")</f>
        <v>Não</v>
      </c>
    </row>
    <row r="28" spans="1:16" x14ac:dyDescent="0.25">
      <c r="A28" s="2">
        <v>150</v>
      </c>
      <c r="B28" s="2">
        <f>Estudo_Drive!$S$4</f>
        <v>47.244094488188978</v>
      </c>
      <c r="C28" s="11">
        <f>Tabela2[[#This Row],[Resistencia]]/Tabela2[[#This Row],[R3_Novo]]</f>
        <v>3.1749999999999998</v>
      </c>
      <c r="D28" s="2" t="str">
        <f>IF(Tabela2[[#This Row],[% R3_Novo]]&lt;0.85,"Não","Sim")</f>
        <v>Sim</v>
      </c>
      <c r="E28" s="2">
        <f>Estudo_Drive!$S$20</f>
        <v>444.88188976377955</v>
      </c>
      <c r="F28" s="11">
        <f>Tabela2[[#This Row],[Resistencia]]/Tabela2[[#This Row],[R2_Novo]]</f>
        <v>0.33716814159292036</v>
      </c>
      <c r="G28" s="2" t="str">
        <f>IF(Tabela2[[#This Row],[% R2_Novo]]&lt;0.9,"Não","Sim")</f>
        <v>Não</v>
      </c>
      <c r="H28" s="2">
        <f>Estudo_Drive!$S$24</f>
        <v>4448.818897637796</v>
      </c>
      <c r="I28" s="11">
        <f>Tabela2[[#This Row],[Resistencia]]/Tabela2[[#This Row],[R1_Novo]]</f>
        <v>3.3716814159292029E-2</v>
      </c>
      <c r="J28" s="2" t="str">
        <f>IF(Tabela2[[#This Row],[% R1_Novo]]&lt;0.9,"Não","Sim")</f>
        <v>Não</v>
      </c>
      <c r="K28" s="2">
        <f>Estudo_Drive!$S$28</f>
        <v>16929.133858267716</v>
      </c>
      <c r="L28" s="11">
        <f>Tabela2[[#This Row],[Resistencia]]/Tabela2[[#This Row],[Rg_Novo]]</f>
        <v>8.8604651162790694E-3</v>
      </c>
      <c r="M28" s="2" t="str">
        <f>IF(Tabela2[[#This Row],[% Rg_Novo]]&lt;0.9,"Não","Sim")</f>
        <v>Não</v>
      </c>
      <c r="N28" s="2">
        <f>Calculo_FlyBack_Simples!$Q$18</f>
        <v>6691</v>
      </c>
      <c r="O28" s="11">
        <f>Tabela2[[#This Row],[Resistencia]]/Tabela2[[#This Row],[R_Snubber]]</f>
        <v>2.2418173666118667E-2</v>
      </c>
      <c r="P28" s="2" t="str">
        <f>IF(Tabela2[[#This Row],[% R_Snubber]]&lt;0.9,"Não","Sim")</f>
        <v>Não</v>
      </c>
    </row>
    <row r="29" spans="1:16" x14ac:dyDescent="0.25">
      <c r="A29" s="2">
        <v>180</v>
      </c>
      <c r="B29" s="2">
        <f>Estudo_Drive!$S$4</f>
        <v>47.244094488188978</v>
      </c>
      <c r="C29" s="11">
        <f>Tabela2[[#This Row],[Resistencia]]/Tabela2[[#This Row],[R3_Novo]]</f>
        <v>3.81</v>
      </c>
      <c r="D29" s="2" t="str">
        <f>IF(Tabela2[[#This Row],[% R3_Novo]]&lt;0.85,"Não","Sim")</f>
        <v>Sim</v>
      </c>
      <c r="E29" s="2">
        <f>Estudo_Drive!$S$20</f>
        <v>444.88188976377955</v>
      </c>
      <c r="F29" s="11">
        <f>Tabela2[[#This Row],[Resistencia]]/Tabela2[[#This Row],[R2_Novo]]</f>
        <v>0.40460176991150443</v>
      </c>
      <c r="G29" s="2" t="str">
        <f>IF(Tabela2[[#This Row],[% R2_Novo]]&lt;0.9,"Não","Sim")</f>
        <v>Não</v>
      </c>
      <c r="H29" s="2">
        <f>Estudo_Drive!$S$24</f>
        <v>4448.818897637796</v>
      </c>
      <c r="I29" s="11">
        <f>Tabela2[[#This Row],[Resistencia]]/Tabela2[[#This Row],[R1_Novo]]</f>
        <v>4.0460176991150433E-2</v>
      </c>
      <c r="J29" s="2" t="str">
        <f>IF(Tabela2[[#This Row],[% R1_Novo]]&lt;0.9,"Não","Sim")</f>
        <v>Não</v>
      </c>
      <c r="K29" s="2">
        <f>Estudo_Drive!$S$28</f>
        <v>16929.133858267716</v>
      </c>
      <c r="L29" s="11">
        <f>Tabela2[[#This Row],[Resistencia]]/Tabela2[[#This Row],[Rg_Novo]]</f>
        <v>1.0632558139534884E-2</v>
      </c>
      <c r="M29" s="2" t="str">
        <f>IF(Tabela2[[#This Row],[% Rg_Novo]]&lt;0.9,"Não","Sim")</f>
        <v>Não</v>
      </c>
      <c r="N29" s="2">
        <f>Calculo_FlyBack_Simples!$Q$18</f>
        <v>6691</v>
      </c>
      <c r="O29" s="11">
        <f>Tabela2[[#This Row],[Resistencia]]/Tabela2[[#This Row],[R_Snubber]]</f>
        <v>2.6901808399342399E-2</v>
      </c>
      <c r="P29" s="2" t="str">
        <f>IF(Tabela2[[#This Row],[% R_Snubber]]&lt;0.9,"Não","Sim")</f>
        <v>Não</v>
      </c>
    </row>
    <row r="30" spans="1:16" x14ac:dyDescent="0.25">
      <c r="A30" s="2">
        <v>220</v>
      </c>
      <c r="B30" s="2">
        <f>Estudo_Drive!$S$4</f>
        <v>47.244094488188978</v>
      </c>
      <c r="C30" s="11">
        <f>Tabela2[[#This Row],[Resistencia]]/Tabela2[[#This Row],[R3_Novo]]</f>
        <v>4.6566666666666663</v>
      </c>
      <c r="D30" s="2" t="str">
        <f>IF(Tabela2[[#This Row],[% R3_Novo]]&lt;0.85,"Não","Sim")</f>
        <v>Sim</v>
      </c>
      <c r="E30" s="2">
        <f>Estudo_Drive!$S$20</f>
        <v>444.88188976377955</v>
      </c>
      <c r="F30" s="11">
        <f>Tabela2[[#This Row],[Resistencia]]/Tabela2[[#This Row],[R2_Novo]]</f>
        <v>0.49451327433628317</v>
      </c>
      <c r="G30" s="2" t="str">
        <f>IF(Tabela2[[#This Row],[% R2_Novo]]&lt;0.9,"Não","Sim")</f>
        <v>Não</v>
      </c>
      <c r="H30" s="2">
        <f>Estudo_Drive!$S$24</f>
        <v>4448.818897637796</v>
      </c>
      <c r="I30" s="11">
        <f>Tabela2[[#This Row],[Resistencia]]/Tabela2[[#This Row],[R1_Novo]]</f>
        <v>4.945132743362831E-2</v>
      </c>
      <c r="J30" s="2" t="str">
        <f>IF(Tabela2[[#This Row],[% R1_Novo]]&lt;0.9,"Não","Sim")</f>
        <v>Não</v>
      </c>
      <c r="K30" s="2">
        <f>Estudo_Drive!$S$28</f>
        <v>16929.133858267716</v>
      </c>
      <c r="L30" s="11">
        <f>Tabela2[[#This Row],[Resistencia]]/Tabela2[[#This Row],[Rg_Novo]]</f>
        <v>1.2995348837209302E-2</v>
      </c>
      <c r="M30" s="2" t="str">
        <f>IF(Tabela2[[#This Row],[% Rg_Novo]]&lt;0.9,"Não","Sim")</f>
        <v>Não</v>
      </c>
      <c r="N30" s="2">
        <f>Calculo_FlyBack_Simples!$Q$18</f>
        <v>6691</v>
      </c>
      <c r="O30" s="11">
        <f>Tabela2[[#This Row],[Resistencia]]/Tabela2[[#This Row],[R_Snubber]]</f>
        <v>3.2879988043640708E-2</v>
      </c>
      <c r="P30" s="2" t="str">
        <f>IF(Tabela2[[#This Row],[% R_Snubber]]&lt;0.9,"Não","Sim")</f>
        <v>Não</v>
      </c>
    </row>
    <row r="31" spans="1:16" x14ac:dyDescent="0.25">
      <c r="A31" s="2">
        <v>270</v>
      </c>
      <c r="B31" s="2">
        <f>Estudo_Drive!$S$4</f>
        <v>47.244094488188978</v>
      </c>
      <c r="C31" s="11">
        <f>Tabela2[[#This Row],[Resistencia]]/Tabela2[[#This Row],[R3_Novo]]</f>
        <v>5.7149999999999999</v>
      </c>
      <c r="D31" s="2" t="str">
        <f>IF(Tabela2[[#This Row],[% R3_Novo]]&lt;0.85,"Não","Sim")</f>
        <v>Sim</v>
      </c>
      <c r="E31" s="2">
        <f>Estudo_Drive!$S$20</f>
        <v>444.88188976377955</v>
      </c>
      <c r="F31" s="11">
        <f>Tabela2[[#This Row],[Resistencia]]/Tabela2[[#This Row],[R2_Novo]]</f>
        <v>0.60690265486725659</v>
      </c>
      <c r="G31" s="2" t="str">
        <f>IF(Tabela2[[#This Row],[% R2_Novo]]&lt;0.9,"Não","Sim")</f>
        <v>Não</v>
      </c>
      <c r="H31" s="2">
        <f>Estudo_Drive!$S$24</f>
        <v>4448.818897637796</v>
      </c>
      <c r="I31" s="11">
        <f>Tabela2[[#This Row],[Resistencia]]/Tabela2[[#This Row],[R1_Novo]]</f>
        <v>6.0690265486725653E-2</v>
      </c>
      <c r="J31" s="2" t="str">
        <f>IF(Tabela2[[#This Row],[% R1_Novo]]&lt;0.9,"Não","Sim")</f>
        <v>Não</v>
      </c>
      <c r="K31" s="2">
        <f>Estudo_Drive!$S$28</f>
        <v>16929.133858267716</v>
      </c>
      <c r="L31" s="11">
        <f>Tabela2[[#This Row],[Resistencia]]/Tabela2[[#This Row],[Rg_Novo]]</f>
        <v>1.5948837209302326E-2</v>
      </c>
      <c r="M31" s="2" t="str">
        <f>IF(Tabela2[[#This Row],[% Rg_Novo]]&lt;0.9,"Não","Sim")</f>
        <v>Não</v>
      </c>
      <c r="N31" s="2">
        <f>Calculo_FlyBack_Simples!$Q$18</f>
        <v>6691</v>
      </c>
      <c r="O31" s="11">
        <f>Tabela2[[#This Row],[Resistencia]]/Tabela2[[#This Row],[R_Snubber]]</f>
        <v>4.0352712599013602E-2</v>
      </c>
      <c r="P31" s="2" t="str">
        <f>IF(Tabela2[[#This Row],[% R_Snubber]]&lt;0.9,"Não","Sim")</f>
        <v>Não</v>
      </c>
    </row>
    <row r="32" spans="1:16" x14ac:dyDescent="0.25">
      <c r="A32" s="2">
        <v>330</v>
      </c>
      <c r="B32" s="2">
        <f>Estudo_Drive!$S$4</f>
        <v>47.244094488188978</v>
      </c>
      <c r="C32" s="11">
        <f>Tabela2[[#This Row],[Resistencia]]/Tabela2[[#This Row],[R3_Novo]]</f>
        <v>6.9849999999999994</v>
      </c>
      <c r="D32" s="2" t="str">
        <f>IF(Tabela2[[#This Row],[% R3_Novo]]&lt;0.85,"Não","Sim")</f>
        <v>Sim</v>
      </c>
      <c r="E32" s="2">
        <f>Estudo_Drive!$S$20</f>
        <v>444.88188976377955</v>
      </c>
      <c r="F32" s="11">
        <f>Tabela2[[#This Row],[Resistencia]]/Tabela2[[#This Row],[R2_Novo]]</f>
        <v>0.74176991150442473</v>
      </c>
      <c r="G32" s="2" t="str">
        <f>IF(Tabela2[[#This Row],[% R2_Novo]]&lt;0.9,"Não","Sim")</f>
        <v>Não</v>
      </c>
      <c r="H32" s="2">
        <f>Estudo_Drive!$S$24</f>
        <v>4448.818897637796</v>
      </c>
      <c r="I32" s="11">
        <f>Tabela2[[#This Row],[Resistencia]]/Tabela2[[#This Row],[R1_Novo]]</f>
        <v>7.4176991150442462E-2</v>
      </c>
      <c r="J32" s="2" t="str">
        <f>IF(Tabela2[[#This Row],[% R1_Novo]]&lt;0.9,"Não","Sim")</f>
        <v>Não</v>
      </c>
      <c r="K32" s="2">
        <f>Estudo_Drive!$S$28</f>
        <v>16929.133858267716</v>
      </c>
      <c r="L32" s="11">
        <f>Tabela2[[#This Row],[Resistencia]]/Tabela2[[#This Row],[Rg_Novo]]</f>
        <v>1.9493023255813955E-2</v>
      </c>
      <c r="M32" s="2" t="str">
        <f>IF(Tabela2[[#This Row],[% Rg_Novo]]&lt;0.9,"Não","Sim")</f>
        <v>Não</v>
      </c>
      <c r="N32" s="2">
        <f>Calculo_FlyBack_Simples!$Q$18</f>
        <v>6691</v>
      </c>
      <c r="O32" s="11">
        <f>Tabela2[[#This Row],[Resistencia]]/Tabela2[[#This Row],[R_Snubber]]</f>
        <v>4.9319982065461065E-2</v>
      </c>
      <c r="P32" s="2" t="str">
        <f>IF(Tabela2[[#This Row],[% R_Snubber]]&lt;0.9,"Não","Sim")</f>
        <v>Não</v>
      </c>
    </row>
    <row r="33" spans="1:16" x14ac:dyDescent="0.25">
      <c r="A33" s="2">
        <v>390</v>
      </c>
      <c r="B33" s="2">
        <f>Estudo_Drive!$S$4</f>
        <v>47.244094488188978</v>
      </c>
      <c r="C33" s="11">
        <f>Tabela2[[#This Row],[Resistencia]]/Tabela2[[#This Row],[R3_Novo]]</f>
        <v>8.254999999999999</v>
      </c>
      <c r="D33" s="2" t="str">
        <f>IF(Tabela2[[#This Row],[% R3_Novo]]&lt;0.85,"Não","Sim")</f>
        <v>Sim</v>
      </c>
      <c r="E33" s="2">
        <f>Estudo_Drive!$S$20</f>
        <v>444.88188976377955</v>
      </c>
      <c r="F33" s="11">
        <f>Tabela2[[#This Row],[Resistencia]]/Tabela2[[#This Row],[R2_Novo]]</f>
        <v>0.87663716814159287</v>
      </c>
      <c r="G33" s="2" t="str">
        <f>IF(Tabela2[[#This Row],[% R2_Novo]]&lt;0.9,"Não","Sim")</f>
        <v>Não</v>
      </c>
      <c r="H33" s="2">
        <f>Estudo_Drive!$S$24</f>
        <v>4448.818897637796</v>
      </c>
      <c r="I33" s="11">
        <f>Tabela2[[#This Row],[Resistencia]]/Tabela2[[#This Row],[R1_Novo]]</f>
        <v>8.7663716814159284E-2</v>
      </c>
      <c r="J33" s="2" t="str">
        <f>IF(Tabela2[[#This Row],[% R1_Novo]]&lt;0.9,"Não","Sim")</f>
        <v>Não</v>
      </c>
      <c r="K33" s="2">
        <f>Estudo_Drive!$S$28</f>
        <v>16929.133858267716</v>
      </c>
      <c r="L33" s="11">
        <f>Tabela2[[#This Row],[Resistencia]]/Tabela2[[#This Row],[Rg_Novo]]</f>
        <v>2.3037209302325581E-2</v>
      </c>
      <c r="M33" s="2" t="str">
        <f>IF(Tabela2[[#This Row],[% Rg_Novo]]&lt;0.9,"Não","Sim")</f>
        <v>Não</v>
      </c>
      <c r="N33" s="2">
        <f>Calculo_FlyBack_Simples!$Q$18</f>
        <v>6691</v>
      </c>
      <c r="O33" s="11">
        <f>Tabela2[[#This Row],[Resistencia]]/Tabela2[[#This Row],[R_Snubber]]</f>
        <v>5.8287251531908536E-2</v>
      </c>
      <c r="P33" s="2" t="str">
        <f>IF(Tabela2[[#This Row],[% R_Snubber]]&lt;0.9,"Não","Sim")</f>
        <v>Não</v>
      </c>
    </row>
    <row r="34" spans="1:16" x14ac:dyDescent="0.25">
      <c r="A34" s="2">
        <v>470</v>
      </c>
      <c r="B34" s="2">
        <f>Estudo_Drive!$S$4</f>
        <v>47.244094488188978</v>
      </c>
      <c r="C34" s="11">
        <f>Tabela2[[#This Row],[Resistencia]]/Tabela2[[#This Row],[R3_Novo]]</f>
        <v>9.9483333333333324</v>
      </c>
      <c r="D34" s="2" t="str">
        <f>IF(Tabela2[[#This Row],[% R3_Novo]]&lt;0.85,"Não","Sim")</f>
        <v>Sim</v>
      </c>
      <c r="E34" s="2">
        <f>Estudo_Drive!$S$20</f>
        <v>444.88188976377955</v>
      </c>
      <c r="F34" s="11">
        <f>Tabela2[[#This Row],[Resistencia]]/Tabela2[[#This Row],[R2_Novo]]</f>
        <v>1.0564601769911504</v>
      </c>
      <c r="G34" s="2" t="str">
        <f>IF(Tabela2[[#This Row],[% R2_Novo]]&lt;0.9,"Não","Sim")</f>
        <v>Sim</v>
      </c>
      <c r="H34" s="2">
        <f>Estudo_Drive!$S$24</f>
        <v>4448.818897637796</v>
      </c>
      <c r="I34" s="11">
        <f>Tabela2[[#This Row],[Resistencia]]/Tabela2[[#This Row],[R1_Novo]]</f>
        <v>0.10564601769911502</v>
      </c>
      <c r="J34" s="2" t="str">
        <f>IF(Tabela2[[#This Row],[% R1_Novo]]&lt;0.9,"Não","Sim")</f>
        <v>Não</v>
      </c>
      <c r="K34" s="2">
        <f>Estudo_Drive!$S$28</f>
        <v>16929.133858267716</v>
      </c>
      <c r="L34" s="11">
        <f>Tabela2[[#This Row],[Resistencia]]/Tabela2[[#This Row],[Rg_Novo]]</f>
        <v>2.7762790697674421E-2</v>
      </c>
      <c r="M34" s="2" t="str">
        <f>IF(Tabela2[[#This Row],[% Rg_Novo]]&lt;0.9,"Não","Sim")</f>
        <v>Não</v>
      </c>
      <c r="N34" s="2">
        <f>Calculo_FlyBack_Simples!$Q$18</f>
        <v>6691</v>
      </c>
      <c r="O34" s="11">
        <f>Tabela2[[#This Row],[Resistencia]]/Tabela2[[#This Row],[R_Snubber]]</f>
        <v>7.0243610820505162E-2</v>
      </c>
      <c r="P34" s="2" t="str">
        <f>IF(Tabela2[[#This Row],[% R_Snubber]]&lt;0.9,"Não","Sim")</f>
        <v>Não</v>
      </c>
    </row>
    <row r="35" spans="1:16" x14ac:dyDescent="0.25">
      <c r="A35" s="2">
        <v>560</v>
      </c>
      <c r="B35" s="2">
        <f>Estudo_Drive!$S$4</f>
        <v>47.244094488188978</v>
      </c>
      <c r="C35" s="11">
        <f>Tabela2[[#This Row],[Resistencia]]/Tabela2[[#This Row],[R3_Novo]]</f>
        <v>11.853333333333333</v>
      </c>
      <c r="D35" s="2" t="str">
        <f>IF(Tabela2[[#This Row],[% R3_Novo]]&lt;0.85,"Não","Sim")</f>
        <v>Sim</v>
      </c>
      <c r="E35" s="2">
        <f>Estudo_Drive!$S$20</f>
        <v>444.88188976377955</v>
      </c>
      <c r="F35" s="11">
        <f>Tabela2[[#This Row],[Resistencia]]/Tabela2[[#This Row],[R2_Novo]]</f>
        <v>1.2587610619469025</v>
      </c>
      <c r="G35" s="2" t="str">
        <f>IF(Tabela2[[#This Row],[% R2_Novo]]&lt;0.9,"Não","Sim")</f>
        <v>Sim</v>
      </c>
      <c r="H35" s="2">
        <f>Estudo_Drive!$S$24</f>
        <v>4448.818897637796</v>
      </c>
      <c r="I35" s="11">
        <f>Tabela2[[#This Row],[Resistencia]]/Tabela2[[#This Row],[R1_Novo]]</f>
        <v>0.12587610619469025</v>
      </c>
      <c r="J35" s="2" t="str">
        <f>IF(Tabela2[[#This Row],[% R1_Novo]]&lt;0.9,"Não","Sim")</f>
        <v>Não</v>
      </c>
      <c r="K35" s="2">
        <f>Estudo_Drive!$S$28</f>
        <v>16929.133858267716</v>
      </c>
      <c r="L35" s="11">
        <f>Tabela2[[#This Row],[Resistencia]]/Tabela2[[#This Row],[Rg_Novo]]</f>
        <v>3.3079069767441863E-2</v>
      </c>
      <c r="M35" s="2" t="str">
        <f>IF(Tabela2[[#This Row],[% Rg_Novo]]&lt;0.9,"Não","Sim")</f>
        <v>Não</v>
      </c>
      <c r="N35" s="2">
        <f>Calculo_FlyBack_Simples!$Q$18</f>
        <v>6691</v>
      </c>
      <c r="O35" s="11">
        <f>Tabela2[[#This Row],[Resistencia]]/Tabela2[[#This Row],[R_Snubber]]</f>
        <v>8.3694515020176358E-2</v>
      </c>
      <c r="P35" s="2" t="str">
        <f>IF(Tabela2[[#This Row],[% R_Snubber]]&lt;0.9,"Não","Sim")</f>
        <v>Não</v>
      </c>
    </row>
    <row r="36" spans="1:16" x14ac:dyDescent="0.25">
      <c r="A36" s="2">
        <v>680</v>
      </c>
      <c r="B36" s="2">
        <f>Estudo_Drive!$S$4</f>
        <v>47.244094488188978</v>
      </c>
      <c r="C36" s="11">
        <f>Tabela2[[#This Row],[Resistencia]]/Tabela2[[#This Row],[R3_Novo]]</f>
        <v>14.393333333333333</v>
      </c>
      <c r="D36" s="2" t="str">
        <f>IF(Tabela2[[#This Row],[% R3_Novo]]&lt;0.85,"Não","Sim")</f>
        <v>Sim</v>
      </c>
      <c r="E36" s="2">
        <f>Estudo_Drive!$S$20</f>
        <v>444.88188976377955</v>
      </c>
      <c r="F36" s="11">
        <f>Tabela2[[#This Row],[Resistencia]]/Tabela2[[#This Row],[R2_Novo]]</f>
        <v>1.5284955752212388</v>
      </c>
      <c r="G36" s="2" t="str">
        <f>IF(Tabela2[[#This Row],[% R2_Novo]]&lt;0.9,"Não","Sim")</f>
        <v>Sim</v>
      </c>
      <c r="H36" s="2">
        <f>Estudo_Drive!$S$24</f>
        <v>4448.818897637796</v>
      </c>
      <c r="I36" s="11">
        <f>Tabela2[[#This Row],[Resistencia]]/Tabela2[[#This Row],[R1_Novo]]</f>
        <v>0.15284955752212387</v>
      </c>
      <c r="J36" s="2" t="str">
        <f>IF(Tabela2[[#This Row],[% R1_Novo]]&lt;0.9,"Não","Sim")</f>
        <v>Não</v>
      </c>
      <c r="K36" s="2">
        <f>Estudo_Drive!$S$28</f>
        <v>16929.133858267716</v>
      </c>
      <c r="L36" s="11">
        <f>Tabela2[[#This Row],[Resistencia]]/Tabela2[[#This Row],[Rg_Novo]]</f>
        <v>4.0167441860465114E-2</v>
      </c>
      <c r="M36" s="2" t="str">
        <f>IF(Tabela2[[#This Row],[% Rg_Novo]]&lt;0.9,"Não","Sim")</f>
        <v>Não</v>
      </c>
      <c r="N36" s="2">
        <f>Calculo_FlyBack_Simples!$Q$18</f>
        <v>6691</v>
      </c>
      <c r="O36" s="11">
        <f>Tabela2[[#This Row],[Resistencia]]/Tabela2[[#This Row],[R_Snubber]]</f>
        <v>0.10162905395307129</v>
      </c>
      <c r="P36" s="2" t="str">
        <f>IF(Tabela2[[#This Row],[% R_Snubber]]&lt;0.9,"Não","Sim")</f>
        <v>Não</v>
      </c>
    </row>
    <row r="37" spans="1:16" x14ac:dyDescent="0.25">
      <c r="A37" s="2">
        <v>819.99999999999898</v>
      </c>
      <c r="B37" s="2">
        <f>Estudo_Drive!$S$4</f>
        <v>47.244094488188978</v>
      </c>
      <c r="C37" s="11">
        <f>Tabela2[[#This Row],[Resistencia]]/Tabela2[[#This Row],[R3_Novo]]</f>
        <v>17.356666666666644</v>
      </c>
      <c r="D37" s="2" t="str">
        <f>IF(Tabela2[[#This Row],[% R3_Novo]]&lt;0.85,"Não","Sim")</f>
        <v>Sim</v>
      </c>
      <c r="E37" s="2">
        <f>Estudo_Drive!$S$20</f>
        <v>444.88188976377955</v>
      </c>
      <c r="F37" s="11">
        <f>Tabela2[[#This Row],[Resistencia]]/Tabela2[[#This Row],[R2_Novo]]</f>
        <v>1.8431858407079622</v>
      </c>
      <c r="G37" s="2" t="str">
        <f>IF(Tabela2[[#This Row],[% R2_Novo]]&lt;0.9,"Não","Sim")</f>
        <v>Sim</v>
      </c>
      <c r="H37" s="2">
        <f>Estudo_Drive!$S$24</f>
        <v>4448.818897637796</v>
      </c>
      <c r="I37" s="11">
        <f>Tabela2[[#This Row],[Resistencia]]/Tabela2[[#This Row],[R1_Novo]]</f>
        <v>0.18431858407079621</v>
      </c>
      <c r="J37" s="2" t="str">
        <f>IF(Tabela2[[#This Row],[% R1_Novo]]&lt;0.9,"Não","Sim")</f>
        <v>Não</v>
      </c>
      <c r="K37" s="2">
        <f>Estudo_Drive!$S$28</f>
        <v>16929.133858267716</v>
      </c>
      <c r="L37" s="11">
        <f>Tabela2[[#This Row],[Resistencia]]/Tabela2[[#This Row],[Rg_Novo]]</f>
        <v>4.8437209302325521E-2</v>
      </c>
      <c r="M37" s="2" t="str">
        <f>IF(Tabela2[[#This Row],[% Rg_Novo]]&lt;0.9,"Não","Sim")</f>
        <v>Não</v>
      </c>
      <c r="N37" s="2">
        <f>Calculo_FlyBack_Simples!$Q$18</f>
        <v>6691</v>
      </c>
      <c r="O37" s="11">
        <f>Tabela2[[#This Row],[Resistencia]]/Tabela2[[#This Row],[R_Snubber]]</f>
        <v>0.12255268270811523</v>
      </c>
      <c r="P37" s="2" t="str">
        <f>IF(Tabela2[[#This Row],[% R_Snubber]]&lt;0.9,"Não","Sim")</f>
        <v>Não</v>
      </c>
    </row>
    <row r="38" spans="1:16" x14ac:dyDescent="0.25">
      <c r="A38" s="2">
        <v>1000</v>
      </c>
      <c r="B38" s="2">
        <f>Estudo_Drive!$S$4</f>
        <v>47.244094488188978</v>
      </c>
      <c r="C38" s="11">
        <f>Tabela2[[#This Row],[Resistencia]]/Tabela2[[#This Row],[R3_Novo]]</f>
        <v>21.166666666666664</v>
      </c>
      <c r="D38" s="2" t="str">
        <f>IF(Tabela2[[#This Row],[% R3_Novo]]&lt;0.85,"Não","Sim")</f>
        <v>Sim</v>
      </c>
      <c r="E38" s="2">
        <f>Estudo_Drive!$S$20</f>
        <v>444.88188976377955</v>
      </c>
      <c r="F38" s="11">
        <f>Tabela2[[#This Row],[Resistencia]]/Tabela2[[#This Row],[R2_Novo]]</f>
        <v>2.247787610619469</v>
      </c>
      <c r="G38" s="2" t="str">
        <f>IF(Tabela2[[#This Row],[% R2_Novo]]&lt;0.9,"Não","Sim")</f>
        <v>Sim</v>
      </c>
      <c r="H38" s="2">
        <f>Estudo_Drive!$S$24</f>
        <v>4448.818897637796</v>
      </c>
      <c r="I38" s="11">
        <f>Tabela2[[#This Row],[Resistencia]]/Tabela2[[#This Row],[R1_Novo]]</f>
        <v>0.22477876106194686</v>
      </c>
      <c r="J38" s="2" t="str">
        <f>IF(Tabela2[[#This Row],[% R1_Novo]]&lt;0.9,"Não","Sim")</f>
        <v>Não</v>
      </c>
      <c r="K38" s="2">
        <f>Estudo_Drive!$S$28</f>
        <v>16929.133858267716</v>
      </c>
      <c r="L38" s="11">
        <f>Tabela2[[#This Row],[Resistencia]]/Tabela2[[#This Row],[Rg_Novo]]</f>
        <v>5.9069767441860467E-2</v>
      </c>
      <c r="M38" s="2" t="str">
        <f>IF(Tabela2[[#This Row],[% Rg_Novo]]&lt;0.9,"Não","Sim")</f>
        <v>Não</v>
      </c>
      <c r="N38" s="2">
        <f>Calculo_FlyBack_Simples!$Q$18</f>
        <v>6691</v>
      </c>
      <c r="O38" s="11">
        <f>Tabela2[[#This Row],[Resistencia]]/Tabela2[[#This Row],[R_Snubber]]</f>
        <v>0.14945449110745779</v>
      </c>
      <c r="P38" s="2" t="str">
        <f>IF(Tabela2[[#This Row],[% R_Snubber]]&lt;0.9,"Não","Sim")</f>
        <v>Não</v>
      </c>
    </row>
    <row r="39" spans="1:16" x14ac:dyDescent="0.25">
      <c r="A39" s="2">
        <v>1200</v>
      </c>
      <c r="B39" s="2">
        <f>Estudo_Drive!$S$4</f>
        <v>47.244094488188978</v>
      </c>
      <c r="C39" s="11">
        <f>Tabela2[[#This Row],[Resistencia]]/Tabela2[[#This Row],[R3_Novo]]</f>
        <v>25.4</v>
      </c>
      <c r="D39" s="2" t="str">
        <f>IF(Tabela2[[#This Row],[% R3_Novo]]&lt;0.85,"Não","Sim")</f>
        <v>Sim</v>
      </c>
      <c r="E39" s="2">
        <f>Estudo_Drive!$S$20</f>
        <v>444.88188976377955</v>
      </c>
      <c r="F39" s="11">
        <f>Tabela2[[#This Row],[Resistencia]]/Tabela2[[#This Row],[R2_Novo]]</f>
        <v>2.6973451327433628</v>
      </c>
      <c r="G39" s="2" t="str">
        <f>IF(Tabela2[[#This Row],[% R2_Novo]]&lt;0.9,"Não","Sim")</f>
        <v>Sim</v>
      </c>
      <c r="H39" s="2">
        <f>Estudo_Drive!$S$24</f>
        <v>4448.818897637796</v>
      </c>
      <c r="I39" s="11">
        <f>Tabela2[[#This Row],[Resistencia]]/Tabela2[[#This Row],[R1_Novo]]</f>
        <v>0.26973451327433623</v>
      </c>
      <c r="J39" s="2" t="str">
        <f>IF(Tabela2[[#This Row],[% R1_Novo]]&lt;0.9,"Não","Sim")</f>
        <v>Não</v>
      </c>
      <c r="K39" s="2">
        <f>Estudo_Drive!$S$28</f>
        <v>16929.133858267716</v>
      </c>
      <c r="L39" s="11">
        <f>Tabela2[[#This Row],[Resistencia]]/Tabela2[[#This Row],[Rg_Novo]]</f>
        <v>7.0883720930232555E-2</v>
      </c>
      <c r="M39" s="2" t="str">
        <f>IF(Tabela2[[#This Row],[% Rg_Novo]]&lt;0.9,"Não","Sim")</f>
        <v>Não</v>
      </c>
      <c r="N39" s="2">
        <f>Calculo_FlyBack_Simples!$Q$18</f>
        <v>6691</v>
      </c>
      <c r="O39" s="11">
        <f>Tabela2[[#This Row],[Resistencia]]/Tabela2[[#This Row],[R_Snubber]]</f>
        <v>0.17934538932894933</v>
      </c>
      <c r="P39" s="2" t="str">
        <f>IF(Tabela2[[#This Row],[% R_Snubber]]&lt;0.9,"Não","Sim")</f>
        <v>Não</v>
      </c>
    </row>
    <row r="40" spans="1:16" x14ac:dyDescent="0.25">
      <c r="A40" s="2">
        <v>1500</v>
      </c>
      <c r="B40" s="2">
        <f>Estudo_Drive!$S$4</f>
        <v>47.244094488188978</v>
      </c>
      <c r="C40" s="11">
        <f>Tabela2[[#This Row],[Resistencia]]/Tabela2[[#This Row],[R3_Novo]]</f>
        <v>31.75</v>
      </c>
      <c r="D40" s="2" t="str">
        <f>IF(Tabela2[[#This Row],[% R3_Novo]]&lt;0.85,"Não","Sim")</f>
        <v>Sim</v>
      </c>
      <c r="E40" s="2">
        <f>Estudo_Drive!$S$20</f>
        <v>444.88188976377955</v>
      </c>
      <c r="F40" s="11">
        <f>Tabela2[[#This Row],[Resistencia]]/Tabela2[[#This Row],[R2_Novo]]</f>
        <v>3.3716814159292032</v>
      </c>
      <c r="G40" s="2" t="str">
        <f>IF(Tabela2[[#This Row],[% R2_Novo]]&lt;0.9,"Não","Sim")</f>
        <v>Sim</v>
      </c>
      <c r="H40" s="2">
        <f>Estudo_Drive!$S$24</f>
        <v>4448.818897637796</v>
      </c>
      <c r="I40" s="11">
        <f>Tabela2[[#This Row],[Resistencia]]/Tabela2[[#This Row],[R1_Novo]]</f>
        <v>0.3371681415929203</v>
      </c>
      <c r="J40" s="2" t="str">
        <f>IF(Tabela2[[#This Row],[% R1_Novo]]&lt;0.9,"Não","Sim")</f>
        <v>Não</v>
      </c>
      <c r="K40" s="2">
        <f>Estudo_Drive!$S$28</f>
        <v>16929.133858267716</v>
      </c>
      <c r="L40" s="11">
        <f>Tabela2[[#This Row],[Resistencia]]/Tabela2[[#This Row],[Rg_Novo]]</f>
        <v>8.8604651162790704E-2</v>
      </c>
      <c r="M40" s="2" t="str">
        <f>IF(Tabela2[[#This Row],[% Rg_Novo]]&lt;0.9,"Não","Sim")</f>
        <v>Não</v>
      </c>
      <c r="N40" s="2">
        <f>Calculo_FlyBack_Simples!$Q$18</f>
        <v>6691</v>
      </c>
      <c r="O40" s="11">
        <f>Tabela2[[#This Row],[Resistencia]]/Tabela2[[#This Row],[R_Snubber]]</f>
        <v>0.22418173666118668</v>
      </c>
      <c r="P40" s="2" t="str">
        <f>IF(Tabela2[[#This Row],[% R_Snubber]]&lt;0.9,"Não","Sim")</f>
        <v>Não</v>
      </c>
    </row>
    <row r="41" spans="1:16" x14ac:dyDescent="0.25">
      <c r="A41" s="2">
        <v>1800</v>
      </c>
      <c r="B41" s="2">
        <f>Estudo_Drive!$S$4</f>
        <v>47.244094488188978</v>
      </c>
      <c r="C41" s="11">
        <f>Tabela2[[#This Row],[Resistencia]]/Tabela2[[#This Row],[R3_Novo]]</f>
        <v>38.1</v>
      </c>
      <c r="D41" s="2" t="str">
        <f>IF(Tabela2[[#This Row],[% R3_Novo]]&lt;0.85,"Não","Sim")</f>
        <v>Sim</v>
      </c>
      <c r="E41" s="2">
        <f>Estudo_Drive!$S$20</f>
        <v>444.88188976377955</v>
      </c>
      <c r="F41" s="11">
        <f>Tabela2[[#This Row],[Resistencia]]/Tabela2[[#This Row],[R2_Novo]]</f>
        <v>4.0460176991150441</v>
      </c>
      <c r="G41" s="2" t="str">
        <f>IF(Tabela2[[#This Row],[% R2_Novo]]&lt;0.9,"Não","Sim")</f>
        <v>Sim</v>
      </c>
      <c r="H41" s="2">
        <f>Estudo_Drive!$S$24</f>
        <v>4448.818897637796</v>
      </c>
      <c r="I41" s="11">
        <f>Tabela2[[#This Row],[Resistencia]]/Tabela2[[#This Row],[R1_Novo]]</f>
        <v>0.40460176991150437</v>
      </c>
      <c r="J41" s="2" t="str">
        <f>IF(Tabela2[[#This Row],[% R1_Novo]]&lt;0.9,"Não","Sim")</f>
        <v>Não</v>
      </c>
      <c r="K41" s="2">
        <f>Estudo_Drive!$S$28</f>
        <v>16929.133858267716</v>
      </c>
      <c r="L41" s="11">
        <f>Tabela2[[#This Row],[Resistencia]]/Tabela2[[#This Row],[Rg_Novo]]</f>
        <v>0.10632558139534884</v>
      </c>
      <c r="M41" s="2" t="str">
        <f>IF(Tabela2[[#This Row],[% Rg_Novo]]&lt;0.9,"Não","Sim")</f>
        <v>Não</v>
      </c>
      <c r="N41" s="2">
        <f>Calculo_FlyBack_Simples!$Q$18</f>
        <v>6691</v>
      </c>
      <c r="O41" s="11">
        <f>Tabela2[[#This Row],[Resistencia]]/Tabela2[[#This Row],[R_Snubber]]</f>
        <v>0.26901808399342403</v>
      </c>
      <c r="P41" s="2" t="str">
        <f>IF(Tabela2[[#This Row],[% R_Snubber]]&lt;0.9,"Não","Sim")</f>
        <v>Não</v>
      </c>
    </row>
    <row r="42" spans="1:16" x14ac:dyDescent="0.25">
      <c r="A42" s="2">
        <v>2200</v>
      </c>
      <c r="B42" s="2">
        <f>Estudo_Drive!$S$4</f>
        <v>47.244094488188978</v>
      </c>
      <c r="C42" s="11">
        <f>Tabela2[[#This Row],[Resistencia]]/Tabela2[[#This Row],[R3_Novo]]</f>
        <v>46.566666666666663</v>
      </c>
      <c r="D42" s="2" t="str">
        <f>IF(Tabela2[[#This Row],[% R3_Novo]]&lt;0.85,"Não","Sim")</f>
        <v>Sim</v>
      </c>
      <c r="E42" s="2">
        <f>Estudo_Drive!$S$20</f>
        <v>444.88188976377955</v>
      </c>
      <c r="F42" s="11">
        <f>Tabela2[[#This Row],[Resistencia]]/Tabela2[[#This Row],[R2_Novo]]</f>
        <v>4.9451327433628318</v>
      </c>
      <c r="G42" s="2" t="str">
        <f>IF(Tabela2[[#This Row],[% R2_Novo]]&lt;0.9,"Não","Sim")</f>
        <v>Sim</v>
      </c>
      <c r="H42" s="2">
        <f>Estudo_Drive!$S$24</f>
        <v>4448.818897637796</v>
      </c>
      <c r="I42" s="11">
        <f>Tabela2[[#This Row],[Resistencia]]/Tabela2[[#This Row],[R1_Novo]]</f>
        <v>0.49451327433628312</v>
      </c>
      <c r="J42" s="2" t="str">
        <f>IF(Tabela2[[#This Row],[% R1_Novo]]&lt;0.9,"Não","Sim")</f>
        <v>Não</v>
      </c>
      <c r="K42" s="2">
        <f>Estudo_Drive!$S$28</f>
        <v>16929.133858267716</v>
      </c>
      <c r="L42" s="11">
        <f>Tabela2[[#This Row],[Resistencia]]/Tabela2[[#This Row],[Rg_Novo]]</f>
        <v>0.12995348837209303</v>
      </c>
      <c r="M42" s="2" t="str">
        <f>IF(Tabela2[[#This Row],[% Rg_Novo]]&lt;0.9,"Não","Sim")</f>
        <v>Não</v>
      </c>
      <c r="N42" s="2">
        <f>Calculo_FlyBack_Simples!$Q$18</f>
        <v>6691</v>
      </c>
      <c r="O42" s="11">
        <f>Tabela2[[#This Row],[Resistencia]]/Tabela2[[#This Row],[R_Snubber]]</f>
        <v>0.32879988043640712</v>
      </c>
      <c r="P42" s="2" t="str">
        <f>IF(Tabela2[[#This Row],[% R_Snubber]]&lt;0.9,"Não","Sim")</f>
        <v>Não</v>
      </c>
    </row>
    <row r="43" spans="1:16" x14ac:dyDescent="0.25">
      <c r="A43" s="2">
        <v>2700</v>
      </c>
      <c r="B43" s="2">
        <f>Estudo_Drive!$S$4</f>
        <v>47.244094488188978</v>
      </c>
      <c r="C43" s="11">
        <f>Tabela2[[#This Row],[Resistencia]]/Tabela2[[#This Row],[R3_Novo]]</f>
        <v>57.15</v>
      </c>
      <c r="D43" s="2" t="str">
        <f>IF(Tabela2[[#This Row],[% R3_Novo]]&lt;0.85,"Não","Sim")</f>
        <v>Sim</v>
      </c>
      <c r="E43" s="2">
        <f>Estudo_Drive!$S$20</f>
        <v>444.88188976377955</v>
      </c>
      <c r="F43" s="11">
        <f>Tabela2[[#This Row],[Resistencia]]/Tabela2[[#This Row],[R2_Novo]]</f>
        <v>6.0690265486725661</v>
      </c>
      <c r="G43" s="2" t="str">
        <f>IF(Tabela2[[#This Row],[% R2_Novo]]&lt;0.9,"Não","Sim")</f>
        <v>Sim</v>
      </c>
      <c r="H43" s="2">
        <f>Estudo_Drive!$S$24</f>
        <v>4448.818897637796</v>
      </c>
      <c r="I43" s="11">
        <f>Tabela2[[#This Row],[Resistencia]]/Tabela2[[#This Row],[R1_Novo]]</f>
        <v>0.60690265486725659</v>
      </c>
      <c r="J43" s="2" t="str">
        <f>IF(Tabela2[[#This Row],[% R1_Novo]]&lt;0.9,"Não","Sim")</f>
        <v>Não</v>
      </c>
      <c r="K43" s="2">
        <f>Estudo_Drive!$S$28</f>
        <v>16929.133858267716</v>
      </c>
      <c r="L43" s="11">
        <f>Tabela2[[#This Row],[Resistencia]]/Tabela2[[#This Row],[Rg_Novo]]</f>
        <v>0.15948837209302325</v>
      </c>
      <c r="M43" s="2" t="str">
        <f>IF(Tabela2[[#This Row],[% Rg_Novo]]&lt;0.9,"Não","Sim")</f>
        <v>Não</v>
      </c>
      <c r="N43" s="2">
        <f>Calculo_FlyBack_Simples!$Q$18</f>
        <v>6691</v>
      </c>
      <c r="O43" s="11">
        <f>Tabela2[[#This Row],[Resistencia]]/Tabela2[[#This Row],[R_Snubber]]</f>
        <v>0.40352712599013602</v>
      </c>
      <c r="P43" s="2" t="str">
        <f>IF(Tabela2[[#This Row],[% R_Snubber]]&lt;0.9,"Não","Sim")</f>
        <v>Não</v>
      </c>
    </row>
    <row r="44" spans="1:16" x14ac:dyDescent="0.25">
      <c r="A44" s="2">
        <v>3300</v>
      </c>
      <c r="B44" s="2">
        <f>Estudo_Drive!$S$4</f>
        <v>47.244094488188978</v>
      </c>
      <c r="C44" s="11">
        <f>Tabela2[[#This Row],[Resistencia]]/Tabela2[[#This Row],[R3_Novo]]</f>
        <v>69.849999999999994</v>
      </c>
      <c r="D44" s="2" t="str">
        <f>IF(Tabela2[[#This Row],[% R3_Novo]]&lt;0.85,"Não","Sim")</f>
        <v>Sim</v>
      </c>
      <c r="E44" s="2">
        <f>Estudo_Drive!$S$20</f>
        <v>444.88188976377955</v>
      </c>
      <c r="F44" s="11">
        <f>Tabela2[[#This Row],[Resistencia]]/Tabela2[[#This Row],[R2_Novo]]</f>
        <v>7.4176991150442477</v>
      </c>
      <c r="G44" s="2" t="str">
        <f>IF(Tabela2[[#This Row],[% R2_Novo]]&lt;0.9,"Não","Sim")</f>
        <v>Sim</v>
      </c>
      <c r="H44" s="2">
        <f>Estudo_Drive!$S$24</f>
        <v>4448.818897637796</v>
      </c>
      <c r="I44" s="11">
        <f>Tabela2[[#This Row],[Resistencia]]/Tabela2[[#This Row],[R1_Novo]]</f>
        <v>0.74176991150442462</v>
      </c>
      <c r="J44" s="2" t="str">
        <f>IF(Tabela2[[#This Row],[% R1_Novo]]&lt;0.9,"Não","Sim")</f>
        <v>Não</v>
      </c>
      <c r="K44" s="2">
        <f>Estudo_Drive!$S$28</f>
        <v>16929.133858267716</v>
      </c>
      <c r="L44" s="11">
        <f>Tabela2[[#This Row],[Resistencia]]/Tabela2[[#This Row],[Rg_Novo]]</f>
        <v>0.19493023255813954</v>
      </c>
      <c r="M44" s="2" t="str">
        <f>IF(Tabela2[[#This Row],[% Rg_Novo]]&lt;0.9,"Não","Sim")</f>
        <v>Não</v>
      </c>
      <c r="N44" s="2">
        <f>Calculo_FlyBack_Simples!$Q$18</f>
        <v>6691</v>
      </c>
      <c r="O44" s="11">
        <f>Tabela2[[#This Row],[Resistencia]]/Tabela2[[#This Row],[R_Snubber]]</f>
        <v>0.49319982065461065</v>
      </c>
      <c r="P44" s="2" t="str">
        <f>IF(Tabela2[[#This Row],[% R_Snubber]]&lt;0.9,"Não","Sim")</f>
        <v>Não</v>
      </c>
    </row>
    <row r="45" spans="1:16" x14ac:dyDescent="0.25">
      <c r="A45" s="2">
        <v>3900</v>
      </c>
      <c r="B45" s="2">
        <f>Estudo_Drive!$S$4</f>
        <v>47.244094488188978</v>
      </c>
      <c r="C45" s="11">
        <f>Tabela2[[#This Row],[Resistencia]]/Tabela2[[#This Row],[R3_Novo]]</f>
        <v>82.55</v>
      </c>
      <c r="D45" s="2" t="str">
        <f>IF(Tabela2[[#This Row],[% R3_Novo]]&lt;0.85,"Não","Sim")</f>
        <v>Sim</v>
      </c>
      <c r="E45" s="2">
        <f>Estudo_Drive!$S$20</f>
        <v>444.88188976377955</v>
      </c>
      <c r="F45" s="11">
        <f>Tabela2[[#This Row],[Resistencia]]/Tabela2[[#This Row],[R2_Novo]]</f>
        <v>8.7663716814159294</v>
      </c>
      <c r="G45" s="2" t="str">
        <f>IF(Tabela2[[#This Row],[% R2_Novo]]&lt;0.9,"Não","Sim")</f>
        <v>Sim</v>
      </c>
      <c r="H45" s="2">
        <f>Estudo_Drive!$S$24</f>
        <v>4448.818897637796</v>
      </c>
      <c r="I45" s="11">
        <f>Tabela2[[#This Row],[Resistencia]]/Tabela2[[#This Row],[R1_Novo]]</f>
        <v>0.87663716814159276</v>
      </c>
      <c r="J45" s="2" t="str">
        <f>IF(Tabela2[[#This Row],[% R1_Novo]]&lt;0.9,"Não","Sim")</f>
        <v>Não</v>
      </c>
      <c r="K45" s="2">
        <f>Estudo_Drive!$S$28</f>
        <v>16929.133858267716</v>
      </c>
      <c r="L45" s="11">
        <f>Tabela2[[#This Row],[Resistencia]]/Tabela2[[#This Row],[Rg_Novo]]</f>
        <v>0.23037209302325581</v>
      </c>
      <c r="M45" s="2" t="str">
        <f>IF(Tabela2[[#This Row],[% Rg_Novo]]&lt;0.9,"Não","Sim")</f>
        <v>Não</v>
      </c>
      <c r="N45" s="2">
        <f>Calculo_FlyBack_Simples!$Q$18</f>
        <v>6691</v>
      </c>
      <c r="O45" s="11">
        <f>Tabela2[[#This Row],[Resistencia]]/Tabela2[[#This Row],[R_Snubber]]</f>
        <v>0.58287251531908535</v>
      </c>
      <c r="P45" s="2" t="str">
        <f>IF(Tabela2[[#This Row],[% R_Snubber]]&lt;0.9,"Não","Sim")</f>
        <v>Não</v>
      </c>
    </row>
    <row r="46" spans="1:16" x14ac:dyDescent="0.25">
      <c r="A46" s="2">
        <v>4700</v>
      </c>
      <c r="B46" s="2">
        <f>Estudo_Drive!$S$4</f>
        <v>47.244094488188978</v>
      </c>
      <c r="C46" s="11">
        <f>Tabela2[[#This Row],[Resistencia]]/Tabela2[[#This Row],[R3_Novo]]</f>
        <v>99.483333333333334</v>
      </c>
      <c r="D46" s="2" t="str">
        <f>IF(Tabela2[[#This Row],[% R3_Novo]]&lt;0.85,"Não","Sim")</f>
        <v>Sim</v>
      </c>
      <c r="E46" s="2">
        <f>Estudo_Drive!$S$20</f>
        <v>444.88188976377955</v>
      </c>
      <c r="F46" s="11">
        <f>Tabela2[[#This Row],[Resistencia]]/Tabela2[[#This Row],[R2_Novo]]</f>
        <v>10.564601769911503</v>
      </c>
      <c r="G46" s="2" t="str">
        <f>IF(Tabela2[[#This Row],[% R2_Novo]]&lt;0.9,"Não","Sim")</f>
        <v>Sim</v>
      </c>
      <c r="H46" s="2">
        <f>Estudo_Drive!$S$24</f>
        <v>4448.818897637796</v>
      </c>
      <c r="I46" s="11">
        <f>Tabela2[[#This Row],[Resistencia]]/Tabela2[[#This Row],[R1_Novo]]</f>
        <v>1.0564601769911504</v>
      </c>
      <c r="J46" s="2" t="str">
        <f>IF(Tabela2[[#This Row],[% R1_Novo]]&lt;0.9,"Não","Sim")</f>
        <v>Sim</v>
      </c>
      <c r="K46" s="2">
        <f>Estudo_Drive!$S$28</f>
        <v>16929.133858267716</v>
      </c>
      <c r="L46" s="11">
        <f>Tabela2[[#This Row],[Resistencia]]/Tabela2[[#This Row],[Rg_Novo]]</f>
        <v>0.27762790697674417</v>
      </c>
      <c r="M46" s="2" t="str">
        <f>IF(Tabela2[[#This Row],[% Rg_Novo]]&lt;0.9,"Não","Sim")</f>
        <v>Não</v>
      </c>
      <c r="N46" s="2">
        <f>Calculo_FlyBack_Simples!$Q$18</f>
        <v>6691</v>
      </c>
      <c r="O46" s="11">
        <f>Tabela2[[#This Row],[Resistencia]]/Tabela2[[#This Row],[R_Snubber]]</f>
        <v>0.70243610820505153</v>
      </c>
      <c r="P46" s="2" t="str">
        <f>IF(Tabela2[[#This Row],[% R_Snubber]]&lt;0.9,"Não","Sim")</f>
        <v>Não</v>
      </c>
    </row>
    <row r="47" spans="1:16" x14ac:dyDescent="0.25">
      <c r="A47" s="2">
        <v>5600</v>
      </c>
      <c r="B47" s="2">
        <f>Estudo_Drive!$S$4</f>
        <v>47.244094488188978</v>
      </c>
      <c r="C47" s="11">
        <f>Tabela2[[#This Row],[Resistencia]]/Tabela2[[#This Row],[R3_Novo]]</f>
        <v>118.53333333333333</v>
      </c>
      <c r="D47" s="2" t="str">
        <f>IF(Tabela2[[#This Row],[% R3_Novo]]&lt;0.85,"Não","Sim")</f>
        <v>Sim</v>
      </c>
      <c r="E47" s="2">
        <f>Estudo_Drive!$S$20</f>
        <v>444.88188976377955</v>
      </c>
      <c r="F47" s="11">
        <f>Tabela2[[#This Row],[Resistencia]]/Tabela2[[#This Row],[R2_Novo]]</f>
        <v>12.587610619469025</v>
      </c>
      <c r="G47" s="2" t="str">
        <f>IF(Tabela2[[#This Row],[% R2_Novo]]&lt;0.9,"Não","Sim")</f>
        <v>Sim</v>
      </c>
      <c r="H47" s="2">
        <f>Estudo_Drive!$S$24</f>
        <v>4448.818897637796</v>
      </c>
      <c r="I47" s="11">
        <f>Tabela2[[#This Row],[Resistencia]]/Tabela2[[#This Row],[R1_Novo]]</f>
        <v>1.2587610619469025</v>
      </c>
      <c r="J47" s="2" t="str">
        <f>IF(Tabela2[[#This Row],[% R1_Novo]]&lt;0.9,"Não","Sim")</f>
        <v>Sim</v>
      </c>
      <c r="K47" s="2">
        <f>Estudo_Drive!$S$28</f>
        <v>16929.133858267716</v>
      </c>
      <c r="L47" s="11">
        <f>Tabela2[[#This Row],[Resistencia]]/Tabela2[[#This Row],[Rg_Novo]]</f>
        <v>0.3307906976744186</v>
      </c>
      <c r="M47" s="2" t="str">
        <f>IF(Tabela2[[#This Row],[% Rg_Novo]]&lt;0.9,"Não","Sim")</f>
        <v>Não</v>
      </c>
      <c r="N47" s="2">
        <f>Calculo_FlyBack_Simples!$Q$18</f>
        <v>6691</v>
      </c>
      <c r="O47" s="11">
        <f>Tabela2[[#This Row],[Resistencia]]/Tabela2[[#This Row],[R_Snubber]]</f>
        <v>0.83694515020176352</v>
      </c>
      <c r="P47" s="2" t="str">
        <f>IF(Tabela2[[#This Row],[% R_Snubber]]&lt;0.9,"Não","Sim")</f>
        <v>Não</v>
      </c>
    </row>
    <row r="48" spans="1:16" x14ac:dyDescent="0.25">
      <c r="A48" s="2">
        <v>6800</v>
      </c>
      <c r="B48" s="2">
        <f>Estudo_Drive!$S$4</f>
        <v>47.244094488188978</v>
      </c>
      <c r="C48" s="11">
        <f>Tabela2[[#This Row],[Resistencia]]/Tabela2[[#This Row],[R3_Novo]]</f>
        <v>143.93333333333334</v>
      </c>
      <c r="D48" s="2" t="str">
        <f>IF(Tabela2[[#This Row],[% R3_Novo]]&lt;0.85,"Não","Sim")</f>
        <v>Sim</v>
      </c>
      <c r="E48" s="2">
        <f>Estudo_Drive!$S$20</f>
        <v>444.88188976377955</v>
      </c>
      <c r="F48" s="11">
        <f>Tabela2[[#This Row],[Resistencia]]/Tabela2[[#This Row],[R2_Novo]]</f>
        <v>15.284955752212388</v>
      </c>
      <c r="G48" s="2" t="str">
        <f>IF(Tabela2[[#This Row],[% R2_Novo]]&lt;0.9,"Não","Sim")</f>
        <v>Sim</v>
      </c>
      <c r="H48" s="2">
        <f>Estudo_Drive!$S$24</f>
        <v>4448.818897637796</v>
      </c>
      <c r="I48" s="11">
        <f>Tabela2[[#This Row],[Resistencia]]/Tabela2[[#This Row],[R1_Novo]]</f>
        <v>1.5284955752212388</v>
      </c>
      <c r="J48" s="2" t="str">
        <f>IF(Tabela2[[#This Row],[% R1_Novo]]&lt;0.9,"Não","Sim")</f>
        <v>Sim</v>
      </c>
      <c r="K48" s="2">
        <f>Estudo_Drive!$S$28</f>
        <v>16929.133858267716</v>
      </c>
      <c r="L48" s="11">
        <f>Tabela2[[#This Row],[Resistencia]]/Tabela2[[#This Row],[Rg_Novo]]</f>
        <v>0.4016744186046512</v>
      </c>
      <c r="M48" s="2" t="str">
        <f>IF(Tabela2[[#This Row],[% Rg_Novo]]&lt;0.9,"Não","Sim")</f>
        <v>Não</v>
      </c>
      <c r="N48" s="2">
        <f>Calculo_FlyBack_Simples!$Q$18</f>
        <v>6691</v>
      </c>
      <c r="O48" s="11">
        <f>Tabela2[[#This Row],[Resistencia]]/Tabela2[[#This Row],[R_Snubber]]</f>
        <v>1.0162905395307129</v>
      </c>
      <c r="P48" s="2" t="str">
        <f>IF(Tabela2[[#This Row],[% R_Snubber]]&lt;0.9,"Não","Sim")</f>
        <v>Sim</v>
      </c>
    </row>
    <row r="49" spans="1:16" x14ac:dyDescent="0.25">
      <c r="A49" s="2">
        <v>8200</v>
      </c>
      <c r="B49" s="2">
        <f>Estudo_Drive!$S$4</f>
        <v>47.244094488188978</v>
      </c>
      <c r="C49" s="11">
        <f>Tabela2[[#This Row],[Resistencia]]/Tabela2[[#This Row],[R3_Novo]]</f>
        <v>173.56666666666666</v>
      </c>
      <c r="D49" s="2" t="str">
        <f>IF(Tabela2[[#This Row],[% R3_Novo]]&lt;0.85,"Não","Sim")</f>
        <v>Sim</v>
      </c>
      <c r="E49" s="2">
        <f>Estudo_Drive!$S$20</f>
        <v>444.88188976377955</v>
      </c>
      <c r="F49" s="11">
        <f>Tabela2[[#This Row],[Resistencia]]/Tabela2[[#This Row],[R2_Novo]]</f>
        <v>18.431858407079645</v>
      </c>
      <c r="G49" s="2" t="str">
        <f>IF(Tabela2[[#This Row],[% R2_Novo]]&lt;0.9,"Não","Sim")</f>
        <v>Sim</v>
      </c>
      <c r="H49" s="2">
        <f>Estudo_Drive!$S$24</f>
        <v>4448.818897637796</v>
      </c>
      <c r="I49" s="11">
        <f>Tabela2[[#This Row],[Resistencia]]/Tabela2[[#This Row],[R1_Novo]]</f>
        <v>1.8431858407079642</v>
      </c>
      <c r="J49" s="2" t="str">
        <f>IF(Tabela2[[#This Row],[% R1_Novo]]&lt;0.9,"Não","Sim")</f>
        <v>Sim</v>
      </c>
      <c r="K49" s="2">
        <f>Estudo_Drive!$S$28</f>
        <v>16929.133858267716</v>
      </c>
      <c r="L49" s="11">
        <f>Tabela2[[#This Row],[Resistencia]]/Tabela2[[#This Row],[Rg_Novo]]</f>
        <v>0.48437209302325585</v>
      </c>
      <c r="M49" s="2" t="str">
        <f>IF(Tabela2[[#This Row],[% Rg_Novo]]&lt;0.9,"Não","Sim")</f>
        <v>Não</v>
      </c>
      <c r="N49" s="2">
        <f>Calculo_FlyBack_Simples!$Q$18</f>
        <v>6691</v>
      </c>
      <c r="O49" s="11">
        <f>Tabela2[[#This Row],[Resistencia]]/Tabela2[[#This Row],[R_Snubber]]</f>
        <v>1.2255268270811537</v>
      </c>
      <c r="P49" s="2" t="str">
        <f>IF(Tabela2[[#This Row],[% R_Snubber]]&lt;0.9,"Não","Sim")</f>
        <v>Sim</v>
      </c>
    </row>
    <row r="50" spans="1:16" x14ac:dyDescent="0.25">
      <c r="A50" s="2">
        <v>10000</v>
      </c>
      <c r="B50" s="2">
        <f>Estudo_Drive!$S$4</f>
        <v>47.244094488188978</v>
      </c>
      <c r="C50" s="11">
        <f>Tabela2[[#This Row],[Resistencia]]/Tabela2[[#This Row],[R3_Novo]]</f>
        <v>211.66666666666666</v>
      </c>
      <c r="D50" s="2" t="str">
        <f>IF(Tabela2[[#This Row],[% R3_Novo]]&lt;0.85,"Não","Sim")</f>
        <v>Sim</v>
      </c>
      <c r="E50" s="2">
        <f>Estudo_Drive!$S$20</f>
        <v>444.88188976377955</v>
      </c>
      <c r="F50" s="11">
        <f>Tabela2[[#This Row],[Resistencia]]/Tabela2[[#This Row],[R2_Novo]]</f>
        <v>22.477876106194689</v>
      </c>
      <c r="G50" s="2" t="str">
        <f>IF(Tabela2[[#This Row],[% R2_Novo]]&lt;0.9,"Não","Sim")</f>
        <v>Sim</v>
      </c>
      <c r="H50" s="2">
        <f>Estudo_Drive!$S$24</f>
        <v>4448.818897637796</v>
      </c>
      <c r="I50" s="11">
        <f>Tabela2[[#This Row],[Resistencia]]/Tabela2[[#This Row],[R1_Novo]]</f>
        <v>2.2477876106194685</v>
      </c>
      <c r="J50" s="2" t="str">
        <f>IF(Tabela2[[#This Row],[% R1_Novo]]&lt;0.9,"Não","Sim")</f>
        <v>Sim</v>
      </c>
      <c r="K50" s="2">
        <f>Estudo_Drive!$S$28</f>
        <v>16929.133858267716</v>
      </c>
      <c r="L50" s="11">
        <f>Tabela2[[#This Row],[Resistencia]]/Tabela2[[#This Row],[Rg_Novo]]</f>
        <v>0.59069767441860466</v>
      </c>
      <c r="M50" s="2" t="str">
        <f>IF(Tabela2[[#This Row],[% Rg_Novo]]&lt;0.9,"Não","Sim")</f>
        <v>Não</v>
      </c>
      <c r="N50" s="2">
        <f>Calculo_FlyBack_Simples!$Q$18</f>
        <v>6691</v>
      </c>
      <c r="O50" s="11">
        <f>Tabela2[[#This Row],[Resistencia]]/Tabela2[[#This Row],[R_Snubber]]</f>
        <v>1.4945449110745779</v>
      </c>
      <c r="P50" s="2" t="str">
        <f>IF(Tabela2[[#This Row],[% R_Snubber]]&lt;0.9,"Não","Sim")</f>
        <v>Sim</v>
      </c>
    </row>
    <row r="51" spans="1:16" x14ac:dyDescent="0.25">
      <c r="A51" s="2">
        <v>12000</v>
      </c>
      <c r="B51" s="2">
        <f>Estudo_Drive!$S$4</f>
        <v>47.244094488188978</v>
      </c>
      <c r="C51" s="11">
        <f>Tabela2[[#This Row],[Resistencia]]/Tabela2[[#This Row],[R3_Novo]]</f>
        <v>254</v>
      </c>
      <c r="D51" s="2" t="str">
        <f>IF(Tabela2[[#This Row],[% R3_Novo]]&lt;0.85,"Não","Sim")</f>
        <v>Sim</v>
      </c>
      <c r="E51" s="2">
        <f>Estudo_Drive!$S$20</f>
        <v>444.88188976377955</v>
      </c>
      <c r="F51" s="11">
        <f>Tabela2[[#This Row],[Resistencia]]/Tabela2[[#This Row],[R2_Novo]]</f>
        <v>26.973451327433626</v>
      </c>
      <c r="G51" s="2" t="str">
        <f>IF(Tabela2[[#This Row],[% R2_Novo]]&lt;0.9,"Não","Sim")</f>
        <v>Sim</v>
      </c>
      <c r="H51" s="2">
        <f>Estudo_Drive!$S$24</f>
        <v>4448.818897637796</v>
      </c>
      <c r="I51" s="11">
        <f>Tabela2[[#This Row],[Resistencia]]/Tabela2[[#This Row],[R1_Novo]]</f>
        <v>2.6973451327433624</v>
      </c>
      <c r="J51" s="2" t="str">
        <f>IF(Tabela2[[#This Row],[% R1_Novo]]&lt;0.9,"Não","Sim")</f>
        <v>Sim</v>
      </c>
      <c r="K51" s="2">
        <f>Estudo_Drive!$S$28</f>
        <v>16929.133858267716</v>
      </c>
      <c r="L51" s="11">
        <f>Tabela2[[#This Row],[Resistencia]]/Tabela2[[#This Row],[Rg_Novo]]</f>
        <v>0.70883720930232563</v>
      </c>
      <c r="M51" s="2" t="str">
        <f>IF(Tabela2[[#This Row],[% Rg_Novo]]&lt;0.9,"Não","Sim")</f>
        <v>Não</v>
      </c>
      <c r="N51" s="2">
        <f>Calculo_FlyBack_Simples!$Q$18</f>
        <v>6691</v>
      </c>
      <c r="O51" s="11">
        <f>Tabela2[[#This Row],[Resistencia]]/Tabela2[[#This Row],[R_Snubber]]</f>
        <v>1.7934538932894935</v>
      </c>
      <c r="P51" s="2" t="str">
        <f>IF(Tabela2[[#This Row],[% R_Snubber]]&lt;0.9,"Não","Sim")</f>
        <v>Sim</v>
      </c>
    </row>
    <row r="52" spans="1:16" x14ac:dyDescent="0.25">
      <c r="A52" s="2">
        <v>15000</v>
      </c>
      <c r="B52" s="2">
        <f>Estudo_Drive!$S$4</f>
        <v>47.244094488188978</v>
      </c>
      <c r="C52" s="11">
        <f>Tabela2[[#This Row],[Resistencia]]/Tabela2[[#This Row],[R3_Novo]]</f>
        <v>317.5</v>
      </c>
      <c r="D52" s="2" t="str">
        <f>IF(Tabela2[[#This Row],[% R3_Novo]]&lt;0.85,"Não","Sim")</f>
        <v>Sim</v>
      </c>
      <c r="E52" s="2">
        <f>Estudo_Drive!$S$20</f>
        <v>444.88188976377955</v>
      </c>
      <c r="F52" s="11">
        <f>Tabela2[[#This Row],[Resistencia]]/Tabela2[[#This Row],[R2_Novo]]</f>
        <v>33.716814159292035</v>
      </c>
      <c r="G52" s="2" t="str">
        <f>IF(Tabela2[[#This Row],[% R2_Novo]]&lt;0.9,"Não","Sim")</f>
        <v>Sim</v>
      </c>
      <c r="H52" s="2">
        <f>Estudo_Drive!$S$24</f>
        <v>4448.818897637796</v>
      </c>
      <c r="I52" s="11">
        <f>Tabela2[[#This Row],[Resistencia]]/Tabela2[[#This Row],[R1_Novo]]</f>
        <v>3.3716814159292028</v>
      </c>
      <c r="J52" s="2" t="str">
        <f>IF(Tabela2[[#This Row],[% R1_Novo]]&lt;0.9,"Não","Sim")</f>
        <v>Sim</v>
      </c>
      <c r="K52" s="2">
        <f>Estudo_Drive!$S$28</f>
        <v>16929.133858267716</v>
      </c>
      <c r="L52" s="11">
        <f>Tabela2[[#This Row],[Resistencia]]/Tabela2[[#This Row],[Rg_Novo]]</f>
        <v>0.88604651162790704</v>
      </c>
      <c r="M52" s="2" t="str">
        <f>IF(Tabela2[[#This Row],[% Rg_Novo]]&lt;0.9,"Não","Sim")</f>
        <v>Não</v>
      </c>
      <c r="N52" s="2">
        <f>Calculo_FlyBack_Simples!$Q$18</f>
        <v>6691</v>
      </c>
      <c r="O52" s="11">
        <f>Tabela2[[#This Row],[Resistencia]]/Tabela2[[#This Row],[R_Snubber]]</f>
        <v>2.2418173666118668</v>
      </c>
      <c r="P52" s="2" t="str">
        <f>IF(Tabela2[[#This Row],[% R_Snubber]]&lt;0.9,"Não","Sim")</f>
        <v>Sim</v>
      </c>
    </row>
    <row r="53" spans="1:16" x14ac:dyDescent="0.25">
      <c r="A53" s="2">
        <v>18000</v>
      </c>
      <c r="B53" s="2">
        <f>Estudo_Drive!$S$4</f>
        <v>47.244094488188978</v>
      </c>
      <c r="C53" s="11">
        <f>Tabela2[[#This Row],[Resistencia]]/Tabela2[[#This Row],[R3_Novo]]</f>
        <v>381</v>
      </c>
      <c r="D53" s="2" t="str">
        <f>IF(Tabela2[[#This Row],[% R3_Novo]]&lt;0.85,"Não","Sim")</f>
        <v>Sim</v>
      </c>
      <c r="E53" s="2">
        <f>Estudo_Drive!$S$20</f>
        <v>444.88188976377955</v>
      </c>
      <c r="F53" s="11">
        <f>Tabela2[[#This Row],[Resistencia]]/Tabela2[[#This Row],[R2_Novo]]</f>
        <v>40.460176991150441</v>
      </c>
      <c r="G53" s="2" t="str">
        <f>IF(Tabela2[[#This Row],[% R2_Novo]]&lt;0.9,"Não","Sim")</f>
        <v>Sim</v>
      </c>
      <c r="H53" s="2">
        <f>Estudo_Drive!$S$24</f>
        <v>4448.818897637796</v>
      </c>
      <c r="I53" s="11">
        <f>Tabela2[[#This Row],[Resistencia]]/Tabela2[[#This Row],[R1_Novo]]</f>
        <v>4.0460176991150432</v>
      </c>
      <c r="J53" s="2" t="str">
        <f>IF(Tabela2[[#This Row],[% R1_Novo]]&lt;0.9,"Não","Sim")</f>
        <v>Sim</v>
      </c>
      <c r="K53" s="2">
        <f>Estudo_Drive!$S$28</f>
        <v>16929.133858267716</v>
      </c>
      <c r="L53" s="11">
        <f>Tabela2[[#This Row],[Resistencia]]/Tabela2[[#This Row],[Rg_Novo]]</f>
        <v>1.0632558139534884</v>
      </c>
      <c r="M53" s="2" t="str">
        <f>IF(Tabela2[[#This Row],[% Rg_Novo]]&lt;0.9,"Não","Sim")</f>
        <v>Sim</v>
      </c>
      <c r="N53" s="2">
        <f>Calculo_FlyBack_Simples!$Q$18</f>
        <v>6691</v>
      </c>
      <c r="O53" s="11">
        <f>Tabela2[[#This Row],[Resistencia]]/Tabela2[[#This Row],[R_Snubber]]</f>
        <v>2.6901808399342402</v>
      </c>
      <c r="P53" s="2" t="str">
        <f>IF(Tabela2[[#This Row],[% R_Snubber]]&lt;0.9,"Não","Sim")</f>
        <v>Sim</v>
      </c>
    </row>
    <row r="54" spans="1:16" x14ac:dyDescent="0.25">
      <c r="A54" s="2">
        <v>22000</v>
      </c>
      <c r="B54" s="2">
        <f>Estudo_Drive!$S$4</f>
        <v>47.244094488188978</v>
      </c>
      <c r="C54" s="11">
        <f>Tabela2[[#This Row],[Resistencia]]/Tabela2[[#This Row],[R3_Novo]]</f>
        <v>465.66666666666663</v>
      </c>
      <c r="D54" s="2" t="str">
        <f>IF(Tabela2[[#This Row],[% R3_Novo]]&lt;0.85,"Não","Sim")</f>
        <v>Sim</v>
      </c>
      <c r="E54" s="2">
        <f>Estudo_Drive!$S$20</f>
        <v>444.88188976377955</v>
      </c>
      <c r="F54" s="11">
        <f>Tabela2[[#This Row],[Resistencia]]/Tabela2[[#This Row],[R2_Novo]]</f>
        <v>49.451327433628315</v>
      </c>
      <c r="G54" s="2" t="str">
        <f>IF(Tabela2[[#This Row],[% R2_Novo]]&lt;0.9,"Não","Sim")</f>
        <v>Sim</v>
      </c>
      <c r="H54" s="2">
        <f>Estudo_Drive!$S$24</f>
        <v>4448.818897637796</v>
      </c>
      <c r="I54" s="11">
        <f>Tabela2[[#This Row],[Resistencia]]/Tabela2[[#This Row],[R1_Novo]]</f>
        <v>4.9451327433628309</v>
      </c>
      <c r="J54" s="2" t="str">
        <f>IF(Tabela2[[#This Row],[% R1_Novo]]&lt;0.9,"Não","Sim")</f>
        <v>Sim</v>
      </c>
      <c r="K54" s="2">
        <f>Estudo_Drive!$S$28</f>
        <v>16929.133858267716</v>
      </c>
      <c r="L54" s="11">
        <f>Tabela2[[#This Row],[Resistencia]]/Tabela2[[#This Row],[Rg_Novo]]</f>
        <v>1.2995348837209302</v>
      </c>
      <c r="M54" s="2" t="str">
        <f>IF(Tabela2[[#This Row],[% Rg_Novo]]&lt;0.9,"Não","Sim")</f>
        <v>Sim</v>
      </c>
      <c r="N54" s="2">
        <f>Calculo_FlyBack_Simples!$Q$18</f>
        <v>6691</v>
      </c>
      <c r="O54" s="11">
        <f>Tabela2[[#This Row],[Resistencia]]/Tabela2[[#This Row],[R_Snubber]]</f>
        <v>3.2879988043640713</v>
      </c>
      <c r="P54" s="2" t="str">
        <f>IF(Tabela2[[#This Row],[% R_Snubber]]&lt;0.9,"Não","Sim")</f>
        <v>Sim</v>
      </c>
    </row>
    <row r="55" spans="1:16" x14ac:dyDescent="0.25">
      <c r="A55" s="2">
        <v>27000</v>
      </c>
      <c r="B55" s="2">
        <f>Estudo_Drive!$S$4</f>
        <v>47.244094488188978</v>
      </c>
      <c r="C55" s="11">
        <f>Tabela2[[#This Row],[Resistencia]]/Tabela2[[#This Row],[R3_Novo]]</f>
        <v>571.5</v>
      </c>
      <c r="D55" s="2" t="str">
        <f>IF(Tabela2[[#This Row],[% R3_Novo]]&lt;0.85,"Não","Sim")</f>
        <v>Sim</v>
      </c>
      <c r="E55" s="2">
        <f>Estudo_Drive!$S$20</f>
        <v>444.88188976377955</v>
      </c>
      <c r="F55" s="11">
        <f>Tabela2[[#This Row],[Resistencia]]/Tabela2[[#This Row],[R2_Novo]]</f>
        <v>60.690265486725657</v>
      </c>
      <c r="G55" s="2" t="str">
        <f>IF(Tabela2[[#This Row],[% R2_Novo]]&lt;0.9,"Não","Sim")</f>
        <v>Sim</v>
      </c>
      <c r="H55" s="2">
        <f>Estudo_Drive!$S$24</f>
        <v>4448.818897637796</v>
      </c>
      <c r="I55" s="11">
        <f>Tabela2[[#This Row],[Resistencia]]/Tabela2[[#This Row],[R1_Novo]]</f>
        <v>6.0690265486725652</v>
      </c>
      <c r="J55" s="2" t="str">
        <f>IF(Tabela2[[#This Row],[% R1_Novo]]&lt;0.9,"Não","Sim")</f>
        <v>Sim</v>
      </c>
      <c r="K55" s="2">
        <f>Estudo_Drive!$S$28</f>
        <v>16929.133858267716</v>
      </c>
      <c r="L55" s="11">
        <f>Tabela2[[#This Row],[Resistencia]]/Tabela2[[#This Row],[Rg_Novo]]</f>
        <v>1.5948837209302327</v>
      </c>
      <c r="M55" s="2" t="str">
        <f>IF(Tabela2[[#This Row],[% Rg_Novo]]&lt;0.9,"Não","Sim")</f>
        <v>Sim</v>
      </c>
      <c r="N55" s="2">
        <f>Calculo_FlyBack_Simples!$Q$18</f>
        <v>6691</v>
      </c>
      <c r="O55" s="11">
        <f>Tabela2[[#This Row],[Resistencia]]/Tabela2[[#This Row],[R_Snubber]]</f>
        <v>4.0352712599013598</v>
      </c>
      <c r="P55" s="2" t="str">
        <f>IF(Tabela2[[#This Row],[% R_Snubber]]&lt;0.9,"Não","Sim")</f>
        <v>Sim</v>
      </c>
    </row>
    <row r="56" spans="1:16" x14ac:dyDescent="0.25">
      <c r="A56" s="2">
        <v>33000</v>
      </c>
      <c r="B56" s="2">
        <f>Estudo_Drive!$S$4</f>
        <v>47.244094488188978</v>
      </c>
      <c r="C56" s="11">
        <f>Tabela2[[#This Row],[Resistencia]]/Tabela2[[#This Row],[R3_Novo]]</f>
        <v>698.5</v>
      </c>
      <c r="D56" s="2" t="str">
        <f>IF(Tabela2[[#This Row],[% R3_Novo]]&lt;0.85,"Não","Sim")</f>
        <v>Sim</v>
      </c>
      <c r="E56" s="2">
        <f>Estudo_Drive!$S$20</f>
        <v>444.88188976377955</v>
      </c>
      <c r="F56" s="11">
        <f>Tabela2[[#This Row],[Resistencia]]/Tabela2[[#This Row],[R2_Novo]]</f>
        <v>74.176991150442475</v>
      </c>
      <c r="G56" s="2" t="str">
        <f>IF(Tabela2[[#This Row],[% R2_Novo]]&lt;0.9,"Não","Sim")</f>
        <v>Sim</v>
      </c>
      <c r="H56" s="2">
        <f>Estudo_Drive!$S$24</f>
        <v>4448.818897637796</v>
      </c>
      <c r="I56" s="11">
        <f>Tabela2[[#This Row],[Resistencia]]/Tabela2[[#This Row],[R1_Novo]]</f>
        <v>7.4176991150442468</v>
      </c>
      <c r="J56" s="2" t="str">
        <f>IF(Tabela2[[#This Row],[% R1_Novo]]&lt;0.9,"Não","Sim")</f>
        <v>Sim</v>
      </c>
      <c r="K56" s="2">
        <f>Estudo_Drive!$S$28</f>
        <v>16929.133858267716</v>
      </c>
      <c r="L56" s="11">
        <f>Tabela2[[#This Row],[Resistencia]]/Tabela2[[#This Row],[Rg_Novo]]</f>
        <v>1.9493023255813953</v>
      </c>
      <c r="M56" s="2" t="str">
        <f>IF(Tabela2[[#This Row],[% Rg_Novo]]&lt;0.9,"Não","Sim")</f>
        <v>Sim</v>
      </c>
      <c r="N56" s="2">
        <f>Calculo_FlyBack_Simples!$Q$18</f>
        <v>6691</v>
      </c>
      <c r="O56" s="11">
        <f>Tabela2[[#This Row],[Resistencia]]/Tabela2[[#This Row],[R_Snubber]]</f>
        <v>4.9319982065461065</v>
      </c>
      <c r="P56" s="2" t="str">
        <f>IF(Tabela2[[#This Row],[% R_Snubber]]&lt;0.9,"Não","Sim")</f>
        <v>Sim</v>
      </c>
    </row>
    <row r="57" spans="1:16" x14ac:dyDescent="0.25">
      <c r="A57" s="2">
        <v>39000</v>
      </c>
      <c r="B57" s="2">
        <f>Estudo_Drive!$S$4</f>
        <v>47.244094488188978</v>
      </c>
      <c r="C57" s="11">
        <f>Tabela2[[#This Row],[Resistencia]]/Tabela2[[#This Row],[R3_Novo]]</f>
        <v>825.5</v>
      </c>
      <c r="D57" s="2" t="str">
        <f>IF(Tabela2[[#This Row],[% R3_Novo]]&lt;0.85,"Não","Sim")</f>
        <v>Sim</v>
      </c>
      <c r="E57" s="2">
        <f>Estudo_Drive!$S$20</f>
        <v>444.88188976377955</v>
      </c>
      <c r="F57" s="11">
        <f>Tabela2[[#This Row],[Resistencia]]/Tabela2[[#This Row],[R2_Novo]]</f>
        <v>87.663716814159287</v>
      </c>
      <c r="G57" s="2" t="str">
        <f>IF(Tabela2[[#This Row],[% R2_Novo]]&lt;0.9,"Não","Sim")</f>
        <v>Sim</v>
      </c>
      <c r="H57" s="2">
        <f>Estudo_Drive!$S$24</f>
        <v>4448.818897637796</v>
      </c>
      <c r="I57" s="11">
        <f>Tabela2[[#This Row],[Resistencia]]/Tabela2[[#This Row],[R1_Novo]]</f>
        <v>8.7663716814159276</v>
      </c>
      <c r="J57" s="2" t="str">
        <f>IF(Tabela2[[#This Row],[% R1_Novo]]&lt;0.9,"Não","Sim")</f>
        <v>Sim</v>
      </c>
      <c r="K57" s="2">
        <f>Estudo_Drive!$S$28</f>
        <v>16929.133858267716</v>
      </c>
      <c r="L57" s="11">
        <f>Tabela2[[#This Row],[Resistencia]]/Tabela2[[#This Row],[Rg_Novo]]</f>
        <v>2.3037209302325583</v>
      </c>
      <c r="M57" s="2" t="str">
        <f>IF(Tabela2[[#This Row],[% Rg_Novo]]&lt;0.9,"Não","Sim")</f>
        <v>Sim</v>
      </c>
      <c r="N57" s="2">
        <f>Calculo_FlyBack_Simples!$Q$18</f>
        <v>6691</v>
      </c>
      <c r="O57" s="11">
        <f>Tabela2[[#This Row],[Resistencia]]/Tabela2[[#This Row],[R_Snubber]]</f>
        <v>5.8287251531908533</v>
      </c>
      <c r="P57" s="2" t="str">
        <f>IF(Tabela2[[#This Row],[% R_Snubber]]&lt;0.9,"Não","Sim")</f>
        <v>Sim</v>
      </c>
    </row>
    <row r="58" spans="1:16" x14ac:dyDescent="0.25">
      <c r="A58" s="2">
        <v>47000</v>
      </c>
      <c r="B58" s="2">
        <f>Estudo_Drive!$S$4</f>
        <v>47.244094488188978</v>
      </c>
      <c r="C58" s="11">
        <f>Tabela2[[#This Row],[Resistencia]]/Tabela2[[#This Row],[R3_Novo]]</f>
        <v>994.83333333333326</v>
      </c>
      <c r="D58" s="2" t="str">
        <f>IF(Tabela2[[#This Row],[% R3_Novo]]&lt;0.85,"Não","Sim")</f>
        <v>Sim</v>
      </c>
      <c r="E58" s="2">
        <f>Estudo_Drive!$S$20</f>
        <v>444.88188976377955</v>
      </c>
      <c r="F58" s="11">
        <f>Tabela2[[#This Row],[Resistencia]]/Tabela2[[#This Row],[R2_Novo]]</f>
        <v>105.64601769911503</v>
      </c>
      <c r="G58" s="2" t="str">
        <f>IF(Tabela2[[#This Row],[% R2_Novo]]&lt;0.9,"Não","Sim")</f>
        <v>Sim</v>
      </c>
      <c r="H58" s="2">
        <f>Estudo_Drive!$S$24</f>
        <v>4448.818897637796</v>
      </c>
      <c r="I58" s="11">
        <f>Tabela2[[#This Row],[Resistencia]]/Tabela2[[#This Row],[R1_Novo]]</f>
        <v>10.564601769911503</v>
      </c>
      <c r="J58" s="2" t="str">
        <f>IF(Tabela2[[#This Row],[% R1_Novo]]&lt;0.9,"Não","Sim")</f>
        <v>Sim</v>
      </c>
      <c r="K58" s="2">
        <f>Estudo_Drive!$S$28</f>
        <v>16929.133858267716</v>
      </c>
      <c r="L58" s="11">
        <f>Tabela2[[#This Row],[Resistencia]]/Tabela2[[#This Row],[Rg_Novo]]</f>
        <v>2.7762790697674418</v>
      </c>
      <c r="M58" s="2" t="str">
        <f>IF(Tabela2[[#This Row],[% Rg_Novo]]&lt;0.9,"Não","Sim")</f>
        <v>Sim</v>
      </c>
      <c r="N58" s="2">
        <f>Calculo_FlyBack_Simples!$Q$18</f>
        <v>6691</v>
      </c>
      <c r="O58" s="11">
        <f>Tabela2[[#This Row],[Resistencia]]/Tabela2[[#This Row],[R_Snubber]]</f>
        <v>7.0243610820505156</v>
      </c>
      <c r="P58" s="2" t="str">
        <f>IF(Tabela2[[#This Row],[% R_Snubber]]&lt;0.9,"Não","Sim")</f>
        <v>Sim</v>
      </c>
    </row>
    <row r="59" spans="1:16" x14ac:dyDescent="0.25">
      <c r="A59" s="2">
        <v>56000</v>
      </c>
      <c r="B59" s="2">
        <f>Estudo_Drive!$S$4</f>
        <v>47.244094488188978</v>
      </c>
      <c r="C59" s="11">
        <f>Tabela2[[#This Row],[Resistencia]]/Tabela2[[#This Row],[R3_Novo]]</f>
        <v>1185.3333333333333</v>
      </c>
      <c r="D59" s="2" t="str">
        <f>IF(Tabela2[[#This Row],[% R3_Novo]]&lt;0.85,"Não","Sim")</f>
        <v>Sim</v>
      </c>
      <c r="E59" s="2">
        <f>Estudo_Drive!$S$20</f>
        <v>444.88188976377955</v>
      </c>
      <c r="F59" s="11">
        <f>Tabela2[[#This Row],[Resistencia]]/Tabela2[[#This Row],[R2_Novo]]</f>
        <v>125.87610619469025</v>
      </c>
      <c r="G59" s="2" t="str">
        <f>IF(Tabela2[[#This Row],[% R2_Novo]]&lt;0.9,"Não","Sim")</f>
        <v>Sim</v>
      </c>
      <c r="H59" s="2">
        <f>Estudo_Drive!$S$24</f>
        <v>4448.818897637796</v>
      </c>
      <c r="I59" s="11">
        <f>Tabela2[[#This Row],[Resistencia]]/Tabela2[[#This Row],[R1_Novo]]</f>
        <v>12.587610619469025</v>
      </c>
      <c r="J59" s="2" t="str">
        <f>IF(Tabela2[[#This Row],[% R1_Novo]]&lt;0.9,"Não","Sim")</f>
        <v>Sim</v>
      </c>
      <c r="K59" s="2">
        <f>Estudo_Drive!$S$28</f>
        <v>16929.133858267716</v>
      </c>
      <c r="L59" s="11">
        <f>Tabela2[[#This Row],[Resistencia]]/Tabela2[[#This Row],[Rg_Novo]]</f>
        <v>3.307906976744186</v>
      </c>
      <c r="M59" s="2" t="str">
        <f>IF(Tabela2[[#This Row],[% Rg_Novo]]&lt;0.9,"Não","Sim")</f>
        <v>Sim</v>
      </c>
      <c r="N59" s="2">
        <f>Calculo_FlyBack_Simples!$Q$18</f>
        <v>6691</v>
      </c>
      <c r="O59" s="11">
        <f>Tabela2[[#This Row],[Resistencia]]/Tabela2[[#This Row],[R_Snubber]]</f>
        <v>8.3694515020176361</v>
      </c>
      <c r="P59" s="2" t="str">
        <f>IF(Tabela2[[#This Row],[% R_Snubber]]&lt;0.9,"Não","Sim")</f>
        <v>Sim</v>
      </c>
    </row>
    <row r="60" spans="1:16" x14ac:dyDescent="0.25">
      <c r="A60" s="2">
        <v>68000</v>
      </c>
      <c r="B60" s="2">
        <f>Estudo_Drive!$S$4</f>
        <v>47.244094488188978</v>
      </c>
      <c r="C60" s="11">
        <f>Tabela2[[#This Row],[Resistencia]]/Tabela2[[#This Row],[R3_Novo]]</f>
        <v>1439.3333333333333</v>
      </c>
      <c r="D60" s="2" t="str">
        <f>IF(Tabela2[[#This Row],[% R3_Novo]]&lt;0.85,"Não","Sim")</f>
        <v>Sim</v>
      </c>
      <c r="E60" s="2">
        <f>Estudo_Drive!$S$20</f>
        <v>444.88188976377955</v>
      </c>
      <c r="F60" s="11">
        <f>Tabela2[[#This Row],[Resistencia]]/Tabela2[[#This Row],[R2_Novo]]</f>
        <v>152.84955752212389</v>
      </c>
      <c r="G60" s="2" t="str">
        <f>IF(Tabela2[[#This Row],[% R2_Novo]]&lt;0.9,"Não","Sim")</f>
        <v>Sim</v>
      </c>
      <c r="H60" s="2">
        <f>Estudo_Drive!$S$24</f>
        <v>4448.818897637796</v>
      </c>
      <c r="I60" s="11">
        <f>Tabela2[[#This Row],[Resistencia]]/Tabela2[[#This Row],[R1_Novo]]</f>
        <v>15.284955752212387</v>
      </c>
      <c r="J60" s="2" t="str">
        <f>IF(Tabela2[[#This Row],[% R1_Novo]]&lt;0.9,"Não","Sim")</f>
        <v>Sim</v>
      </c>
      <c r="K60" s="2">
        <f>Estudo_Drive!$S$28</f>
        <v>16929.133858267716</v>
      </c>
      <c r="L60" s="11">
        <f>Tabela2[[#This Row],[Resistencia]]/Tabela2[[#This Row],[Rg_Novo]]</f>
        <v>4.0167441860465116</v>
      </c>
      <c r="M60" s="2" t="str">
        <f>IF(Tabela2[[#This Row],[% Rg_Novo]]&lt;0.9,"Não","Sim")</f>
        <v>Sim</v>
      </c>
      <c r="N60" s="2">
        <f>Calculo_FlyBack_Simples!$Q$18</f>
        <v>6691</v>
      </c>
      <c r="O60" s="11">
        <f>Tabela2[[#This Row],[Resistencia]]/Tabela2[[#This Row],[R_Snubber]]</f>
        <v>10.16290539530713</v>
      </c>
      <c r="P60" s="2" t="str">
        <f>IF(Tabela2[[#This Row],[% R_Snubber]]&lt;0.9,"Não","Sim")</f>
        <v>Sim</v>
      </c>
    </row>
    <row r="61" spans="1:16" x14ac:dyDescent="0.25">
      <c r="A61" s="2">
        <v>82000</v>
      </c>
      <c r="B61" s="2">
        <f>Estudo_Drive!$S$4</f>
        <v>47.244094488188978</v>
      </c>
      <c r="C61" s="11">
        <f>Tabela2[[#This Row],[Resistencia]]/Tabela2[[#This Row],[R3_Novo]]</f>
        <v>1735.6666666666665</v>
      </c>
      <c r="D61" s="2" t="str">
        <f>IF(Tabela2[[#This Row],[% R3_Novo]]&lt;0.85,"Não","Sim")</f>
        <v>Sim</v>
      </c>
      <c r="E61" s="2">
        <f>Estudo_Drive!$S$20</f>
        <v>444.88188976377955</v>
      </c>
      <c r="F61" s="11">
        <f>Tabela2[[#This Row],[Resistencia]]/Tabela2[[#This Row],[R2_Novo]]</f>
        <v>184.31858407079645</v>
      </c>
      <c r="G61" s="2" t="str">
        <f>IF(Tabela2[[#This Row],[% R2_Novo]]&lt;0.9,"Não","Sim")</f>
        <v>Sim</v>
      </c>
      <c r="H61" s="2">
        <f>Estudo_Drive!$S$24</f>
        <v>4448.818897637796</v>
      </c>
      <c r="I61" s="11">
        <f>Tabela2[[#This Row],[Resistencia]]/Tabela2[[#This Row],[R1_Novo]]</f>
        <v>18.431858407079645</v>
      </c>
      <c r="J61" s="2" t="str">
        <f>IF(Tabela2[[#This Row],[% R1_Novo]]&lt;0.9,"Não","Sim")</f>
        <v>Sim</v>
      </c>
      <c r="K61" s="2">
        <f>Estudo_Drive!$S$28</f>
        <v>16929.133858267716</v>
      </c>
      <c r="L61" s="11">
        <f>Tabela2[[#This Row],[Resistencia]]/Tabela2[[#This Row],[Rg_Novo]]</f>
        <v>4.8437209302325579</v>
      </c>
      <c r="M61" s="2" t="str">
        <f>IF(Tabela2[[#This Row],[% Rg_Novo]]&lt;0.9,"Não","Sim")</f>
        <v>Sim</v>
      </c>
      <c r="N61" s="2">
        <f>Calculo_FlyBack_Simples!$Q$18</f>
        <v>6691</v>
      </c>
      <c r="O61" s="11">
        <f>Tabela2[[#This Row],[Resistencia]]/Tabela2[[#This Row],[R_Snubber]]</f>
        <v>12.255268270811538</v>
      </c>
      <c r="P61" s="2" t="str">
        <f>IF(Tabela2[[#This Row],[% R_Snubber]]&lt;0.9,"Não","Sim")</f>
        <v>Sim</v>
      </c>
    </row>
    <row r="62" spans="1:16" x14ac:dyDescent="0.25">
      <c r="A62" s="2">
        <v>100000</v>
      </c>
      <c r="B62" s="2">
        <f>Estudo_Drive!$S$4</f>
        <v>47.244094488188978</v>
      </c>
      <c r="C62" s="11">
        <f>Tabela2[[#This Row],[Resistencia]]/Tabela2[[#This Row],[R3_Novo]]</f>
        <v>2116.6666666666665</v>
      </c>
      <c r="D62" s="2" t="str">
        <f>IF(Tabela2[[#This Row],[% R3_Novo]]&lt;0.85,"Não","Sim")</f>
        <v>Sim</v>
      </c>
      <c r="E62" s="2">
        <f>Estudo_Drive!$S$20</f>
        <v>444.88188976377955</v>
      </c>
      <c r="F62" s="11">
        <f>Tabela2[[#This Row],[Resistencia]]/Tabela2[[#This Row],[R2_Novo]]</f>
        <v>224.77876106194688</v>
      </c>
      <c r="G62" s="2" t="str">
        <f>IF(Tabela2[[#This Row],[% R2_Novo]]&lt;0.9,"Não","Sim")</f>
        <v>Sim</v>
      </c>
      <c r="H62" s="2">
        <f>Estudo_Drive!$S$24</f>
        <v>4448.818897637796</v>
      </c>
      <c r="I62" s="11">
        <f>Tabela2[[#This Row],[Resistencia]]/Tabela2[[#This Row],[R1_Novo]]</f>
        <v>22.477876106194685</v>
      </c>
      <c r="J62" s="2" t="str">
        <f>IF(Tabela2[[#This Row],[% R1_Novo]]&lt;0.9,"Não","Sim")</f>
        <v>Sim</v>
      </c>
      <c r="K62" s="2">
        <f>Estudo_Drive!$S$28</f>
        <v>16929.133858267716</v>
      </c>
      <c r="L62" s="11">
        <f>Tabela2[[#This Row],[Resistencia]]/Tabela2[[#This Row],[Rg_Novo]]</f>
        <v>5.9069767441860463</v>
      </c>
      <c r="M62" s="2" t="str">
        <f>IF(Tabela2[[#This Row],[% Rg_Novo]]&lt;0.9,"Não","Sim")</f>
        <v>Sim</v>
      </c>
      <c r="N62" s="2">
        <f>Calculo_FlyBack_Simples!$Q$18</f>
        <v>6691</v>
      </c>
      <c r="O62" s="11">
        <f>Tabela2[[#This Row],[Resistencia]]/Tabela2[[#This Row],[R_Snubber]]</f>
        <v>14.945449110745779</v>
      </c>
      <c r="P62" s="2" t="str">
        <f>IF(Tabela2[[#This Row],[% R_Snubber]]&lt;0.9,"Não","Sim")</f>
        <v>Sim</v>
      </c>
    </row>
    <row r="63" spans="1:16" x14ac:dyDescent="0.25">
      <c r="A63" s="2">
        <v>120000</v>
      </c>
      <c r="B63" s="2">
        <f>Estudo_Drive!$S$4</f>
        <v>47.244094488188978</v>
      </c>
      <c r="C63" s="11">
        <f>Tabela2[[#This Row],[Resistencia]]/Tabela2[[#This Row],[R3_Novo]]</f>
        <v>2540</v>
      </c>
      <c r="D63" s="2" t="str">
        <f>IF(Tabela2[[#This Row],[% R3_Novo]]&lt;0.85,"Não","Sim")</f>
        <v>Sim</v>
      </c>
      <c r="E63" s="2">
        <f>Estudo_Drive!$S$20</f>
        <v>444.88188976377955</v>
      </c>
      <c r="F63" s="11">
        <f>Tabela2[[#This Row],[Resistencia]]/Tabela2[[#This Row],[R2_Novo]]</f>
        <v>269.73451327433628</v>
      </c>
      <c r="G63" s="2" t="str">
        <f>IF(Tabela2[[#This Row],[% R2_Novo]]&lt;0.9,"Não","Sim")</f>
        <v>Sim</v>
      </c>
      <c r="H63" s="2">
        <f>Estudo_Drive!$S$24</f>
        <v>4448.818897637796</v>
      </c>
      <c r="I63" s="11">
        <f>Tabela2[[#This Row],[Resistencia]]/Tabela2[[#This Row],[R1_Novo]]</f>
        <v>26.973451327433622</v>
      </c>
      <c r="J63" s="2" t="str">
        <f>IF(Tabela2[[#This Row],[% R1_Novo]]&lt;0.9,"Não","Sim")</f>
        <v>Sim</v>
      </c>
      <c r="K63" s="2">
        <f>Estudo_Drive!$S$28</f>
        <v>16929.133858267716</v>
      </c>
      <c r="L63" s="11">
        <f>Tabela2[[#This Row],[Resistencia]]/Tabela2[[#This Row],[Rg_Novo]]</f>
        <v>7.0883720930232563</v>
      </c>
      <c r="M63" s="2" t="str">
        <f>IF(Tabela2[[#This Row],[% Rg_Novo]]&lt;0.9,"Não","Sim")</f>
        <v>Sim</v>
      </c>
      <c r="N63" s="2">
        <f>Calculo_FlyBack_Simples!$Q$18</f>
        <v>6691</v>
      </c>
      <c r="O63" s="11">
        <f>Tabela2[[#This Row],[Resistencia]]/Tabela2[[#This Row],[R_Snubber]]</f>
        <v>17.934538932894935</v>
      </c>
      <c r="P63" s="2" t="str">
        <f>IF(Tabela2[[#This Row],[% R_Snubber]]&lt;0.9,"Não","Sim")</f>
        <v>Sim</v>
      </c>
    </row>
  </sheetData>
  <phoneticPr fontId="6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2FC4-7F06-4EBC-9212-90B6253DEB4D}">
  <dimension ref="AB6:AC20"/>
  <sheetViews>
    <sheetView workbookViewId="0"/>
  </sheetViews>
  <sheetFormatPr defaultRowHeight="15" x14ac:dyDescent="0.25"/>
  <sheetData>
    <row r="6" spans="28:29" x14ac:dyDescent="0.25">
      <c r="AB6">
        <f>12/680</f>
        <v>1.7647058823529412E-2</v>
      </c>
      <c r="AC6" t="s">
        <v>31</v>
      </c>
    </row>
    <row r="7" spans="28:29" x14ac:dyDescent="0.25">
      <c r="AB7">
        <f>AB6*1000</f>
        <v>17.647058823529413</v>
      </c>
      <c r="AC7" t="s">
        <v>28</v>
      </c>
    </row>
    <row r="9" spans="28:29" x14ac:dyDescent="0.25">
      <c r="AB9">
        <f>15/1000</f>
        <v>1.4999999999999999E-2</v>
      </c>
      <c r="AC9" t="s">
        <v>31</v>
      </c>
    </row>
    <row r="10" spans="28:29" x14ac:dyDescent="0.25">
      <c r="AB10">
        <f>AB9*1000</f>
        <v>15</v>
      </c>
      <c r="AC10" t="s">
        <v>28</v>
      </c>
    </row>
    <row r="13" spans="28:29" x14ac:dyDescent="0.25">
      <c r="AB13">
        <f>15/38</f>
        <v>0.39473684210526316</v>
      </c>
      <c r="AC13" t="s">
        <v>31</v>
      </c>
    </row>
    <row r="14" spans="28:29" x14ac:dyDescent="0.25">
      <c r="AB14">
        <f>AB13*1000</f>
        <v>394.73684210526318</v>
      </c>
      <c r="AC14" t="s">
        <v>28</v>
      </c>
    </row>
    <row r="17" spans="28:29" x14ac:dyDescent="0.25">
      <c r="AB17">
        <v>1.2</v>
      </c>
      <c r="AC17" t="s">
        <v>9</v>
      </c>
    </row>
    <row r="18" spans="28:29" x14ac:dyDescent="0.25">
      <c r="AB18">
        <v>100</v>
      </c>
      <c r="AC18" t="s">
        <v>28</v>
      </c>
    </row>
    <row r="19" spans="28:29" x14ac:dyDescent="0.25">
      <c r="AB19">
        <f>AB18/1000</f>
        <v>0.1</v>
      </c>
    </row>
    <row r="20" spans="28:29" x14ac:dyDescent="0.25">
      <c r="AB20">
        <f>AB17/AB19</f>
        <v>11.999999999999998</v>
      </c>
      <c r="AC20" t="s">
        <v>71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Dados_Projeto</vt:lpstr>
      <vt:lpstr>Estudo_Drive</vt:lpstr>
      <vt:lpstr>Estudo_Mosfet</vt:lpstr>
      <vt:lpstr>Calculo_FlyBack_Simples</vt:lpstr>
      <vt:lpstr>Planilha1</vt:lpstr>
      <vt:lpstr>Estudo_OptoAcoplador</vt:lpstr>
      <vt:lpstr>Controle_Malha_Aberta</vt:lpstr>
      <vt:lpstr>Anal_Tubes</vt:lpstr>
      <vt:lpstr>Calculo_Flyback</vt:lpstr>
      <vt:lpstr>Calculo_Flyback_MCLYMAN</vt:lpstr>
      <vt:lpstr>Toroide_Iron_Powder</vt:lpstr>
      <vt:lpstr>AWG</vt:lpstr>
      <vt:lpstr>Formulas_Daniel_HART</vt:lpstr>
      <vt:lpstr>Capacitores_Comerciais</vt:lpstr>
      <vt:lpstr>Estudo_Drive_Bagunça</vt:lpstr>
      <vt:lpstr>Resistores_Comerciais</vt:lpstr>
      <vt:lpstr>Imagens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de Lima Nigro</dc:creator>
  <cp:keywords/>
  <dc:description/>
  <cp:lastModifiedBy>Miguel de Lima Nigro</cp:lastModifiedBy>
  <cp:revision/>
  <dcterms:created xsi:type="dcterms:W3CDTF">2025-06-19T17:10:55Z</dcterms:created>
  <dcterms:modified xsi:type="dcterms:W3CDTF">2026-03-24T23:54:29Z</dcterms:modified>
  <cp:category/>
  <cp:contentStatus/>
</cp:coreProperties>
</file>