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outoushou/development/autoTest/"/>
    </mc:Choice>
  </mc:AlternateContent>
  <xr:revisionPtr revIDLastSave="0" documentId="8_{CE1F5B96-5BB4-5242-AAE1-88A050C3C352}" xr6:coauthVersionLast="47" xr6:coauthVersionMax="47" xr10:uidLastSave="{00000000-0000-0000-0000-000000000000}"/>
  <bookViews>
    <workbookView xWindow="2440" yWindow="820" windowWidth="26340" windowHeight="18520" activeTab="1" xr2:uid="{934E95A7-77E6-E348-B224-445686B289E8}"/>
  </bookViews>
  <sheets>
    <sheet name="簡易仕様書" sheetId="1" r:id="rId1"/>
    <sheet name="テストケース" sheetId="5" r:id="rId2"/>
    <sheet name="テスト報告" sheetId="4" r:id="rId3"/>
    <sheet name="機能要件" sheetId="2" r:id="rId4"/>
    <sheet name="非機能要件" sheetId="3" r:id="rId5"/>
  </sheets>
  <definedNames>
    <definedName name="solver_adj" localSheetId="0" hidden="1">簡易仕様書!$F$27</definedName>
    <definedName name="solver_cvg" localSheetId="0" hidden="1">0.0000001</definedName>
    <definedName name="solver_drv" localSheetId="0" hidden="1">1</definedName>
    <definedName name="solver_eng" localSheetId="0" hidden="1">1</definedName>
    <definedName name="solver_itr" localSheetId="0" hidden="1">2147483647</definedName>
    <definedName name="solver_lhs1" localSheetId="0" hidden="1">簡易仕様書!$L$61</definedName>
    <definedName name="solver_lhs2" localSheetId="0" hidden="1">簡易仕様書!$L$61</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opt" localSheetId="0" hidden="1">簡易仕様書!$F$26</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hs1" localSheetId="0" hidden="1">70</definedName>
    <definedName name="solver_rhs2" localSheetId="0" hidden="1">0.1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3</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C169" i="5" l="1"/>
  <c r="AB169" i="5"/>
  <c r="AA169" i="5"/>
  <c r="Z169" i="5"/>
  <c r="Y169" i="5"/>
  <c r="X169" i="5"/>
  <c r="W169" i="5"/>
  <c r="V169" i="5" s="1"/>
  <c r="U169" i="5" s="1"/>
  <c r="I20" i="5"/>
  <c r="K7" i="1"/>
  <c r="K6" i="1"/>
  <c r="K5" i="1"/>
  <c r="K4" i="1"/>
  <c r="K3" i="1"/>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15" i="5"/>
  <c r="AC116" i="5"/>
  <c r="AC117" i="5"/>
  <c r="AC118" i="5"/>
  <c r="AC119" i="5"/>
  <c r="AC120" i="5"/>
  <c r="AC121" i="5"/>
  <c r="AC122" i="5"/>
  <c r="AC123" i="5"/>
  <c r="AC124" i="5"/>
  <c r="AC125" i="5"/>
  <c r="AC126" i="5"/>
  <c r="AC127" i="5"/>
  <c r="AC128" i="5"/>
  <c r="AC129" i="5"/>
  <c r="AC130" i="5"/>
  <c r="AC131" i="5"/>
  <c r="AC132" i="5"/>
  <c r="AC133" i="5"/>
  <c r="AC134" i="5"/>
  <c r="AC135" i="5"/>
  <c r="AC136" i="5"/>
  <c r="AC137" i="5"/>
  <c r="AC138" i="5"/>
  <c r="AC139" i="5"/>
  <c r="AC140" i="5"/>
  <c r="AC141" i="5"/>
  <c r="AC142" i="5"/>
  <c r="AC5" i="5"/>
  <c r="AC6" i="5"/>
  <c r="AC7" i="5"/>
  <c r="AC8" i="5"/>
  <c r="AC9" i="5"/>
  <c r="AC10" i="5"/>
  <c r="AC11" i="5"/>
  <c r="AC12" i="5"/>
  <c r="AC13" i="5"/>
  <c r="AC14" i="5"/>
  <c r="AC15" i="5"/>
  <c r="AC16" i="5"/>
  <c r="AC17" i="5"/>
  <c r="AC18" i="5"/>
  <c r="AC19" i="5"/>
  <c r="AC20" i="5"/>
  <c r="AC21" i="5"/>
  <c r="AC4" i="5"/>
  <c r="AB130" i="5"/>
  <c r="AB131" i="5"/>
  <c r="AB132" i="5"/>
  <c r="AB133" i="5"/>
  <c r="AB134" i="5"/>
  <c r="AB135" i="5"/>
  <c r="AB136" i="5"/>
  <c r="AB137" i="5"/>
  <c r="AB138" i="5"/>
  <c r="AB139" i="5"/>
  <c r="AB140" i="5"/>
  <c r="AB141" i="5"/>
  <c r="AB142" i="5"/>
  <c r="AB105" i="5"/>
  <c r="AB106" i="5"/>
  <c r="AB107" i="5"/>
  <c r="AB108" i="5"/>
  <c r="AB109" i="5"/>
  <c r="AB110" i="5"/>
  <c r="AB111" i="5"/>
  <c r="AB112" i="5"/>
  <c r="AB113" i="5"/>
  <c r="AB114" i="5"/>
  <c r="AB115" i="5"/>
  <c r="AB116" i="5"/>
  <c r="AB117" i="5"/>
  <c r="AB118" i="5"/>
  <c r="AB119" i="5"/>
  <c r="AB120" i="5"/>
  <c r="AB121" i="5"/>
  <c r="AB122" i="5"/>
  <c r="AB123" i="5"/>
  <c r="AB124" i="5"/>
  <c r="AB125" i="5"/>
  <c r="AB126" i="5"/>
  <c r="AB127" i="5"/>
  <c r="AB128" i="5"/>
  <c r="AB129" i="5"/>
  <c r="AB82" i="5"/>
  <c r="AB83" i="5"/>
  <c r="AB84" i="5"/>
  <c r="AB85" i="5"/>
  <c r="AB86" i="5"/>
  <c r="AB87" i="5"/>
  <c r="AB88" i="5"/>
  <c r="AB89" i="5"/>
  <c r="AB90" i="5"/>
  <c r="AB91" i="5"/>
  <c r="AB92" i="5"/>
  <c r="AB93" i="5"/>
  <c r="AB94" i="5"/>
  <c r="AB95" i="5"/>
  <c r="AB96" i="5"/>
  <c r="AB97" i="5"/>
  <c r="AB98" i="5"/>
  <c r="AB99" i="5"/>
  <c r="AB100" i="5"/>
  <c r="AB101" i="5"/>
  <c r="AB102" i="5"/>
  <c r="AB103" i="5"/>
  <c r="AB104" i="5"/>
  <c r="AB64" i="5"/>
  <c r="AB65" i="5"/>
  <c r="AB66" i="5"/>
  <c r="AB67" i="5"/>
  <c r="AB68" i="5"/>
  <c r="AB69" i="5"/>
  <c r="AB70" i="5"/>
  <c r="AB71" i="5"/>
  <c r="AB72" i="5"/>
  <c r="AB73" i="5"/>
  <c r="AB74" i="5"/>
  <c r="AB75" i="5"/>
  <c r="AB76" i="5"/>
  <c r="AB77" i="5"/>
  <c r="AB78" i="5"/>
  <c r="AB79" i="5"/>
  <c r="AB80" i="5"/>
  <c r="AB81" i="5"/>
  <c r="AB41" i="5"/>
  <c r="AB42" i="5"/>
  <c r="AB43" i="5"/>
  <c r="AB44" i="5"/>
  <c r="AB45" i="5"/>
  <c r="AB46" i="5"/>
  <c r="AB47" i="5"/>
  <c r="AB48" i="5"/>
  <c r="AB49" i="5"/>
  <c r="AB50" i="5"/>
  <c r="AB51" i="5"/>
  <c r="AB52" i="5"/>
  <c r="AB53" i="5"/>
  <c r="AB54" i="5"/>
  <c r="AB55" i="5"/>
  <c r="AB56" i="5"/>
  <c r="AB57" i="5"/>
  <c r="AB58" i="5"/>
  <c r="AB59" i="5"/>
  <c r="AB60" i="5"/>
  <c r="AB61" i="5"/>
  <c r="AB62" i="5"/>
  <c r="AB63" i="5"/>
  <c r="AB27" i="5"/>
  <c r="AB28" i="5"/>
  <c r="AB29" i="5"/>
  <c r="AB30" i="5"/>
  <c r="AB31" i="5"/>
  <c r="AB32" i="5"/>
  <c r="AB33" i="5"/>
  <c r="AB34" i="5"/>
  <c r="AB35" i="5"/>
  <c r="AB36" i="5"/>
  <c r="AB37" i="5"/>
  <c r="AB38" i="5"/>
  <c r="AB39" i="5"/>
  <c r="AB40" i="5"/>
  <c r="AB5" i="5"/>
  <c r="AB6" i="5"/>
  <c r="AB7" i="5"/>
  <c r="AB8" i="5"/>
  <c r="AB9" i="5"/>
  <c r="AB10" i="5"/>
  <c r="AB11" i="5"/>
  <c r="AB12" i="5"/>
  <c r="AB13" i="5"/>
  <c r="AB14" i="5"/>
  <c r="AB15" i="5"/>
  <c r="AB16" i="5"/>
  <c r="AB17" i="5"/>
  <c r="AB18" i="5"/>
  <c r="AB19" i="5"/>
  <c r="AB20" i="5"/>
  <c r="AB21" i="5"/>
  <c r="AB22" i="5"/>
  <c r="AB23" i="5"/>
  <c r="AB24" i="5"/>
  <c r="AB25" i="5"/>
  <c r="AB26" i="5"/>
  <c r="AB4" i="5"/>
  <c r="K8" i="1" l="1"/>
  <c r="J183" i="5"/>
  <c r="J169" i="5"/>
  <c r="J172" i="5"/>
  <c r="J171" i="5"/>
  <c r="J174" i="5"/>
  <c r="J175" i="5"/>
  <c r="J176" i="5"/>
  <c r="J173" i="5"/>
  <c r="J168" i="5"/>
  <c r="J170" i="5"/>
  <c r="J167" i="5"/>
  <c r="AA78" i="5"/>
  <c r="Z78" i="5"/>
  <c r="Y78" i="5"/>
  <c r="X78" i="5"/>
  <c r="W78" i="5"/>
  <c r="J78" i="5"/>
  <c r="AA79" i="5"/>
  <c r="Z79" i="5"/>
  <c r="Y79" i="5"/>
  <c r="X79" i="5"/>
  <c r="W79" i="5"/>
  <c r="J79" i="5"/>
  <c r="AA82" i="5"/>
  <c r="Z82" i="5"/>
  <c r="Y82" i="5"/>
  <c r="X82" i="5"/>
  <c r="W82" i="5"/>
  <c r="J82" i="5"/>
  <c r="AA88" i="5"/>
  <c r="Z88" i="5"/>
  <c r="Y88" i="5"/>
  <c r="X88" i="5"/>
  <c r="W88" i="5"/>
  <c r="J88" i="5"/>
  <c r="AA89" i="5"/>
  <c r="Z89" i="5"/>
  <c r="Y89" i="5"/>
  <c r="X89" i="5"/>
  <c r="W89" i="5"/>
  <c r="J89" i="5"/>
  <c r="AA90" i="5"/>
  <c r="Z90" i="5"/>
  <c r="Y90" i="5"/>
  <c r="X90" i="5"/>
  <c r="W90" i="5"/>
  <c r="J90" i="5"/>
  <c r="AA14" i="5"/>
  <c r="Z14" i="5"/>
  <c r="Y14" i="5"/>
  <c r="X14" i="5"/>
  <c r="W14" i="5"/>
  <c r="J14" i="5"/>
  <c r="AA131" i="5"/>
  <c r="AA132" i="5"/>
  <c r="AA133" i="5"/>
  <c r="AA134" i="5"/>
  <c r="AA135" i="5"/>
  <c r="AA136" i="5"/>
  <c r="AA137" i="5"/>
  <c r="AA138" i="5"/>
  <c r="AA139" i="5"/>
  <c r="AA140" i="5"/>
  <c r="AA141" i="5"/>
  <c r="AA142" i="5"/>
  <c r="AA118" i="5"/>
  <c r="AA119" i="5"/>
  <c r="AA120" i="5"/>
  <c r="AA121" i="5"/>
  <c r="AA122" i="5"/>
  <c r="AA123" i="5"/>
  <c r="AA124" i="5"/>
  <c r="AA125" i="5"/>
  <c r="AA126" i="5"/>
  <c r="AA127" i="5"/>
  <c r="AA128" i="5"/>
  <c r="AA129" i="5"/>
  <c r="AA130" i="5"/>
  <c r="AA100" i="5"/>
  <c r="AA101" i="5"/>
  <c r="AA102" i="5"/>
  <c r="AA103" i="5"/>
  <c r="AA104" i="5"/>
  <c r="AA105" i="5"/>
  <c r="AA106" i="5"/>
  <c r="AA107" i="5"/>
  <c r="AA108" i="5"/>
  <c r="AA109" i="5"/>
  <c r="AA110" i="5"/>
  <c r="AA111" i="5"/>
  <c r="AA112" i="5"/>
  <c r="AA113" i="5"/>
  <c r="AA114" i="5"/>
  <c r="AA115" i="5"/>
  <c r="AA116" i="5"/>
  <c r="AA117" i="5"/>
  <c r="AA80" i="5"/>
  <c r="AA81" i="5"/>
  <c r="AA83" i="5"/>
  <c r="AA84" i="5"/>
  <c r="AA85" i="5"/>
  <c r="AA86" i="5"/>
  <c r="AA87" i="5"/>
  <c r="AA91" i="5"/>
  <c r="AA92" i="5"/>
  <c r="AA93" i="5"/>
  <c r="AA94" i="5"/>
  <c r="AA95" i="5"/>
  <c r="AA96" i="5"/>
  <c r="AA97" i="5"/>
  <c r="AA98" i="5"/>
  <c r="AA99" i="5"/>
  <c r="AA63" i="5"/>
  <c r="AA64" i="5"/>
  <c r="AA65" i="5"/>
  <c r="AA66" i="5"/>
  <c r="AA67" i="5"/>
  <c r="AA68" i="5"/>
  <c r="AA69" i="5"/>
  <c r="AA70" i="5"/>
  <c r="AA71" i="5"/>
  <c r="AA72" i="5"/>
  <c r="AA73" i="5"/>
  <c r="AA74" i="5"/>
  <c r="AA75" i="5"/>
  <c r="AA76" i="5"/>
  <c r="AA77" i="5"/>
  <c r="AA51" i="5"/>
  <c r="AA52" i="5"/>
  <c r="AA53" i="5"/>
  <c r="AA54" i="5"/>
  <c r="AA55" i="5"/>
  <c r="AA56" i="5"/>
  <c r="AA57" i="5"/>
  <c r="AA58" i="5"/>
  <c r="AA59" i="5"/>
  <c r="AA60" i="5"/>
  <c r="AA61" i="5"/>
  <c r="AA62" i="5"/>
  <c r="AA38" i="5"/>
  <c r="AA39" i="5"/>
  <c r="AA40" i="5"/>
  <c r="AA41" i="5"/>
  <c r="AA42" i="5"/>
  <c r="AA43" i="5"/>
  <c r="AA44" i="5"/>
  <c r="AA45" i="5"/>
  <c r="AA46" i="5"/>
  <c r="AA47" i="5"/>
  <c r="AA48" i="5"/>
  <c r="AA49" i="5"/>
  <c r="AA50" i="5"/>
  <c r="AA19" i="5"/>
  <c r="AA20" i="5"/>
  <c r="AA21" i="5"/>
  <c r="AA22" i="5"/>
  <c r="AA23" i="5"/>
  <c r="AA24" i="5"/>
  <c r="AA25" i="5"/>
  <c r="AA26" i="5"/>
  <c r="AA27" i="5"/>
  <c r="AA28" i="5"/>
  <c r="AA29" i="5"/>
  <c r="AA30" i="5"/>
  <c r="AA31" i="5"/>
  <c r="AA32" i="5"/>
  <c r="AA33" i="5"/>
  <c r="AA34" i="5"/>
  <c r="AA35" i="5"/>
  <c r="AA36" i="5"/>
  <c r="AA37" i="5"/>
  <c r="AA5" i="5"/>
  <c r="AA6" i="5"/>
  <c r="AA7" i="5"/>
  <c r="AA8" i="5"/>
  <c r="AA9" i="5"/>
  <c r="AA10" i="5"/>
  <c r="AA11" i="5"/>
  <c r="AA12" i="5"/>
  <c r="AA13" i="5"/>
  <c r="AA15" i="5"/>
  <c r="AA16" i="5"/>
  <c r="AA17" i="5"/>
  <c r="AA18" i="5"/>
  <c r="AA4" i="5"/>
  <c r="Z127" i="5"/>
  <c r="Z128" i="5"/>
  <c r="Z129" i="5"/>
  <c r="Z130" i="5"/>
  <c r="Z131" i="5"/>
  <c r="Z132" i="5"/>
  <c r="Z133" i="5"/>
  <c r="Z134" i="5"/>
  <c r="Z135" i="5"/>
  <c r="Z136" i="5"/>
  <c r="Z137" i="5"/>
  <c r="Z138" i="5"/>
  <c r="Z139" i="5"/>
  <c r="Z140" i="5"/>
  <c r="Z141" i="5"/>
  <c r="Z142" i="5"/>
  <c r="Z112" i="5"/>
  <c r="Z113" i="5"/>
  <c r="Z114" i="5"/>
  <c r="Z115" i="5"/>
  <c r="Z116" i="5"/>
  <c r="Z117" i="5"/>
  <c r="Z118" i="5"/>
  <c r="Z119" i="5"/>
  <c r="Z120" i="5"/>
  <c r="Z121" i="5"/>
  <c r="Z122" i="5"/>
  <c r="Z123" i="5"/>
  <c r="Z124" i="5"/>
  <c r="Z125" i="5"/>
  <c r="Z126" i="5"/>
  <c r="Z99" i="5"/>
  <c r="Z100" i="5"/>
  <c r="Z101" i="5"/>
  <c r="Z102" i="5"/>
  <c r="Z103" i="5"/>
  <c r="Z104" i="5"/>
  <c r="Z105" i="5"/>
  <c r="Z106" i="5"/>
  <c r="Z107" i="5"/>
  <c r="Z108" i="5"/>
  <c r="Z109" i="5"/>
  <c r="Z110" i="5"/>
  <c r="Z111" i="5"/>
  <c r="Z86" i="5"/>
  <c r="Z87" i="5"/>
  <c r="Z91" i="5"/>
  <c r="Z92" i="5"/>
  <c r="Z93" i="5"/>
  <c r="Z94" i="5"/>
  <c r="Z95" i="5"/>
  <c r="Z96" i="5"/>
  <c r="Z97" i="5"/>
  <c r="Z98" i="5"/>
  <c r="Z73" i="5"/>
  <c r="Z74" i="5"/>
  <c r="Z77" i="5"/>
  <c r="Z80" i="5"/>
  <c r="Z81" i="5"/>
  <c r="Z83" i="5"/>
  <c r="Z58" i="5"/>
  <c r="Z59" i="5"/>
  <c r="Z60" i="5"/>
  <c r="Z61" i="5"/>
  <c r="Z62" i="5"/>
  <c r="Z63" i="5"/>
  <c r="Z64" i="5"/>
  <c r="Z65" i="5"/>
  <c r="Z66" i="5"/>
  <c r="Z67" i="5"/>
  <c r="Z68" i="5"/>
  <c r="Z69" i="5"/>
  <c r="Z70" i="5"/>
  <c r="Z71" i="5"/>
  <c r="Z72" i="5"/>
  <c r="Z36" i="5"/>
  <c r="Z37" i="5"/>
  <c r="Z38" i="5"/>
  <c r="Z39" i="5"/>
  <c r="Z40" i="5"/>
  <c r="Z41" i="5"/>
  <c r="Z42" i="5"/>
  <c r="Z43" i="5"/>
  <c r="Z44" i="5"/>
  <c r="Z45" i="5"/>
  <c r="Z46" i="5"/>
  <c r="Z47" i="5"/>
  <c r="Z48" i="5"/>
  <c r="Z49" i="5"/>
  <c r="Z50" i="5"/>
  <c r="Z51" i="5"/>
  <c r="Z52" i="5"/>
  <c r="Z53" i="5"/>
  <c r="Z54" i="5"/>
  <c r="Z55" i="5"/>
  <c r="Z56" i="5"/>
  <c r="Z57" i="5"/>
  <c r="Z19" i="5"/>
  <c r="Z20" i="5"/>
  <c r="Z21" i="5"/>
  <c r="Z22" i="5"/>
  <c r="Z23" i="5"/>
  <c r="Z24" i="5"/>
  <c r="Z25" i="5"/>
  <c r="Z26" i="5"/>
  <c r="Z27" i="5"/>
  <c r="Z28" i="5"/>
  <c r="Z29" i="5"/>
  <c r="Z30" i="5"/>
  <c r="Z31" i="5"/>
  <c r="Z32" i="5"/>
  <c r="Z33" i="5"/>
  <c r="Z34" i="5"/>
  <c r="Z35" i="5"/>
  <c r="Z5" i="5"/>
  <c r="Z6" i="5"/>
  <c r="Z7" i="5"/>
  <c r="Z10" i="5"/>
  <c r="Z11" i="5"/>
  <c r="Z12" i="5"/>
  <c r="Z13" i="5"/>
  <c r="Z15" i="5"/>
  <c r="Z16" i="5"/>
  <c r="Z17" i="5"/>
  <c r="Z18" i="5"/>
  <c r="Z4" i="5"/>
  <c r="J178" i="5"/>
  <c r="J185" i="5"/>
  <c r="J184" i="5"/>
  <c r="J182" i="5"/>
  <c r="J177" i="5"/>
  <c r="J181" i="5"/>
  <c r="J180" i="5"/>
  <c r="J179" i="5"/>
  <c r="Y24" i="5"/>
  <c r="Y25" i="5"/>
  <c r="Y26" i="5"/>
  <c r="Y27" i="5"/>
  <c r="Y5" i="5"/>
  <c r="Y6" i="5"/>
  <c r="Y7" i="5"/>
  <c r="Y10" i="5"/>
  <c r="Y11" i="5"/>
  <c r="Y12" i="5"/>
  <c r="Y13" i="5"/>
  <c r="Y15" i="5"/>
  <c r="Y4" i="5"/>
  <c r="J83" i="5"/>
  <c r="J81" i="5"/>
  <c r="J11" i="5"/>
  <c r="J12" i="5"/>
  <c r="J141" i="5"/>
  <c r="J137" i="5"/>
  <c r="J133" i="5"/>
  <c r="J130" i="5"/>
  <c r="J126" i="5"/>
  <c r="J122" i="5"/>
  <c r="J118" i="5"/>
  <c r="J114" i="5"/>
  <c r="J110" i="5"/>
  <c r="J106" i="5"/>
  <c r="J102" i="5"/>
  <c r="J98" i="5"/>
  <c r="J94" i="5"/>
  <c r="J87" i="5"/>
  <c r="J80" i="5"/>
  <c r="J74" i="5"/>
  <c r="J70" i="5"/>
  <c r="J66" i="5"/>
  <c r="J62" i="5"/>
  <c r="J58" i="5"/>
  <c r="J54" i="5"/>
  <c r="J50" i="5"/>
  <c r="J46" i="5"/>
  <c r="J42" i="5"/>
  <c r="J38" i="5"/>
  <c r="J34" i="5"/>
  <c r="J30" i="5"/>
  <c r="J26" i="5"/>
  <c r="J22" i="5"/>
  <c r="J18" i="5"/>
  <c r="J13" i="5"/>
  <c r="X6" i="5"/>
  <c r="W6" i="5"/>
  <c r="J6" i="5"/>
  <c r="W5" i="5"/>
  <c r="X5" i="5"/>
  <c r="W7" i="5"/>
  <c r="X7" i="5"/>
  <c r="X8" i="5"/>
  <c r="W9" i="5"/>
  <c r="W10" i="5"/>
  <c r="X4" i="5"/>
  <c r="W4" i="5"/>
  <c r="K32" i="1"/>
  <c r="K30" i="1"/>
  <c r="J125" i="5"/>
  <c r="J129" i="5"/>
  <c r="J134" i="5"/>
  <c r="J138" i="5"/>
  <c r="J142" i="5"/>
  <c r="J101" i="5"/>
  <c r="J105" i="5"/>
  <c r="J109" i="5"/>
  <c r="J113" i="5"/>
  <c r="J117" i="5"/>
  <c r="J121" i="5"/>
  <c r="J73" i="5"/>
  <c r="J77" i="5"/>
  <c r="J86" i="5"/>
  <c r="J93" i="5"/>
  <c r="J97" i="5"/>
  <c r="J45" i="5"/>
  <c r="J49" i="5"/>
  <c r="J53" i="5"/>
  <c r="J57" i="5"/>
  <c r="J61" i="5"/>
  <c r="J65" i="5"/>
  <c r="J69" i="5"/>
  <c r="J25" i="5"/>
  <c r="J29" i="5"/>
  <c r="J33" i="5"/>
  <c r="J37" i="5"/>
  <c r="J41" i="5"/>
  <c r="J7" i="5"/>
  <c r="J10" i="5"/>
  <c r="J17" i="5"/>
  <c r="J21" i="5"/>
  <c r="D31" i="1"/>
  <c r="Y125" i="5" s="1"/>
  <c r="K59" i="1"/>
  <c r="K60" i="1"/>
  <c r="K61" i="1"/>
  <c r="K49" i="1"/>
  <c r="K50" i="1"/>
  <c r="K51" i="1"/>
  <c r="K52" i="1"/>
  <c r="K53" i="1"/>
  <c r="K54" i="1"/>
  <c r="K55" i="1"/>
  <c r="K56" i="1"/>
  <c r="K57" i="1"/>
  <c r="K58" i="1"/>
  <c r="K31" i="1"/>
  <c r="I8" i="5" s="1"/>
  <c r="I9" i="5" s="1"/>
  <c r="J9" i="5" s="1"/>
  <c r="K33" i="1"/>
  <c r="K34" i="1"/>
  <c r="K35" i="1"/>
  <c r="K36" i="1"/>
  <c r="K37" i="1"/>
  <c r="K38" i="1"/>
  <c r="K39" i="1"/>
  <c r="K40" i="1"/>
  <c r="K41" i="1"/>
  <c r="K42" i="1"/>
  <c r="K43" i="1"/>
  <c r="K44" i="1"/>
  <c r="K45" i="1"/>
  <c r="K46" i="1"/>
  <c r="K47" i="1"/>
  <c r="K48" i="1"/>
  <c r="F26" i="1"/>
  <c r="D54" i="1"/>
  <c r="D59" i="1"/>
  <c r="D47" i="1"/>
  <c r="D48" i="1"/>
  <c r="D49" i="1"/>
  <c r="D50" i="1"/>
  <c r="D51" i="1"/>
  <c r="D32" i="1"/>
  <c r="D33" i="1"/>
  <c r="D34" i="1"/>
  <c r="D35" i="1"/>
  <c r="D36" i="1"/>
  <c r="Y127" i="5" s="1"/>
  <c r="D37" i="1"/>
  <c r="D38" i="1"/>
  <c r="D39" i="1"/>
  <c r="D40" i="1"/>
  <c r="D41" i="1"/>
  <c r="D42" i="1"/>
  <c r="D44" i="1"/>
  <c r="D45" i="1"/>
  <c r="D46" i="1"/>
  <c r="XFD1048551" i="1" a="1"/>
  <c r="XFD1048551" i="1" s="1"/>
  <c r="XFD1048552" i="1" a="1"/>
  <c r="XFD1048552" i="1" s="1"/>
  <c r="XFD1048553" i="1" a="1"/>
  <c r="XFD1048553" i="1" s="1"/>
  <c r="XFD1048554" i="1" a="1"/>
  <c r="XFD1048554" i="1" s="1"/>
  <c r="XFD1048555" i="1" a="1"/>
  <c r="XFD1048555" i="1" s="1"/>
  <c r="XFD1048556" i="1" a="1"/>
  <c r="XFD1048556" i="1" s="1"/>
  <c r="XFD1048557" i="1" a="1"/>
  <c r="XFD1048557" i="1" s="1"/>
  <c r="XFD1048558" i="1" a="1"/>
  <c r="XFD1048558" i="1" s="1"/>
  <c r="XFD1048559" i="1" a="1"/>
  <c r="XFD1048559" i="1" s="1"/>
  <c r="XFD1048560" i="1" a="1"/>
  <c r="XFD1048560" i="1" s="1"/>
  <c r="XFD1048561" i="1" a="1"/>
  <c r="XFD1048561" i="1" s="1"/>
  <c r="XFD1048562" i="1" a="1"/>
  <c r="XFD1048562" i="1" s="1"/>
  <c r="XFD1048563" i="1" a="1"/>
  <c r="XFD1048563" i="1" s="1"/>
  <c r="XFD1048564" i="1" a="1"/>
  <c r="XFD1048564" i="1" s="1"/>
  <c r="XFD1048565" i="1" a="1"/>
  <c r="XFD1048565" i="1" s="1"/>
  <c r="XFD1048566" i="1" a="1"/>
  <c r="XFD1048566" i="1" s="1"/>
  <c r="XFD1048567" i="1" a="1"/>
  <c r="XFD1048567" i="1" s="1"/>
  <c r="XFD1048568" i="1" a="1"/>
  <c r="XFD1048568" i="1" s="1"/>
  <c r="XFD1048569" i="1" a="1"/>
  <c r="XFD1048569" i="1" s="1"/>
  <c r="XFD1048570" i="1" a="1"/>
  <c r="XFD1048570" i="1" s="1"/>
  <c r="XFD1048571" i="1" a="1"/>
  <c r="XFD1048571" i="1" s="1"/>
  <c r="XFD1048572" i="1" a="1"/>
  <c r="XFD1048572" i="1" s="1"/>
  <c r="XFD1048573" i="1" a="1"/>
  <c r="XFD1048573" i="1" s="1"/>
  <c r="XFD1048574" i="1" a="1"/>
  <c r="XFD1048574" i="1"/>
  <c r="XFD1048575" i="1" a="1"/>
  <c r="XFD1048575" i="1" s="1"/>
  <c r="XFD1048576" i="1" a="1"/>
  <c r="XFD1048576" i="1" s="1"/>
  <c r="K2" i="1"/>
  <c r="V14" i="5" l="1"/>
  <c r="U14" i="5" s="1"/>
  <c r="K14" i="5" s="1"/>
  <c r="V78" i="5"/>
  <c r="U78" i="5" s="1"/>
  <c r="K78" i="5" s="1"/>
  <c r="V89" i="5"/>
  <c r="U89" i="5" s="1"/>
  <c r="K89" i="5" s="1"/>
  <c r="V79" i="5"/>
  <c r="U79" i="5" s="1"/>
  <c r="K79" i="5" s="1"/>
  <c r="V82" i="5"/>
  <c r="U82" i="5" s="1"/>
  <c r="K82" i="5" s="1"/>
  <c r="V88" i="5"/>
  <c r="U88" i="5" s="1"/>
  <c r="K88" i="5" s="1"/>
  <c r="V90" i="5"/>
  <c r="U90" i="5" s="1"/>
  <c r="K90" i="5" s="1"/>
  <c r="Z9" i="5"/>
  <c r="Z8" i="5"/>
  <c r="X133" i="5"/>
  <c r="Y16" i="5"/>
  <c r="Y28" i="5"/>
  <c r="Y20" i="5"/>
  <c r="Y44" i="5"/>
  <c r="Y36" i="5"/>
  <c r="Y62" i="5"/>
  <c r="Y54" i="5"/>
  <c r="Y83" i="5"/>
  <c r="Y72" i="5"/>
  <c r="Y102" i="5"/>
  <c r="Y94" i="5"/>
  <c r="Y118" i="5"/>
  <c r="Y110" i="5"/>
  <c r="Y139" i="5"/>
  <c r="Y131" i="5"/>
  <c r="Y51" i="5"/>
  <c r="Y43" i="5"/>
  <c r="Y35" i="5"/>
  <c r="Y61" i="5"/>
  <c r="Y53" i="5"/>
  <c r="Y81" i="5"/>
  <c r="Y71" i="5"/>
  <c r="Y101" i="5"/>
  <c r="Y93" i="5"/>
  <c r="Y117" i="5"/>
  <c r="Y109" i="5"/>
  <c r="Y138" i="5"/>
  <c r="Y130" i="5"/>
  <c r="Y50" i="5"/>
  <c r="Y42" i="5"/>
  <c r="Y34" i="5"/>
  <c r="Y60" i="5"/>
  <c r="Y52" i="5"/>
  <c r="Y80" i="5"/>
  <c r="Y70" i="5"/>
  <c r="Y100" i="5"/>
  <c r="Y92" i="5"/>
  <c r="Y116" i="5"/>
  <c r="Y108" i="5"/>
  <c r="Y137" i="5"/>
  <c r="Y129" i="5"/>
  <c r="Y33" i="5"/>
  <c r="Y49" i="5"/>
  <c r="Y41" i="5"/>
  <c r="Y67" i="5"/>
  <c r="Y59" i="5"/>
  <c r="Y91" i="5"/>
  <c r="Y77" i="5"/>
  <c r="Y69" i="5"/>
  <c r="Y99" i="5"/>
  <c r="Y123" i="5"/>
  <c r="Y115" i="5"/>
  <c r="Y107" i="5"/>
  <c r="Y136" i="5"/>
  <c r="Y128" i="5"/>
  <c r="Y32" i="5"/>
  <c r="Y48" i="5"/>
  <c r="Y40" i="5"/>
  <c r="Y66" i="5"/>
  <c r="Y58" i="5"/>
  <c r="Y87" i="5"/>
  <c r="Y76" i="5"/>
  <c r="Y68" i="5"/>
  <c r="Y98" i="5"/>
  <c r="Y122" i="5"/>
  <c r="Y114" i="5"/>
  <c r="Y106" i="5"/>
  <c r="Y135" i="5"/>
  <c r="Y19" i="5"/>
  <c r="Y31" i="5"/>
  <c r="Y23" i="5"/>
  <c r="Y47" i="5"/>
  <c r="Y39" i="5"/>
  <c r="Y65" i="5"/>
  <c r="Y57" i="5"/>
  <c r="Y86" i="5"/>
  <c r="Y75" i="5"/>
  <c r="Y105" i="5"/>
  <c r="Y97" i="5"/>
  <c r="Y121" i="5"/>
  <c r="Y113" i="5"/>
  <c r="Y142" i="5"/>
  <c r="Y134" i="5"/>
  <c r="Y126" i="5"/>
  <c r="Y18" i="5"/>
  <c r="Y9" i="5"/>
  <c r="Y30" i="5"/>
  <c r="Y22" i="5"/>
  <c r="Y46" i="5"/>
  <c r="Y38" i="5"/>
  <c r="Y64" i="5"/>
  <c r="Y56" i="5"/>
  <c r="Y85" i="5"/>
  <c r="Y74" i="5"/>
  <c r="Y104" i="5"/>
  <c r="Y96" i="5"/>
  <c r="Y120" i="5"/>
  <c r="Y112" i="5"/>
  <c r="Y141" i="5"/>
  <c r="Y133" i="5"/>
  <c r="W81" i="5"/>
  <c r="Y17" i="5"/>
  <c r="Y8" i="5"/>
  <c r="Y29" i="5"/>
  <c r="Y21" i="5"/>
  <c r="Y45" i="5"/>
  <c r="Y37" i="5"/>
  <c r="Y63" i="5"/>
  <c r="Y55" i="5"/>
  <c r="Y84" i="5"/>
  <c r="Y73" i="5"/>
  <c r="Y103" i="5"/>
  <c r="Y95" i="5"/>
  <c r="Y119" i="5"/>
  <c r="Y111" i="5"/>
  <c r="Y140" i="5"/>
  <c r="Y132" i="5"/>
  <c r="Y124" i="5"/>
  <c r="W11" i="5"/>
  <c r="I103" i="5"/>
  <c r="J103" i="5" s="1"/>
  <c r="X83" i="5"/>
  <c r="W8" i="5"/>
  <c r="V8" i="5" s="1"/>
  <c r="U8" i="5" s="1"/>
  <c r="I43" i="5"/>
  <c r="J43" i="5" s="1"/>
  <c r="W23" i="5"/>
  <c r="W40" i="5"/>
  <c r="W55" i="5"/>
  <c r="W60" i="5"/>
  <c r="W97" i="5"/>
  <c r="W138" i="5"/>
  <c r="X62" i="5"/>
  <c r="I111" i="5"/>
  <c r="X27" i="5"/>
  <c r="X44" i="5"/>
  <c r="X53" i="5"/>
  <c r="X59" i="5"/>
  <c r="X101" i="5"/>
  <c r="X74" i="5"/>
  <c r="I59" i="5"/>
  <c r="I131" i="5"/>
  <c r="W24" i="5"/>
  <c r="W41" i="5"/>
  <c r="W31" i="5"/>
  <c r="W72" i="5"/>
  <c r="W84" i="5"/>
  <c r="W115" i="5"/>
  <c r="W109" i="5"/>
  <c r="W104" i="5"/>
  <c r="W128" i="5"/>
  <c r="W134" i="5"/>
  <c r="W18" i="5"/>
  <c r="W50" i="5"/>
  <c r="W87" i="5"/>
  <c r="X110" i="5"/>
  <c r="W122" i="5"/>
  <c r="X141" i="5"/>
  <c r="I115" i="5"/>
  <c r="J115" i="5" s="1"/>
  <c r="W45" i="5"/>
  <c r="W49" i="5"/>
  <c r="W113" i="5"/>
  <c r="W103" i="5"/>
  <c r="W121" i="5"/>
  <c r="W42" i="5"/>
  <c r="W74" i="5"/>
  <c r="I19" i="5"/>
  <c r="J19" i="5" s="1"/>
  <c r="X21" i="5"/>
  <c r="X39" i="5"/>
  <c r="X86" i="5"/>
  <c r="X96" i="5"/>
  <c r="X136" i="5"/>
  <c r="W126" i="5"/>
  <c r="I27" i="5"/>
  <c r="W19" i="5"/>
  <c r="W36" i="5"/>
  <c r="W56" i="5"/>
  <c r="W51" i="5"/>
  <c r="W67" i="5"/>
  <c r="W61" i="5"/>
  <c r="W92" i="5"/>
  <c r="W73" i="5"/>
  <c r="W99" i="5"/>
  <c r="W123" i="5"/>
  <c r="W139" i="5"/>
  <c r="W142" i="5"/>
  <c r="X38" i="5"/>
  <c r="X70" i="5"/>
  <c r="I55" i="5"/>
  <c r="I23" i="5"/>
  <c r="I107" i="5"/>
  <c r="J107" i="5" s="1"/>
  <c r="I119" i="5"/>
  <c r="J119" i="5" s="1"/>
  <c r="X23" i="5"/>
  <c r="X17" i="5"/>
  <c r="X9" i="5"/>
  <c r="V9" i="5" s="1"/>
  <c r="U9" i="5" s="1"/>
  <c r="K9" i="5" s="1"/>
  <c r="X45" i="5"/>
  <c r="X40" i="5"/>
  <c r="X35" i="5"/>
  <c r="X29" i="5"/>
  <c r="X55" i="5"/>
  <c r="X49" i="5"/>
  <c r="X71" i="5"/>
  <c r="X65" i="5"/>
  <c r="X60" i="5"/>
  <c r="X91" i="5"/>
  <c r="X77" i="5"/>
  <c r="X119" i="5"/>
  <c r="X113" i="5"/>
  <c r="X108" i="5"/>
  <c r="X103" i="5"/>
  <c r="X97" i="5"/>
  <c r="X127" i="5"/>
  <c r="X121" i="5"/>
  <c r="X138" i="5"/>
  <c r="X132" i="5"/>
  <c r="X18" i="5"/>
  <c r="W30" i="5"/>
  <c r="X50" i="5"/>
  <c r="W62" i="5"/>
  <c r="X87" i="5"/>
  <c r="W102" i="5"/>
  <c r="X122" i="5"/>
  <c r="W133" i="5"/>
  <c r="X11" i="5"/>
  <c r="W29" i="5"/>
  <c r="W65" i="5"/>
  <c r="W119" i="5"/>
  <c r="W127" i="5"/>
  <c r="X102" i="5"/>
  <c r="X28" i="5"/>
  <c r="X69" i="5"/>
  <c r="X112" i="5"/>
  <c r="X125" i="5"/>
  <c r="X120" i="5"/>
  <c r="W22" i="5"/>
  <c r="W54" i="5"/>
  <c r="W94" i="5"/>
  <c r="I95" i="5"/>
  <c r="I15" i="5"/>
  <c r="W27" i="5"/>
  <c r="W21" i="5"/>
  <c r="W16" i="5"/>
  <c r="W44" i="5"/>
  <c r="W33" i="5"/>
  <c r="W53" i="5"/>
  <c r="W69" i="5"/>
  <c r="W86" i="5"/>
  <c r="W76" i="5"/>
  <c r="W117" i="5"/>
  <c r="W107" i="5"/>
  <c r="W96" i="5"/>
  <c r="W131" i="5"/>
  <c r="W34" i="5"/>
  <c r="X54" i="5"/>
  <c r="W66" i="5"/>
  <c r="W106" i="5"/>
  <c r="X126" i="5"/>
  <c r="W137" i="5"/>
  <c r="X81" i="5"/>
  <c r="I71" i="5"/>
  <c r="J71" i="5" s="1"/>
  <c r="I39" i="5"/>
  <c r="J39" i="5" s="1"/>
  <c r="I123" i="5"/>
  <c r="I91" i="5"/>
  <c r="I51" i="5"/>
  <c r="I52" i="5" s="1"/>
  <c r="I84" i="5"/>
  <c r="X25" i="5"/>
  <c r="X20" i="5"/>
  <c r="X15" i="5"/>
  <c r="X43" i="5"/>
  <c r="X37" i="5"/>
  <c r="X32" i="5"/>
  <c r="X57" i="5"/>
  <c r="X52" i="5"/>
  <c r="X47" i="5"/>
  <c r="X68" i="5"/>
  <c r="X63" i="5"/>
  <c r="X93" i="5"/>
  <c r="X85" i="5"/>
  <c r="X75" i="5"/>
  <c r="X116" i="5"/>
  <c r="X111" i="5"/>
  <c r="X105" i="5"/>
  <c r="X100" i="5"/>
  <c r="X95" i="5"/>
  <c r="X124" i="5"/>
  <c r="X140" i="5"/>
  <c r="X135" i="5"/>
  <c r="X129" i="5"/>
  <c r="W13" i="5"/>
  <c r="X34" i="5"/>
  <c r="W46" i="5"/>
  <c r="X66" i="5"/>
  <c r="W80" i="5"/>
  <c r="X106" i="5"/>
  <c r="W118" i="5"/>
  <c r="X137" i="5"/>
  <c r="W12" i="5"/>
  <c r="I67" i="5"/>
  <c r="I35" i="5"/>
  <c r="I139" i="5"/>
  <c r="I47" i="5"/>
  <c r="I75" i="5"/>
  <c r="W25" i="5"/>
  <c r="W20" i="5"/>
  <c r="W15" i="5"/>
  <c r="W43" i="5"/>
  <c r="W37" i="5"/>
  <c r="W32" i="5"/>
  <c r="W57" i="5"/>
  <c r="W52" i="5"/>
  <c r="W47" i="5"/>
  <c r="W68" i="5"/>
  <c r="W63" i="5"/>
  <c r="W93" i="5"/>
  <c r="W85" i="5"/>
  <c r="W75" i="5"/>
  <c r="W116" i="5"/>
  <c r="W111" i="5"/>
  <c r="W105" i="5"/>
  <c r="W100" i="5"/>
  <c r="W95" i="5"/>
  <c r="W124" i="5"/>
  <c r="W140" i="5"/>
  <c r="W135" i="5"/>
  <c r="W129" i="5"/>
  <c r="X13" i="5"/>
  <c r="W26" i="5"/>
  <c r="X46" i="5"/>
  <c r="W58" i="5"/>
  <c r="X80" i="5"/>
  <c r="W98" i="5"/>
  <c r="X118" i="5"/>
  <c r="W130" i="5"/>
  <c r="X12" i="5"/>
  <c r="W83" i="5"/>
  <c r="W17" i="5"/>
  <c r="W35" i="5"/>
  <c r="W71" i="5"/>
  <c r="W91" i="5"/>
  <c r="W77" i="5"/>
  <c r="W108" i="5"/>
  <c r="W132" i="5"/>
  <c r="X30" i="5"/>
  <c r="W114" i="5"/>
  <c r="X16" i="5"/>
  <c r="X33" i="5"/>
  <c r="X48" i="5"/>
  <c r="X64" i="5"/>
  <c r="X76" i="5"/>
  <c r="X117" i="5"/>
  <c r="X107" i="5"/>
  <c r="X131" i="5"/>
  <c r="X42" i="5"/>
  <c r="X114" i="5"/>
  <c r="I127" i="5"/>
  <c r="I99" i="5"/>
  <c r="W39" i="5"/>
  <c r="W28" i="5"/>
  <c r="W48" i="5"/>
  <c r="W64" i="5"/>
  <c r="W59" i="5"/>
  <c r="W112" i="5"/>
  <c r="W101" i="5"/>
  <c r="V101" i="5" s="1"/>
  <c r="U101" i="5" s="1"/>
  <c r="W125" i="5"/>
  <c r="W120" i="5"/>
  <c r="W136" i="5"/>
  <c r="X22" i="5"/>
  <c r="X94" i="5"/>
  <c r="I63" i="5"/>
  <c r="I31" i="5"/>
  <c r="J31" i="5" s="1"/>
  <c r="I135" i="5"/>
  <c r="X24" i="5"/>
  <c r="X19" i="5"/>
  <c r="X10" i="5"/>
  <c r="V10" i="5" s="1"/>
  <c r="U10" i="5" s="1"/>
  <c r="K10" i="5" s="1"/>
  <c r="X41" i="5"/>
  <c r="X36" i="5"/>
  <c r="X31" i="5"/>
  <c r="X56" i="5"/>
  <c r="X51" i="5"/>
  <c r="X72" i="5"/>
  <c r="X67" i="5"/>
  <c r="X61" i="5"/>
  <c r="X92" i="5"/>
  <c r="X84" i="5"/>
  <c r="X73" i="5"/>
  <c r="X115" i="5"/>
  <c r="X109" i="5"/>
  <c r="X104" i="5"/>
  <c r="X99" i="5"/>
  <c r="X128" i="5"/>
  <c r="X123" i="5"/>
  <c r="X139" i="5"/>
  <c r="X134" i="5"/>
  <c r="X142" i="5"/>
  <c r="V142" i="5" s="1"/>
  <c r="U142" i="5" s="1"/>
  <c r="X26" i="5"/>
  <c r="W38" i="5"/>
  <c r="X58" i="5"/>
  <c r="W70" i="5"/>
  <c r="X98" i="5"/>
  <c r="W110" i="5"/>
  <c r="X130" i="5"/>
  <c r="W141" i="5"/>
  <c r="V6" i="5"/>
  <c r="U6" i="5" s="1"/>
  <c r="K6" i="5" s="1"/>
  <c r="V7" i="5"/>
  <c r="U7" i="5" s="1"/>
  <c r="K7" i="5" s="1"/>
  <c r="V4" i="5"/>
  <c r="U4" i="5" s="1"/>
  <c r="K4" i="5" s="1"/>
  <c r="I5" i="5"/>
  <c r="J8" i="5"/>
  <c r="J4" i="5"/>
  <c r="K142" i="5" l="1"/>
  <c r="Z75" i="5"/>
  <c r="K8" i="5"/>
  <c r="J84" i="5"/>
  <c r="Z84" i="5"/>
  <c r="V110" i="5"/>
  <c r="U110" i="5" s="1"/>
  <c r="K110" i="5" s="1"/>
  <c r="V83" i="5"/>
  <c r="U83" i="5" s="1"/>
  <c r="K83" i="5" s="1"/>
  <c r="V133" i="5"/>
  <c r="U133" i="5" s="1"/>
  <c r="K133" i="5" s="1"/>
  <c r="V33" i="5"/>
  <c r="U33" i="5" s="1"/>
  <c r="K33" i="5" s="1"/>
  <c r="V98" i="5"/>
  <c r="U98" i="5" s="1"/>
  <c r="K98" i="5" s="1"/>
  <c r="V22" i="5"/>
  <c r="U22" i="5" s="1"/>
  <c r="K22" i="5" s="1"/>
  <c r="V38" i="5"/>
  <c r="U38" i="5" s="1"/>
  <c r="K38" i="5" s="1"/>
  <c r="V65" i="5"/>
  <c r="U65" i="5" s="1"/>
  <c r="K65" i="5" s="1"/>
  <c r="V103" i="5"/>
  <c r="U103" i="5" s="1"/>
  <c r="K103" i="5" s="1"/>
  <c r="V50" i="5"/>
  <c r="U50" i="5" s="1"/>
  <c r="K50" i="5" s="1"/>
  <c r="V25" i="5"/>
  <c r="U25" i="5" s="1"/>
  <c r="K25" i="5" s="1"/>
  <c r="V107" i="5"/>
  <c r="U107" i="5" s="1"/>
  <c r="K107" i="5" s="1"/>
  <c r="V105" i="5"/>
  <c r="U105" i="5" s="1"/>
  <c r="K105" i="5" s="1"/>
  <c r="V86" i="5"/>
  <c r="U86" i="5" s="1"/>
  <c r="K86" i="5" s="1"/>
  <c r="K101" i="5"/>
  <c r="V81" i="5"/>
  <c r="U81" i="5" s="1"/>
  <c r="K81" i="5" s="1"/>
  <c r="V17" i="5"/>
  <c r="U17" i="5" s="1"/>
  <c r="K17" i="5" s="1"/>
  <c r="V137" i="5"/>
  <c r="U137" i="5" s="1"/>
  <c r="K137" i="5" s="1"/>
  <c r="V11" i="5"/>
  <c r="U11" i="5" s="1"/>
  <c r="K11" i="5" s="1"/>
  <c r="V67" i="5"/>
  <c r="U67" i="5" s="1"/>
  <c r="K67" i="5" s="1"/>
  <c r="V31" i="5"/>
  <c r="U31" i="5" s="1"/>
  <c r="K31" i="5" s="1"/>
  <c r="V93" i="5"/>
  <c r="U93" i="5" s="1"/>
  <c r="K93" i="5" s="1"/>
  <c r="V102" i="5"/>
  <c r="U102" i="5" s="1"/>
  <c r="K102" i="5" s="1"/>
  <c r="V115" i="5"/>
  <c r="U115" i="5" s="1"/>
  <c r="K115" i="5" s="1"/>
  <c r="V117" i="5"/>
  <c r="U117" i="5" s="1"/>
  <c r="K117" i="5" s="1"/>
  <c r="V45" i="5"/>
  <c r="U45" i="5" s="1"/>
  <c r="K45" i="5" s="1"/>
  <c r="V74" i="5"/>
  <c r="U74" i="5" s="1"/>
  <c r="K74" i="5" s="1"/>
  <c r="V62" i="5"/>
  <c r="U62" i="5" s="1"/>
  <c r="K62" i="5" s="1"/>
  <c r="V19" i="5"/>
  <c r="U19" i="5" s="1"/>
  <c r="K19" i="5" s="1"/>
  <c r="J15" i="5"/>
  <c r="V57" i="5"/>
  <c r="U57" i="5" s="1"/>
  <c r="K57" i="5" s="1"/>
  <c r="V129" i="5"/>
  <c r="U129" i="5" s="1"/>
  <c r="K129" i="5" s="1"/>
  <c r="V114" i="5"/>
  <c r="U114" i="5" s="1"/>
  <c r="K114" i="5" s="1"/>
  <c r="V122" i="5"/>
  <c r="U122" i="5" s="1"/>
  <c r="K122" i="5" s="1"/>
  <c r="V109" i="5"/>
  <c r="U109" i="5" s="1"/>
  <c r="K109" i="5" s="1"/>
  <c r="V121" i="5"/>
  <c r="U121" i="5" s="1"/>
  <c r="K121" i="5" s="1"/>
  <c r="V87" i="5"/>
  <c r="U87" i="5" s="1"/>
  <c r="K87" i="5" s="1"/>
  <c r="V97" i="5"/>
  <c r="U97" i="5" s="1"/>
  <c r="K97" i="5" s="1"/>
  <c r="V113" i="5"/>
  <c r="U113" i="5" s="1"/>
  <c r="K113" i="5" s="1"/>
  <c r="V139" i="5"/>
  <c r="U139" i="5" s="1"/>
  <c r="K139" i="5" s="1"/>
  <c r="V46" i="5"/>
  <c r="U46" i="5" s="1"/>
  <c r="K46" i="5" s="1"/>
  <c r="V119" i="5"/>
  <c r="U119" i="5" s="1"/>
  <c r="K119" i="5" s="1"/>
  <c r="V41" i="5"/>
  <c r="U41" i="5" s="1"/>
  <c r="K41" i="5" s="1"/>
  <c r="V66" i="5"/>
  <c r="U66" i="5" s="1"/>
  <c r="K66" i="5" s="1"/>
  <c r="V51" i="5"/>
  <c r="U51" i="5" s="1"/>
  <c r="K51" i="5" s="1"/>
  <c r="V71" i="5"/>
  <c r="U71" i="5" s="1"/>
  <c r="K71" i="5" s="1"/>
  <c r="V134" i="5"/>
  <c r="U134" i="5" s="1"/>
  <c r="K134" i="5" s="1"/>
  <c r="V42" i="5"/>
  <c r="U42" i="5" s="1"/>
  <c r="K42" i="5" s="1"/>
  <c r="V126" i="5"/>
  <c r="U126" i="5" s="1"/>
  <c r="K126" i="5" s="1"/>
  <c r="V70" i="5"/>
  <c r="U70" i="5" s="1"/>
  <c r="K70" i="5" s="1"/>
  <c r="V61" i="5"/>
  <c r="U61" i="5" s="1"/>
  <c r="K61" i="5" s="1"/>
  <c r="V106" i="5"/>
  <c r="U106" i="5" s="1"/>
  <c r="K106" i="5" s="1"/>
  <c r="V37" i="5"/>
  <c r="U37" i="5" s="1"/>
  <c r="K37" i="5" s="1"/>
  <c r="V54" i="5"/>
  <c r="U54" i="5" s="1"/>
  <c r="K54" i="5" s="1"/>
  <c r="V69" i="5"/>
  <c r="U69" i="5" s="1"/>
  <c r="K69" i="5" s="1"/>
  <c r="V138" i="5"/>
  <c r="U138" i="5" s="1"/>
  <c r="K138" i="5" s="1"/>
  <c r="I48" i="5"/>
  <c r="I40" i="5"/>
  <c r="I56" i="5"/>
  <c r="I60" i="5"/>
  <c r="V60" i="5" s="1"/>
  <c r="U60" i="5" s="1"/>
  <c r="I96" i="5"/>
  <c r="V96" i="5" s="1"/>
  <c r="U96" i="5" s="1"/>
  <c r="I100" i="5"/>
  <c r="V118" i="5"/>
  <c r="U118" i="5" s="1"/>
  <c r="K118" i="5" s="1"/>
  <c r="I140" i="5"/>
  <c r="V140" i="5" s="1"/>
  <c r="U140" i="5" s="1"/>
  <c r="I72" i="5"/>
  <c r="I128" i="5"/>
  <c r="I36" i="5"/>
  <c r="I104" i="5"/>
  <c r="I76" i="5"/>
  <c r="V26" i="5"/>
  <c r="U26" i="5" s="1"/>
  <c r="K26" i="5" s="1"/>
  <c r="I32" i="5"/>
  <c r="I68" i="5"/>
  <c r="V68" i="5" s="1"/>
  <c r="U68" i="5" s="1"/>
  <c r="I124" i="5"/>
  <c r="V124" i="5" s="1"/>
  <c r="U124" i="5" s="1"/>
  <c r="I136" i="5"/>
  <c r="V136" i="5" s="1"/>
  <c r="U136" i="5" s="1"/>
  <c r="I64" i="5"/>
  <c r="V64" i="5" s="1"/>
  <c r="U64" i="5" s="1"/>
  <c r="V15" i="5"/>
  <c r="U15" i="5" s="1"/>
  <c r="K15" i="5" s="1"/>
  <c r="I85" i="5"/>
  <c r="V21" i="5"/>
  <c r="U21" i="5" s="1"/>
  <c r="K21" i="5" s="1"/>
  <c r="V29" i="5"/>
  <c r="U29" i="5" s="1"/>
  <c r="K29" i="5" s="1"/>
  <c r="V30" i="5"/>
  <c r="U30" i="5" s="1"/>
  <c r="K30" i="5" s="1"/>
  <c r="V49" i="5"/>
  <c r="U49" i="5" s="1"/>
  <c r="K49" i="5" s="1"/>
  <c r="V18" i="5"/>
  <c r="U18" i="5" s="1"/>
  <c r="K18" i="5" s="1"/>
  <c r="V55" i="5"/>
  <c r="U55" i="5" s="1"/>
  <c r="K55" i="5" s="1"/>
  <c r="J51" i="5"/>
  <c r="I120" i="5"/>
  <c r="I92" i="5"/>
  <c r="I16" i="5"/>
  <c r="I108" i="5"/>
  <c r="V108" i="5" s="1"/>
  <c r="U108" i="5" s="1"/>
  <c r="I116" i="5"/>
  <c r="I24" i="5"/>
  <c r="V24" i="5" s="1"/>
  <c r="U24" i="5" s="1"/>
  <c r="I28" i="5"/>
  <c r="V28" i="5" s="1"/>
  <c r="U28" i="5" s="1"/>
  <c r="I132" i="5"/>
  <c r="I112" i="5"/>
  <c r="I44" i="5"/>
  <c r="V84" i="5"/>
  <c r="U84" i="5" s="1"/>
  <c r="K84" i="5" s="1"/>
  <c r="V63" i="5"/>
  <c r="U63" i="5" s="1"/>
  <c r="K63" i="5" s="1"/>
  <c r="V12" i="5"/>
  <c r="U12" i="5" s="1"/>
  <c r="K12" i="5" s="1"/>
  <c r="V13" i="5"/>
  <c r="U13" i="5" s="1"/>
  <c r="K13" i="5" s="1"/>
  <c r="V58" i="5"/>
  <c r="U58" i="5" s="1"/>
  <c r="K58" i="5" s="1"/>
  <c r="V39" i="5"/>
  <c r="U39" i="5" s="1"/>
  <c r="K39" i="5" s="1"/>
  <c r="V53" i="5"/>
  <c r="U53" i="5" s="1"/>
  <c r="K53" i="5" s="1"/>
  <c r="V125" i="5"/>
  <c r="U125" i="5" s="1"/>
  <c r="K125" i="5" s="1"/>
  <c r="V130" i="5"/>
  <c r="U130" i="5" s="1"/>
  <c r="K130" i="5" s="1"/>
  <c r="V80" i="5"/>
  <c r="U80" i="5" s="1"/>
  <c r="K80" i="5" s="1"/>
  <c r="V43" i="5"/>
  <c r="U43" i="5" s="1"/>
  <c r="K43" i="5" s="1"/>
  <c r="V34" i="5"/>
  <c r="U34" i="5" s="1"/>
  <c r="K34" i="5" s="1"/>
  <c r="V94" i="5"/>
  <c r="U94" i="5" s="1"/>
  <c r="K94" i="5" s="1"/>
  <c r="V77" i="5"/>
  <c r="U77" i="5" s="1"/>
  <c r="K77" i="5" s="1"/>
  <c r="V35" i="5"/>
  <c r="U35" i="5" s="1"/>
  <c r="K35" i="5" s="1"/>
  <c r="V73" i="5"/>
  <c r="U73" i="5" s="1"/>
  <c r="K73" i="5" s="1"/>
  <c r="V141" i="5"/>
  <c r="U141" i="5" s="1"/>
  <c r="K141" i="5" s="1"/>
  <c r="J59" i="5"/>
  <c r="J55" i="5"/>
  <c r="J35" i="5"/>
  <c r="J127" i="5"/>
  <c r="J111" i="5"/>
  <c r="V91" i="5"/>
  <c r="U91" i="5" s="1"/>
  <c r="K91" i="5" s="1"/>
  <c r="V127" i="5"/>
  <c r="U127" i="5" s="1"/>
  <c r="K127" i="5" s="1"/>
  <c r="J47" i="5"/>
  <c r="J139" i="5"/>
  <c r="J67" i="5"/>
  <c r="J99" i="5"/>
  <c r="J63" i="5"/>
  <c r="V135" i="5"/>
  <c r="U135" i="5" s="1"/>
  <c r="K135" i="5" s="1"/>
  <c r="V59" i="5"/>
  <c r="U59" i="5" s="1"/>
  <c r="K59" i="5" s="1"/>
  <c r="V99" i="5"/>
  <c r="U99" i="5" s="1"/>
  <c r="K99" i="5" s="1"/>
  <c r="V123" i="5"/>
  <c r="U123" i="5" s="1"/>
  <c r="K123" i="5" s="1"/>
  <c r="J75" i="5"/>
  <c r="J123" i="5"/>
  <c r="V95" i="5"/>
  <c r="U95" i="5" s="1"/>
  <c r="K95" i="5" s="1"/>
  <c r="J91" i="5"/>
  <c r="J23" i="5"/>
  <c r="J131" i="5"/>
  <c r="J135" i="5"/>
  <c r="V75" i="5"/>
  <c r="U75" i="5" s="1"/>
  <c r="K75" i="5" s="1"/>
  <c r="J95" i="5"/>
  <c r="V27" i="5"/>
  <c r="U27" i="5" s="1"/>
  <c r="K27" i="5" s="1"/>
  <c r="V23" i="5"/>
  <c r="U23" i="5" s="1"/>
  <c r="K23" i="5" s="1"/>
  <c r="V47" i="5"/>
  <c r="U47" i="5" s="1"/>
  <c r="K47" i="5" s="1"/>
  <c r="J27" i="5"/>
  <c r="V111" i="5"/>
  <c r="U111" i="5" s="1"/>
  <c r="K111" i="5" s="1"/>
  <c r="V131" i="5"/>
  <c r="U131" i="5" s="1"/>
  <c r="K131" i="5" s="1"/>
  <c r="J52" i="5"/>
  <c r="V52" i="5"/>
  <c r="U52" i="5" s="1"/>
  <c r="K52" i="5" s="1"/>
  <c r="J5" i="5"/>
  <c r="V5" i="5"/>
  <c r="U5" i="5" s="1"/>
  <c r="K5" i="5" s="1"/>
  <c r="Z76" i="5" l="1"/>
  <c r="V85" i="5"/>
  <c r="U85" i="5" s="1"/>
  <c r="Z85" i="5"/>
  <c r="V56" i="5"/>
  <c r="U56" i="5" s="1"/>
  <c r="K56" i="5" s="1"/>
  <c r="K68" i="5"/>
  <c r="V48" i="5"/>
  <c r="U48" i="5" s="1"/>
  <c r="K48" i="5" s="1"/>
  <c r="V100" i="5"/>
  <c r="U100" i="5" s="1"/>
  <c r="K100" i="5" s="1"/>
  <c r="V112" i="5"/>
  <c r="U112" i="5" s="1"/>
  <c r="K112" i="5" s="1"/>
  <c r="V72" i="5"/>
  <c r="U72" i="5" s="1"/>
  <c r="K72" i="5" s="1"/>
  <c r="V32" i="5"/>
  <c r="U32" i="5" s="1"/>
  <c r="K32" i="5" s="1"/>
  <c r="K28" i="5"/>
  <c r="K96" i="5"/>
  <c r="V40" i="5"/>
  <c r="U40" i="5" s="1"/>
  <c r="K40" i="5" s="1"/>
  <c r="V132" i="5"/>
  <c r="U132" i="5" s="1"/>
  <c r="K132" i="5" s="1"/>
  <c r="V76" i="5"/>
  <c r="U76" i="5" s="1"/>
  <c r="K76" i="5" s="1"/>
  <c r="V128" i="5"/>
  <c r="U128" i="5" s="1"/>
  <c r="K128" i="5" s="1"/>
  <c r="V104" i="5"/>
  <c r="U104" i="5" s="1"/>
  <c r="K104" i="5" s="1"/>
  <c r="K24" i="5"/>
  <c r="K64" i="5"/>
  <c r="K60" i="5"/>
  <c r="K136" i="5"/>
  <c r="K124" i="5"/>
  <c r="K108" i="5"/>
  <c r="K140" i="5"/>
  <c r="J112" i="5"/>
  <c r="J116" i="5"/>
  <c r="J92" i="5"/>
  <c r="J68" i="5"/>
  <c r="V92" i="5"/>
  <c r="U92" i="5" s="1"/>
  <c r="K92" i="5" s="1"/>
  <c r="J64" i="5"/>
  <c r="J36" i="5"/>
  <c r="V36" i="5"/>
  <c r="U36" i="5" s="1"/>
  <c r="K36" i="5" s="1"/>
  <c r="J56" i="5"/>
  <c r="J132" i="5"/>
  <c r="J20" i="5"/>
  <c r="V20" i="5"/>
  <c r="U20" i="5" s="1"/>
  <c r="K20" i="5" s="1"/>
  <c r="J32" i="5"/>
  <c r="J100" i="5"/>
  <c r="J120" i="5"/>
  <c r="J128" i="5"/>
  <c r="J40" i="5"/>
  <c r="J28" i="5"/>
  <c r="J108" i="5"/>
  <c r="J136" i="5"/>
  <c r="J85" i="5"/>
  <c r="J76" i="5"/>
  <c r="J72" i="5"/>
  <c r="J96" i="5"/>
  <c r="J48" i="5"/>
  <c r="J44" i="5"/>
  <c r="V44" i="5"/>
  <c r="U44" i="5" s="1"/>
  <c r="K44" i="5" s="1"/>
  <c r="J24" i="5"/>
  <c r="J16" i="5"/>
  <c r="J124" i="5"/>
  <c r="V116" i="5"/>
  <c r="U116" i="5" s="1"/>
  <c r="K116" i="5" s="1"/>
  <c r="V16" i="5"/>
  <c r="U16" i="5" s="1"/>
  <c r="K16" i="5" s="1"/>
  <c r="J104" i="5"/>
  <c r="J140" i="5"/>
  <c r="J60" i="5"/>
  <c r="V120" i="5"/>
  <c r="U120" i="5" s="1"/>
  <c r="K120" i="5" s="1"/>
  <c r="K85" i="5"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<sst xmlns="http://schemas.openxmlformats.org/spreadsheetml/2006/main" count="1376" uniqueCount="378">
  <si>
    <t>テスト仕様書</t>
    <rPh sb="3" eb="6">
      <t>シヨウセィオ</t>
    </rPh>
    <phoneticPr fontId="1"/>
  </si>
  <si>
    <t>システム名</t>
    <phoneticPr fontId="1"/>
  </si>
  <si>
    <t>機能概要</t>
    <rPh sb="0" eb="2">
      <t>キノウ</t>
    </rPh>
    <rPh sb="2" eb="4">
      <t>キノウ</t>
    </rPh>
    <phoneticPr fontId="1"/>
  </si>
  <si>
    <t>対象プラットフォーム</t>
    <rPh sb="0" eb="2">
      <t>タイショウ</t>
    </rPh>
    <phoneticPr fontId="1"/>
  </si>
  <si>
    <t>使用技術</t>
    <rPh sb="0" eb="4">
      <t>シヨウ</t>
    </rPh>
    <phoneticPr fontId="1"/>
  </si>
  <si>
    <t>作成日</t>
    <rPh sb="0" eb="2">
      <t>サクセイ</t>
    </rPh>
    <rPh sb="2" eb="3">
      <t xml:space="preserve">ヒ </t>
    </rPh>
    <phoneticPr fontId="1"/>
  </si>
  <si>
    <t>更新日</t>
    <rPh sb="0" eb="3">
      <t>コウシn</t>
    </rPh>
    <phoneticPr fontId="1"/>
  </si>
  <si>
    <t>確認日</t>
    <rPh sb="0" eb="3">
      <t>カクニn</t>
    </rPh>
    <phoneticPr fontId="1"/>
  </si>
  <si>
    <t>期待値</t>
    <rPh sb="0" eb="3">
      <t>キタイ</t>
    </rPh>
    <phoneticPr fontId="1"/>
  </si>
  <si>
    <t>テスト概要</t>
    <rPh sb="3" eb="5">
      <t>ガイヨウ</t>
    </rPh>
    <phoneticPr fontId="1"/>
  </si>
  <si>
    <t>条件</t>
    <rPh sb="0" eb="2">
      <t>ジョウケn</t>
    </rPh>
    <phoneticPr fontId="1"/>
  </si>
  <si>
    <t>実行手順</t>
    <rPh sb="0" eb="4">
      <t>ジッコウ</t>
    </rPh>
    <phoneticPr fontId="1"/>
  </si>
  <si>
    <t>メイン画面</t>
    <rPh sb="3" eb="5">
      <t>ガメn</t>
    </rPh>
    <phoneticPr fontId="1"/>
  </si>
  <si>
    <t>結果</t>
    <rPh sb="0" eb="2">
      <t>ケッカ</t>
    </rPh>
    <phoneticPr fontId="1"/>
  </si>
  <si>
    <t>実行者</t>
    <rPh sb="0" eb="3">
      <t>ジッコウ</t>
    </rPh>
    <phoneticPr fontId="1"/>
  </si>
  <si>
    <t>不具合No.</t>
    <rPh sb="0" eb="3">
      <t>フグアイ</t>
    </rPh>
    <phoneticPr fontId="1"/>
  </si>
  <si>
    <t>コメント</t>
    <phoneticPr fontId="1"/>
  </si>
  <si>
    <t>項目</t>
    <rPh sb="0" eb="2">
      <t>コウモク</t>
    </rPh>
    <phoneticPr fontId="1"/>
  </si>
  <si>
    <t>各項目の表示内容に誤字や乱れがないか</t>
    <rPh sb="0" eb="1">
      <t>📝</t>
    </rPh>
    <rPh sb="1" eb="3">
      <t>コウモク</t>
    </rPh>
    <rPh sb="4" eb="8">
      <t>ヒョウ</t>
    </rPh>
    <rPh sb="9" eb="11">
      <t>ゴジ</t>
    </rPh>
    <rPh sb="12" eb="13">
      <t>ミダレ</t>
    </rPh>
    <phoneticPr fontId="1"/>
  </si>
  <si>
    <t>体重入力</t>
    <rPh sb="0" eb="4">
      <t>タイジュウ</t>
    </rPh>
    <phoneticPr fontId="1"/>
  </si>
  <si>
    <t>薬剤選択</t>
    <rPh sb="0" eb="2">
      <t>ヤクザイ</t>
    </rPh>
    <rPh sb="2" eb="4">
      <t>センタク</t>
    </rPh>
    <phoneticPr fontId="1"/>
  </si>
  <si>
    <t>結果表示</t>
    <rPh sb="0" eb="4">
      <t>ケッカ</t>
    </rPh>
    <phoneticPr fontId="1"/>
  </si>
  <si>
    <t>結果画面</t>
    <rPh sb="0" eb="2">
      <t>ケッカ</t>
    </rPh>
    <rPh sb="2" eb="4">
      <t>ガメn</t>
    </rPh>
    <phoneticPr fontId="1"/>
  </si>
  <si>
    <t>正常系</t>
    <rPh sb="0" eb="3">
      <t>セイジョウ</t>
    </rPh>
    <phoneticPr fontId="1"/>
  </si>
  <si>
    <t>保留</t>
    <rPh sb="0" eb="2">
      <t>ホリュウ</t>
    </rPh>
    <phoneticPr fontId="1"/>
  </si>
  <si>
    <t>残り</t>
    <rPh sb="0" eb="1">
      <t>ノコリ</t>
    </rPh>
    <phoneticPr fontId="1"/>
  </si>
  <si>
    <t>機能</t>
    <rPh sb="0" eb="2">
      <t>キノウ</t>
    </rPh>
    <phoneticPr fontId="1"/>
  </si>
  <si>
    <t>説明</t>
    <rPh sb="0" eb="2">
      <t>セツメイ</t>
    </rPh>
    <phoneticPr fontId="1"/>
  </si>
  <si>
    <t>薬剤選択</t>
    <rPh sb="0" eb="4">
      <t>ヤクザイ</t>
    </rPh>
    <phoneticPr fontId="1"/>
  </si>
  <si>
    <t>入力</t>
    <rPh sb="0" eb="2">
      <t>ニュウリョク</t>
    </rPh>
    <phoneticPr fontId="1"/>
  </si>
  <si>
    <t>処理</t>
    <rPh sb="0" eb="2">
      <t>ショリ</t>
    </rPh>
    <phoneticPr fontId="1"/>
  </si>
  <si>
    <t>出力</t>
    <rPh sb="0" eb="2">
      <t>シュテゥ</t>
    </rPh>
    <phoneticPr fontId="1"/>
  </si>
  <si>
    <t>ラジオボタン</t>
    <phoneticPr fontId="1"/>
  </si>
  <si>
    <t>計算機能</t>
    <rPh sb="0" eb="2">
      <t>ケイサn</t>
    </rPh>
    <rPh sb="2" eb="4">
      <t>k</t>
    </rPh>
    <phoneticPr fontId="1"/>
  </si>
  <si>
    <t>画面表示</t>
    <rPh sb="0" eb="4">
      <t>ガメn</t>
    </rPh>
    <phoneticPr fontId="1"/>
  </si>
  <si>
    <t>テキストボックス</t>
    <phoneticPr fontId="1"/>
  </si>
  <si>
    <t>基本量x当該クラスの体重別係数</t>
    <rPh sb="0" eb="2">
      <t>キホn</t>
    </rPh>
    <rPh sb="2" eb="3">
      <t>リョウ</t>
    </rPh>
    <rPh sb="4" eb="6">
      <t>トウ</t>
    </rPh>
    <rPh sb="10" eb="15">
      <t>タイ</t>
    </rPh>
    <phoneticPr fontId="1"/>
  </si>
  <si>
    <t>詳細</t>
    <rPh sb="0" eb="2">
      <t>ショウサイ</t>
    </rPh>
    <phoneticPr fontId="1"/>
  </si>
  <si>
    <t>数値チェック（0.1~70kgまでの半角数字）、近似式から体重別係数を取得</t>
    <rPh sb="0" eb="2">
      <t>スウ</t>
    </rPh>
    <rPh sb="24" eb="27">
      <t>キンジセィ</t>
    </rPh>
    <rPh sb="29" eb="32">
      <t>タイジュウ</t>
    </rPh>
    <rPh sb="32" eb="34">
      <t>ケイスウ</t>
    </rPh>
    <rPh sb="35" eb="37">
      <t>シュトク</t>
    </rPh>
    <phoneticPr fontId="1"/>
  </si>
  <si>
    <t>体重別係数</t>
    <rPh sb="0" eb="2">
      <t>タイジュウ</t>
    </rPh>
    <rPh sb="2" eb="3">
      <t>ベテゥ</t>
    </rPh>
    <rPh sb="3" eb="5">
      <t>ケイスウ</t>
    </rPh>
    <phoneticPr fontId="1"/>
  </si>
  <si>
    <t>投与量</t>
    <rPh sb="0" eb="3">
      <t>トウヨリョウ</t>
    </rPh>
    <phoneticPr fontId="1"/>
  </si>
  <si>
    <t>カテゴリ一覧、薬剤一覧</t>
    <rPh sb="4" eb="6">
      <t>イチラn</t>
    </rPh>
    <rPh sb="7" eb="11">
      <t>ヤクザイ</t>
    </rPh>
    <phoneticPr fontId="1"/>
  </si>
  <si>
    <t>放射性医薬品ID・体重・投与量</t>
    <rPh sb="0" eb="3">
      <t>ホウセィア</t>
    </rPh>
    <rPh sb="3" eb="6">
      <t>イヤク</t>
    </rPh>
    <rPh sb="9" eb="11">
      <t>タイジュウ</t>
    </rPh>
    <rPh sb="12" eb="15">
      <t>トウヨ</t>
    </rPh>
    <phoneticPr fontId="1"/>
  </si>
  <si>
    <t>ダイアログ表示</t>
    <rPh sb="5" eb="7">
      <t>ヒョウ</t>
    </rPh>
    <phoneticPr fontId="1"/>
  </si>
  <si>
    <t>保守性</t>
    <rPh sb="0" eb="3">
      <t>ホセィウ</t>
    </rPh>
    <phoneticPr fontId="1"/>
  </si>
  <si>
    <t>Webアプリ（PC・モバイル端末対応）</t>
    <rPh sb="16" eb="18">
      <t>タイオウ</t>
    </rPh>
    <phoneticPr fontId="1"/>
  </si>
  <si>
    <t>Google Chrome , Safari（最新版）</t>
    <rPh sb="23" eb="26">
      <t>サイシn</t>
    </rPh>
    <phoneticPr fontId="1"/>
  </si>
  <si>
    <t>インフラ環境</t>
    <rPh sb="4" eb="6">
      <t>カンキョウ</t>
    </rPh>
    <phoneticPr fontId="1"/>
  </si>
  <si>
    <t>AWS EC2上で動作</t>
    <rPh sb="7" eb="8">
      <t>🔐</t>
    </rPh>
    <rPh sb="9" eb="11">
      <t>ドウサ</t>
    </rPh>
    <phoneticPr fontId="1"/>
  </si>
  <si>
    <t>対応ブラウザ</t>
    <rPh sb="0" eb="1">
      <t>タイオウ</t>
    </rPh>
    <phoneticPr fontId="1"/>
  </si>
  <si>
    <t>GitHubでコード管理</t>
    <phoneticPr fontId="1"/>
  </si>
  <si>
    <t>テスト</t>
    <phoneticPr fontId="1"/>
  </si>
  <si>
    <t>技術スタック</t>
    <rPh sb="0" eb="2">
      <t>ギジュテゥ</t>
    </rPh>
    <phoneticPr fontId="1"/>
  </si>
  <si>
    <t>Selenium(E2Eテスト）、PyTest(ユニットテスト）</t>
    <phoneticPr fontId="1"/>
  </si>
  <si>
    <t>バックエンド：Java(Spring Boot 3)、フロントエンド：HTML/CSS</t>
    <phoneticPr fontId="1"/>
  </si>
  <si>
    <t>レスポンシブ対応</t>
    <phoneticPr fontId="1"/>
  </si>
  <si>
    <t>PC用の画面幅 &gt;769px、モバイル端末用の画面幅 &lt;768px</t>
    <phoneticPr fontId="1"/>
  </si>
  <si>
    <t>カテゴリ別に表示</t>
    <rPh sb="6" eb="8">
      <t>ヒョウ</t>
    </rPh>
    <phoneticPr fontId="1"/>
  </si>
  <si>
    <t>内容</t>
    <rPh sb="0" eb="2">
      <t>ナイヨウ</t>
    </rPh>
    <phoneticPr fontId="1"/>
  </si>
  <si>
    <t>選択された放射性医薬品のIDからクラス・基本量・最小量を取得</t>
    <rPh sb="0" eb="2">
      <t>センタク</t>
    </rPh>
    <rPh sb="5" eb="11">
      <t>ホウ</t>
    </rPh>
    <rPh sb="20" eb="22">
      <t>キホn</t>
    </rPh>
    <rPh sb="22" eb="23">
      <t>リョウ</t>
    </rPh>
    <rPh sb="24" eb="26">
      <t>サイセィオ</t>
    </rPh>
    <rPh sb="26" eb="27">
      <t>リョウ</t>
    </rPh>
    <rPh sb="28" eb="30">
      <t>シュトク</t>
    </rPh>
    <phoneticPr fontId="1"/>
  </si>
  <si>
    <t>クラス・基本量・最小量</t>
    <rPh sb="4" eb="6">
      <t>キホn</t>
    </rPh>
    <rPh sb="6" eb="7">
      <t>リョウ</t>
    </rPh>
    <rPh sb="8" eb="10">
      <t>サイセィオ</t>
    </rPh>
    <rPh sb="10" eb="11">
      <t>リョウ</t>
    </rPh>
    <phoneticPr fontId="1"/>
  </si>
  <si>
    <t>クラス・基本量・最小量・体重別係数</t>
    <rPh sb="4" eb="6">
      <t>キホn</t>
    </rPh>
    <rPh sb="6" eb="7">
      <t xml:space="preserve">リョウ </t>
    </rPh>
    <rPh sb="8" eb="10">
      <t>サイセィオ</t>
    </rPh>
    <rPh sb="10" eb="11">
      <t>リョウ</t>
    </rPh>
    <rPh sb="12" eb="17">
      <t>タイジュウ</t>
    </rPh>
    <phoneticPr fontId="1"/>
  </si>
  <si>
    <t>薬剤の選択項目は【別表１】放射性医薬品のクラス分類と基本量・最小量　にある放射性医薬品とする</t>
    <rPh sb="0" eb="2">
      <t>ヤクザイ</t>
    </rPh>
    <rPh sb="3" eb="5">
      <t>センタク</t>
    </rPh>
    <rPh sb="5" eb="7">
      <t>コウモク</t>
    </rPh>
    <rPh sb="9" eb="11">
      <t>ベッピョウ</t>
    </rPh>
    <rPh sb="13" eb="19">
      <t>ホウセィア</t>
    </rPh>
    <rPh sb="23" eb="25">
      <t>ブn</t>
    </rPh>
    <rPh sb="26" eb="28">
      <t>キホn</t>
    </rPh>
    <rPh sb="28" eb="29">
      <t>リョウ</t>
    </rPh>
    <rPh sb="30" eb="33">
      <t>サイセィオ</t>
    </rPh>
    <rPh sb="37" eb="43">
      <t>ホウ</t>
    </rPh>
    <phoneticPr fontId="1"/>
  </si>
  <si>
    <t>放射性医薬品、クラス、基本量、最小量はCSVファイルから読み込んで計算に使用する。</t>
    <rPh sb="0" eb="6">
      <t>ホウ</t>
    </rPh>
    <rPh sb="11" eb="14">
      <t>キホn</t>
    </rPh>
    <rPh sb="15" eb="18">
      <t>サイセィオ</t>
    </rPh>
    <rPh sb="28" eb="29">
      <t>ヨミ</t>
    </rPh>
    <rPh sb="33" eb="35">
      <t>ケイサn</t>
    </rPh>
    <rPh sb="36" eb="38">
      <t>シヨウ</t>
    </rPh>
    <phoneticPr fontId="1"/>
  </si>
  <si>
    <t>初期値は未選択。選択は必須項目とする。</t>
    <rPh sb="0" eb="3">
      <t>ショキ</t>
    </rPh>
    <rPh sb="4" eb="7">
      <t>ミセンタク</t>
    </rPh>
    <rPh sb="8" eb="10">
      <t>センタクヘ</t>
    </rPh>
    <rPh sb="11" eb="13">
      <t>ヒッス</t>
    </rPh>
    <rPh sb="13" eb="15">
      <t>コウモク</t>
    </rPh>
    <phoneticPr fontId="1"/>
  </si>
  <si>
    <t>体重の初期値はなし。体重の入力は必須項目とする。</t>
    <rPh sb="0" eb="2">
      <t>タイジュウ</t>
    </rPh>
    <rPh sb="3" eb="6">
      <t>ショキ</t>
    </rPh>
    <rPh sb="10" eb="11">
      <t>タイジュウ</t>
    </rPh>
    <rPh sb="13" eb="14">
      <t>ニュウリョク</t>
    </rPh>
    <rPh sb="16" eb="20">
      <t>ヒッス</t>
    </rPh>
    <phoneticPr fontId="1"/>
  </si>
  <si>
    <t>クラスA</t>
    <phoneticPr fontId="1"/>
  </si>
  <si>
    <t>クラスB</t>
    <phoneticPr fontId="1"/>
  </si>
  <si>
    <t>クラスC</t>
    <phoneticPr fontId="1"/>
  </si>
  <si>
    <r>
      <t>y</t>
    </r>
    <r>
      <rPr>
        <sz val="12"/>
        <color rgb="FF000000"/>
        <rFont val="Menlo"/>
        <family val="2"/>
      </rPr>
      <t xml:space="preserve"> = -0.00000023 * Math.</t>
    </r>
    <r>
      <rPr>
        <i/>
        <sz val="12"/>
        <color rgb="FF000000"/>
        <rFont val="Menlo"/>
        <family val="2"/>
      </rPr>
      <t>pow</t>
    </r>
    <r>
      <rPr>
        <sz val="12"/>
        <color rgb="FF000000"/>
        <rFont val="Menlo"/>
        <family val="2"/>
      </rPr>
      <t>(</t>
    </r>
    <r>
      <rPr>
        <sz val="12"/>
        <color rgb="FF6A3E3E"/>
        <rFont val="Menlo"/>
        <family val="2"/>
      </rPr>
      <t>x</t>
    </r>
    <r>
      <rPr>
        <sz val="12"/>
        <color rgb="FF000000"/>
        <rFont val="Menlo"/>
        <family val="2"/>
      </rPr>
      <t>, 4) + 0.00003846 * Math.</t>
    </r>
    <r>
      <rPr>
        <i/>
        <sz val="12"/>
        <color rgb="FF000000"/>
        <rFont val="Menlo"/>
        <family val="2"/>
      </rPr>
      <t>pow</t>
    </r>
    <r>
      <rPr>
        <sz val="12"/>
        <color rgb="FF000000"/>
        <rFont val="Menlo"/>
        <family val="2"/>
      </rPr>
      <t>(</t>
    </r>
    <r>
      <rPr>
        <sz val="12"/>
        <color rgb="FF6A3E3E"/>
        <rFont val="Menlo"/>
        <family val="2"/>
      </rPr>
      <t>x</t>
    </r>
    <r>
      <rPr>
        <sz val="12"/>
        <color rgb="FF000000"/>
        <rFont val="Menlo"/>
        <family val="2"/>
      </rPr>
      <t>, 3) - 0.00262028 * Math.</t>
    </r>
    <r>
      <rPr>
        <i/>
        <sz val="12"/>
        <color rgb="FF000000"/>
        <rFont val="Menlo"/>
        <family val="2"/>
      </rPr>
      <t>pow</t>
    </r>
    <r>
      <rPr>
        <sz val="12"/>
        <color rgb="FF000000"/>
        <rFont val="Menlo"/>
        <family val="2"/>
      </rPr>
      <t>(</t>
    </r>
    <r>
      <rPr>
        <sz val="12"/>
        <color rgb="FF6A3E3E"/>
        <rFont val="Menlo"/>
        <family val="2"/>
      </rPr>
      <t>x</t>
    </r>
    <r>
      <rPr>
        <sz val="12"/>
        <color rgb="FF000000"/>
        <rFont val="Menlo"/>
        <family val="2"/>
      </rPr>
      <t xml:space="preserve">, 2) + 0.27495836 * </t>
    </r>
    <r>
      <rPr>
        <sz val="12"/>
        <color rgb="FF6A3E3E"/>
        <rFont val="Menlo"/>
        <family val="2"/>
      </rPr>
      <t>x</t>
    </r>
    <r>
      <rPr>
        <sz val="12"/>
        <color rgb="FF000000"/>
        <rFont val="Menlo"/>
        <family val="2"/>
      </rPr>
      <t xml:space="preserve"> + 0.14075609</t>
    </r>
  </si>
  <si>
    <r>
      <t>y</t>
    </r>
    <r>
      <rPr>
        <sz val="12"/>
        <color rgb="FF000000"/>
        <rFont val="Menlo"/>
        <family val="2"/>
      </rPr>
      <t xml:space="preserve"> = -0.00000001 * Math.</t>
    </r>
    <r>
      <rPr>
        <i/>
        <sz val="12"/>
        <color rgb="FF000000"/>
        <rFont val="Menlo"/>
        <family val="2"/>
      </rPr>
      <t>pow</t>
    </r>
    <r>
      <rPr>
        <sz val="12"/>
        <color rgb="FF000000"/>
        <rFont val="Menlo"/>
        <family val="2"/>
      </rPr>
      <t>(</t>
    </r>
    <r>
      <rPr>
        <sz val="12"/>
        <color rgb="FF6A3E3E"/>
        <rFont val="Menlo"/>
        <family val="2"/>
      </rPr>
      <t>x</t>
    </r>
    <r>
      <rPr>
        <sz val="12"/>
        <color rgb="FF000000"/>
        <rFont val="Menlo"/>
        <family val="2"/>
      </rPr>
      <t>, 4) - 0.00001462 * Math.</t>
    </r>
    <r>
      <rPr>
        <i/>
        <sz val="12"/>
        <color rgb="FF000000"/>
        <rFont val="Menlo"/>
        <family val="2"/>
      </rPr>
      <t>pow</t>
    </r>
    <r>
      <rPr>
        <sz val="12"/>
        <color rgb="FF000000"/>
        <rFont val="Menlo"/>
        <family val="2"/>
      </rPr>
      <t>(</t>
    </r>
    <r>
      <rPr>
        <sz val="12"/>
        <color rgb="FF6A3E3E"/>
        <rFont val="Menlo"/>
        <family val="2"/>
      </rPr>
      <t>x</t>
    </r>
    <r>
      <rPr>
        <sz val="12"/>
        <color rgb="FF000000"/>
        <rFont val="Menlo"/>
        <family val="2"/>
      </rPr>
      <t>, 3) + 0.00247677 * Math.</t>
    </r>
    <r>
      <rPr>
        <i/>
        <sz val="12"/>
        <color rgb="FF000000"/>
        <rFont val="Menlo"/>
        <family val="2"/>
      </rPr>
      <t>pow</t>
    </r>
    <r>
      <rPr>
        <sz val="12"/>
        <color rgb="FF000000"/>
        <rFont val="Menlo"/>
        <family val="2"/>
      </rPr>
      <t>(</t>
    </r>
    <r>
      <rPr>
        <sz val="12"/>
        <color rgb="FF6A3E3E"/>
        <rFont val="Menlo"/>
        <family val="2"/>
      </rPr>
      <t>x</t>
    </r>
    <r>
      <rPr>
        <sz val="12"/>
        <color rgb="FF000000"/>
        <rFont val="Menlo"/>
        <family val="2"/>
      </rPr>
      <t xml:space="preserve">, 2) + 0.38073934 * </t>
    </r>
    <r>
      <rPr>
        <sz val="12"/>
        <color rgb="FF6A3E3E"/>
        <rFont val="Menlo"/>
        <family val="2"/>
      </rPr>
      <t>x</t>
    </r>
    <r>
      <rPr>
        <sz val="12"/>
        <color rgb="FF000000"/>
        <rFont val="Menlo"/>
        <family val="2"/>
      </rPr>
      <t xml:space="preserve"> - 0.24312323</t>
    </r>
  </si>
  <si>
    <t>体重別係数は【別表２】各クラスの体重別係数を参照し、実際の計算には下記の近似式を用いて係数を算出する。(xは体重、yは体重別係数）</t>
    <rPh sb="0" eb="5">
      <t>タイジュウ</t>
    </rPh>
    <rPh sb="7" eb="9">
      <t>ベッピョウ</t>
    </rPh>
    <rPh sb="11" eb="12">
      <t>カククラス</t>
    </rPh>
    <rPh sb="16" eb="21">
      <t>タイジュウ</t>
    </rPh>
    <rPh sb="22" eb="24">
      <t>サンショウ</t>
    </rPh>
    <rPh sb="26" eb="28">
      <t>ジッサイ</t>
    </rPh>
    <rPh sb="29" eb="31">
      <t>ケイサn</t>
    </rPh>
    <rPh sb="33" eb="35">
      <t>カキ</t>
    </rPh>
    <rPh sb="36" eb="39">
      <t>キンジ</t>
    </rPh>
    <rPh sb="40" eb="41">
      <t>モチイ</t>
    </rPh>
    <rPh sb="43" eb="45">
      <t>ケイスウヲサ</t>
    </rPh>
    <rPh sb="54" eb="56">
      <t>タイジュウ</t>
    </rPh>
    <rPh sb="59" eb="64">
      <t>タイジュウ</t>
    </rPh>
    <phoneticPr fontId="1"/>
  </si>
  <si>
    <r>
      <t>y</t>
    </r>
    <r>
      <rPr>
        <sz val="12"/>
        <color rgb="FF000000"/>
        <rFont val="Menlo"/>
        <family val="2"/>
      </rPr>
      <t xml:space="preserve"> = -0.00000028 * Math.</t>
    </r>
    <r>
      <rPr>
        <i/>
        <sz val="12"/>
        <color rgb="FF000000"/>
        <rFont val="Menlo"/>
        <family val="2"/>
      </rPr>
      <t>pow</t>
    </r>
    <r>
      <rPr>
        <sz val="12"/>
        <color rgb="FF000000"/>
        <rFont val="Menlo"/>
        <family val="2"/>
      </rPr>
      <t>(</t>
    </r>
    <r>
      <rPr>
        <sz val="12"/>
        <color rgb="FF6A3E3E"/>
        <rFont val="Menlo"/>
        <family val="2"/>
      </rPr>
      <t>x</t>
    </r>
    <r>
      <rPr>
        <sz val="12"/>
        <color rgb="FF000000"/>
        <rFont val="Menlo"/>
        <family val="2"/>
      </rPr>
      <t>, 4) + 0.00004915 * Math.</t>
    </r>
    <r>
      <rPr>
        <i/>
        <sz val="12"/>
        <color rgb="FF000000"/>
        <rFont val="Menlo"/>
        <family val="2"/>
      </rPr>
      <t>pow</t>
    </r>
    <r>
      <rPr>
        <sz val="12"/>
        <color rgb="FF000000"/>
        <rFont val="Menlo"/>
        <family val="2"/>
      </rPr>
      <t>(</t>
    </r>
    <r>
      <rPr>
        <sz val="12"/>
        <color rgb="FF6A3E3E"/>
        <rFont val="Menlo"/>
        <family val="2"/>
      </rPr>
      <t>x</t>
    </r>
    <r>
      <rPr>
        <sz val="12"/>
        <color rgb="FF000000"/>
        <rFont val="Menlo"/>
        <family val="2"/>
      </rPr>
      <t>, 3) - 0.00337375 * Math.</t>
    </r>
    <r>
      <rPr>
        <i/>
        <sz val="12"/>
        <color rgb="FF000000"/>
        <rFont val="Menlo"/>
        <family val="2"/>
      </rPr>
      <t>pow</t>
    </r>
    <r>
      <rPr>
        <sz val="12"/>
        <color rgb="FF000000"/>
        <rFont val="Menlo"/>
        <family val="2"/>
      </rPr>
      <t>(</t>
    </r>
    <r>
      <rPr>
        <sz val="12"/>
        <color rgb="FF6A3E3E"/>
        <rFont val="Menlo"/>
        <family val="2"/>
      </rPr>
      <t>x</t>
    </r>
    <r>
      <rPr>
        <sz val="12"/>
        <color rgb="FF000000"/>
        <rFont val="Menlo"/>
        <family val="2"/>
      </rPr>
      <t xml:space="preserve">, 2) + 0.16773060 * </t>
    </r>
    <r>
      <rPr>
        <sz val="12"/>
        <color rgb="FF6A3E3E"/>
        <rFont val="Menlo"/>
        <family val="2"/>
      </rPr>
      <t>x</t>
    </r>
    <r>
      <rPr>
        <sz val="12"/>
        <color rgb="FF000000"/>
        <rFont val="Menlo"/>
        <family val="2"/>
      </rPr>
      <t xml:space="preserve"> + 0.53976823</t>
    </r>
    <phoneticPr fontId="1"/>
  </si>
  <si>
    <t>投与量の計算は下記の式の通りとする。ただし、計算結果が最小値を下回る場合は最小値を投与量とする。最大値は規定しない</t>
    <rPh sb="0" eb="3">
      <t>トウヨリョウ</t>
    </rPh>
    <rPh sb="4" eb="6">
      <t>ケイサn</t>
    </rPh>
    <rPh sb="7" eb="9">
      <t>カキ</t>
    </rPh>
    <rPh sb="10" eb="11">
      <t>シキノ</t>
    </rPh>
    <rPh sb="12" eb="13">
      <t>トオリ</t>
    </rPh>
    <rPh sb="22" eb="26">
      <t>ケイサn</t>
    </rPh>
    <rPh sb="27" eb="30">
      <t>サイセィオ</t>
    </rPh>
    <rPh sb="31" eb="33">
      <t>シタマワル</t>
    </rPh>
    <rPh sb="37" eb="40">
      <t>サイセィオ</t>
    </rPh>
    <rPh sb="41" eb="44">
      <t>トウヨ</t>
    </rPh>
    <rPh sb="48" eb="51">
      <t>サイダイ</t>
    </rPh>
    <rPh sb="52" eb="54">
      <t>キテイ</t>
    </rPh>
    <phoneticPr fontId="1"/>
  </si>
  <si>
    <t>投与量の値は少数第二位を四捨五入する。</t>
    <rPh sb="0" eb="3">
      <t>トウヨリョウ</t>
    </rPh>
    <rPh sb="6" eb="11">
      <t>ショウスウ</t>
    </rPh>
    <rPh sb="12" eb="16">
      <t>シシャゴニュウ</t>
    </rPh>
    <phoneticPr fontId="1"/>
  </si>
  <si>
    <t>放射性医薬品　投与量（MBq）= 基本量 x 体重別係数</t>
    <rPh sb="0" eb="6">
      <t>ホウ</t>
    </rPh>
    <rPh sb="7" eb="8">
      <t>トウヨリョウ</t>
    </rPh>
    <rPh sb="17" eb="19">
      <t>キホn</t>
    </rPh>
    <rPh sb="19" eb="20">
      <t xml:space="preserve">リョウ </t>
    </rPh>
    <rPh sb="23" eb="28">
      <t>タイジュウ</t>
    </rPh>
    <phoneticPr fontId="1"/>
  </si>
  <si>
    <t>ラシックス　投与量（ml） = 体重(kg) / 10</t>
    <rPh sb="6" eb="9">
      <t>トウヨリョウ</t>
    </rPh>
    <rPh sb="16" eb="18">
      <t>タイジュウ</t>
    </rPh>
    <phoneticPr fontId="1"/>
  </si>
  <si>
    <t>ダイアモックス　投与量(mg) = 体重(kg) * 20</t>
    <rPh sb="8" eb="11">
      <t>トウヨリョウ</t>
    </rPh>
    <rPh sb="18" eb="20">
      <t>タイジュウ</t>
    </rPh>
    <phoneticPr fontId="1"/>
  </si>
  <si>
    <t>選択された薬剤がMAG3の場合のみ、負荷薬剤フロセミド（ラシックス）の計算も行う。計算式は下記。少数第二位で四捨五入。最大値は2ml</t>
    <rPh sb="0" eb="2">
      <t>センタクサル</t>
    </rPh>
    <rPh sb="5" eb="7">
      <t>ヤクザイ</t>
    </rPh>
    <rPh sb="13" eb="15">
      <t>バアイ</t>
    </rPh>
    <rPh sb="18" eb="20">
      <t xml:space="preserve">フカ </t>
    </rPh>
    <rPh sb="20" eb="22">
      <t>ヤクザイ</t>
    </rPh>
    <rPh sb="35" eb="37">
      <t>ケイサn</t>
    </rPh>
    <rPh sb="38" eb="39">
      <t>オコナウ</t>
    </rPh>
    <rPh sb="41" eb="44">
      <t>ケイサn</t>
    </rPh>
    <rPh sb="45" eb="47">
      <t>カキ</t>
    </rPh>
    <rPh sb="48" eb="53">
      <t>ショウスウ</t>
    </rPh>
    <rPh sb="54" eb="58">
      <t>シシャゴニュウ</t>
    </rPh>
    <rPh sb="59" eb="62">
      <t>サイダイ</t>
    </rPh>
    <phoneticPr fontId="1"/>
  </si>
  <si>
    <t>レスポンシブ対応としてPC用の画面幅 &gt;769px、モバイル端末用の画面幅 &lt;768pxで画面切替</t>
    <phoneticPr fontId="1"/>
  </si>
  <si>
    <t>薬剤の表示はカテゴリごとに区分けして表示する。カテゴリは下記の通りとする。</t>
    <rPh sb="0" eb="2">
      <t>ヤクザイ</t>
    </rPh>
    <rPh sb="3" eb="5">
      <t>ヒョウ</t>
    </rPh>
    <rPh sb="13" eb="15">
      <t>クワケ</t>
    </rPh>
    <rPh sb="18" eb="20">
      <t>ヒョウ</t>
    </rPh>
    <rPh sb="28" eb="30">
      <t>カキ</t>
    </rPh>
    <phoneticPr fontId="1"/>
  </si>
  <si>
    <t>その他</t>
    <phoneticPr fontId="1"/>
  </si>
  <si>
    <t>TcO4-(胃粘膜),Tc04-(甲状腺),NaI,In-111,スズコロイド(骨髄),スズコロイド/DTPA(胃排出),RBC</t>
    <rPh sb="6" eb="9">
      <t>イネンマク</t>
    </rPh>
    <rPh sb="17" eb="20">
      <t>コウジョウセn</t>
    </rPh>
    <rPh sb="40" eb="42">
      <t>コツズイ</t>
    </rPh>
    <rPh sb="56" eb="57">
      <t xml:space="preserve">イ </t>
    </rPh>
    <rPh sb="57" eb="59">
      <t>ハイシュテゥ</t>
    </rPh>
    <phoneticPr fontId="1"/>
  </si>
  <si>
    <t>心筋</t>
    <phoneticPr fontId="1"/>
  </si>
  <si>
    <t>BMIPP ,MIBG（心筋）,アルブミン（心プール）,MIBI/TF(負荷１日法1回目）,MIBI/TF（負荷１日法2回目）,MIBI/TF（２日法）</t>
    <phoneticPr fontId="1"/>
  </si>
  <si>
    <t>MIBG（腫瘍）,クエン酸ガリウム,MIBI/TF（腫瘍）,TlCl ,FDG（体幹）,FDG（脳）</t>
  </si>
  <si>
    <t>腫瘍</t>
    <rPh sb="0" eb="2">
      <t>シュヨウシュヨウシュヨウタイカnノウシnシンキココロ🐣🐣ニティ</t>
    </rPh>
    <phoneticPr fontId="1"/>
  </si>
  <si>
    <t>PMT,GSA ,スズコロイド（肝脾）,フィチン酸（肝脾）</t>
  </si>
  <si>
    <t>肝臓・脾臓</t>
    <phoneticPr fontId="1"/>
  </si>
  <si>
    <t>EC D ,IMP ,HMPAO,イオマゼニル</t>
  </si>
  <si>
    <t>脳血流</t>
    <phoneticPr fontId="1"/>
  </si>
  <si>
    <t>MDP/HMDP</t>
  </si>
  <si>
    <t>骨</t>
    <phoneticPr fontId="1"/>
  </si>
  <si>
    <t>MAA</t>
    <phoneticPr fontId="1"/>
  </si>
  <si>
    <t>肺</t>
    <phoneticPr fontId="1"/>
  </si>
  <si>
    <t>DMSA,MAG3,DTPA</t>
  </si>
  <si>
    <t>腎臓</t>
    <rPh sb="0" eb="2">
      <t>ジンゾウホネノウケツルカンゾウヒゾウカンゾウヒゾウサン カンゾウヒゾウ</t>
    </rPh>
    <phoneticPr fontId="1"/>
  </si>
  <si>
    <t>薬剤のうちDMSA,MAG3,MAA,MDP/HMDP,ECD,IMP,PMT,MIBG(腫瘍)は強調表示とする。</t>
    <rPh sb="0" eb="1">
      <t>ヤクザイ</t>
    </rPh>
    <rPh sb="45" eb="47">
      <t>シュヨウ</t>
    </rPh>
    <rPh sb="49" eb="53">
      <t>キョウチョウ</t>
    </rPh>
    <phoneticPr fontId="1"/>
  </si>
  <si>
    <t>PC用の表示はカテゴリごとに複数列に分けて画面内に表示できるようにする。モバイル端末用の表示はカテゴリごとに縦一列に配置する。</t>
    <rPh sb="2" eb="3">
      <t>ヨウ</t>
    </rPh>
    <rPh sb="4" eb="6">
      <t>ヒョウ</t>
    </rPh>
    <rPh sb="14" eb="17">
      <t>フクスウ</t>
    </rPh>
    <rPh sb="18" eb="19">
      <t>ワケ</t>
    </rPh>
    <rPh sb="21" eb="23">
      <t>ガメn</t>
    </rPh>
    <rPh sb="23" eb="24">
      <t>ナイ</t>
    </rPh>
    <rPh sb="25" eb="27">
      <t>ヒョウ</t>
    </rPh>
    <rPh sb="40" eb="42">
      <t>タンマテゥ</t>
    </rPh>
    <rPh sb="42" eb="43">
      <t xml:space="preserve">ヨウ </t>
    </rPh>
    <rPh sb="44" eb="46">
      <t>ヒョウ</t>
    </rPh>
    <rPh sb="54" eb="57">
      <t>タテイチレテゥ</t>
    </rPh>
    <rPh sb="58" eb="60">
      <t>ハイティ</t>
    </rPh>
    <phoneticPr fontId="1"/>
  </si>
  <si>
    <t>結果の表示はダイアログウィンドウで表示する。</t>
    <rPh sb="0" eb="2">
      <t>ケッカ</t>
    </rPh>
    <rPh sb="17" eb="19">
      <t>ヒョウ</t>
    </rPh>
    <phoneticPr fontId="1"/>
  </si>
  <si>
    <t>結果表示画面には、体重、薬剤名、投与量を表示する。</t>
    <rPh sb="0" eb="1">
      <t>ケッカ</t>
    </rPh>
    <rPh sb="4" eb="6">
      <t>ガメn</t>
    </rPh>
    <rPh sb="9" eb="11">
      <t>タイジュウ</t>
    </rPh>
    <rPh sb="12" eb="15">
      <t>ヤクザイ</t>
    </rPh>
    <rPh sb="16" eb="19">
      <t>トウイ</t>
    </rPh>
    <rPh sb="20" eb="22">
      <t>ヒョウ</t>
    </rPh>
    <phoneticPr fontId="1"/>
  </si>
  <si>
    <t>薬剤名には別表１の核種と放射性医薬品を記載する。</t>
    <rPh sb="0" eb="2">
      <t>ヤクザイ</t>
    </rPh>
    <rPh sb="2" eb="3">
      <t>メイ</t>
    </rPh>
    <rPh sb="5" eb="7">
      <t>ベッピョウ</t>
    </rPh>
    <rPh sb="9" eb="11">
      <t>カク</t>
    </rPh>
    <rPh sb="12" eb="17">
      <t>ホウセィア</t>
    </rPh>
    <rPh sb="17" eb="18">
      <t>シナ</t>
    </rPh>
    <rPh sb="19" eb="21">
      <t>キサイ</t>
    </rPh>
    <phoneticPr fontId="1"/>
  </si>
  <si>
    <t>2.5　結果表示機能</t>
    <rPh sb="4" eb="10">
      <t>ケッカ</t>
    </rPh>
    <phoneticPr fontId="1"/>
  </si>
  <si>
    <t>2.4　画面表示機能</t>
    <phoneticPr fontId="1"/>
  </si>
  <si>
    <t>2.3　計算機能</t>
    <phoneticPr fontId="1"/>
  </si>
  <si>
    <t>2.2　体重入力機能</t>
    <phoneticPr fontId="1"/>
  </si>
  <si>
    <t>2.1　薬剤選択機能</t>
    <phoneticPr fontId="1"/>
  </si>
  <si>
    <t>2.1 薬剤選択機能</t>
    <rPh sb="4" eb="8">
      <t xml:space="preserve">ヤクザイ </t>
    </rPh>
    <rPh sb="8" eb="10">
      <t>キノウ</t>
    </rPh>
    <phoneticPr fontId="1"/>
  </si>
  <si>
    <t>2.2 体重入力機能</t>
    <rPh sb="4" eb="8">
      <t>タイジュウ</t>
    </rPh>
    <rPh sb="8" eb="10">
      <t>キノウ</t>
    </rPh>
    <phoneticPr fontId="1"/>
  </si>
  <si>
    <t>2.3 計算機能</t>
    <rPh sb="4" eb="6">
      <t>ケイサn</t>
    </rPh>
    <rPh sb="6" eb="8">
      <t>k</t>
    </rPh>
    <phoneticPr fontId="1"/>
  </si>
  <si>
    <t>2.4 画面表示機能</t>
    <rPh sb="4" eb="8">
      <t>ガメn</t>
    </rPh>
    <rPh sb="8" eb="10">
      <t>キノウ</t>
    </rPh>
    <phoneticPr fontId="1"/>
  </si>
  <si>
    <t>2.5 結果表示機能</t>
    <rPh sb="4" eb="8">
      <t>ケッカ</t>
    </rPh>
    <rPh sb="8" eb="10">
      <t>キノウ</t>
    </rPh>
    <phoneticPr fontId="1"/>
  </si>
  <si>
    <t>小項目</t>
    <rPh sb="0" eb="3">
      <t>ショウコウモク</t>
    </rPh>
    <phoneticPr fontId="1"/>
  </si>
  <si>
    <t>大項目
（対象画面）</t>
    <rPh sb="0" eb="3">
      <t>ダイコウモク</t>
    </rPh>
    <rPh sb="4" eb="8">
      <t>タイショウ</t>
    </rPh>
    <phoneticPr fontId="1"/>
  </si>
  <si>
    <t>中項目
（機能）</t>
    <rPh sb="0" eb="1">
      <t>チュウ</t>
    </rPh>
    <rPh sb="1" eb="3">
      <t>ショウコウモク</t>
    </rPh>
    <rPh sb="4" eb="6">
      <t>キノウ</t>
    </rPh>
    <phoneticPr fontId="1"/>
  </si>
  <si>
    <t>放射性医薬品投与量　簡易計算機</t>
    <phoneticPr fontId="1"/>
  </si>
  <si>
    <t>薬剤を選択して、体重を入力し、計算ボタンを押すことで投与量を算出</t>
    <rPh sb="0" eb="2">
      <t>ヤクザイ</t>
    </rPh>
    <rPh sb="3" eb="5">
      <t>センタク</t>
    </rPh>
    <rPh sb="8" eb="10">
      <t>タイジュウ</t>
    </rPh>
    <rPh sb="11" eb="13">
      <t>ニュウリョク</t>
    </rPh>
    <rPh sb="15" eb="17">
      <t>ケイサn</t>
    </rPh>
    <rPh sb="21" eb="22">
      <t>オス</t>
    </rPh>
    <rPh sb="26" eb="29">
      <t>トウヨリョウ</t>
    </rPh>
    <rPh sb="30" eb="32">
      <t>サンシュテゥ</t>
    </rPh>
    <phoneticPr fontId="1"/>
  </si>
  <si>
    <t>画面仕様</t>
    <rPh sb="0" eb="2">
      <t>ガメn</t>
    </rPh>
    <rPh sb="2" eb="4">
      <t>シヨウ</t>
    </rPh>
    <phoneticPr fontId="1"/>
  </si>
  <si>
    <t>体重入力欄</t>
    <rPh sb="0" eb="4">
      <t>タイジュウ</t>
    </rPh>
    <rPh sb="4" eb="5">
      <t xml:space="preserve">ラン </t>
    </rPh>
    <phoneticPr fontId="1"/>
  </si>
  <si>
    <t>実行ボタン</t>
    <rPh sb="0" eb="2">
      <t>ジッコウ</t>
    </rPh>
    <phoneticPr fontId="1"/>
  </si>
  <si>
    <t>id="kg" name="kg"</t>
    <phoneticPr fontId="1"/>
  </si>
  <si>
    <t>class="btn btn-primary"</t>
    <phoneticPr fontId="1"/>
  </si>
  <si>
    <t>結果表示エリア</t>
    <rPh sb="0" eb="4">
      <t>ケッカ</t>
    </rPh>
    <phoneticPr fontId="1"/>
  </si>
  <si>
    <t>0.1~70kgの範囲の半角数字</t>
    <rPh sb="9" eb="11">
      <t>ハンイ</t>
    </rPh>
    <rPh sb="12" eb="14">
      <t>ハンカク</t>
    </rPh>
    <rPh sb="14" eb="16">
      <t>スウ</t>
    </rPh>
    <phoneticPr fontId="1"/>
  </si>
  <si>
    <t>薬剤名</t>
    <rPh sb="0" eb="2">
      <t>ヤクザイ</t>
    </rPh>
    <rPh sb="2" eb="3">
      <t>メイ</t>
    </rPh>
    <phoneticPr fontId="1"/>
  </si>
  <si>
    <t>計算を実行するsubmitボタン</t>
    <rPh sb="0" eb="2">
      <t>ケイサn</t>
    </rPh>
    <rPh sb="3" eb="5">
      <t>ジッコウ</t>
    </rPh>
    <phoneticPr fontId="1"/>
  </si>
  <si>
    <t>計算結果を表示するエリア</t>
    <rPh sb="0" eb="1">
      <t>ケイサn</t>
    </rPh>
    <rPh sb="5" eb="7">
      <t>ヒョウ</t>
    </rPh>
    <phoneticPr fontId="1"/>
  </si>
  <si>
    <t>計算仕様</t>
    <rPh sb="0" eb="4">
      <t>ケイサn</t>
    </rPh>
    <phoneticPr fontId="1"/>
  </si>
  <si>
    <t>投与量（MBq）= 【別表1】基本量 x 【別表2】当該クラスの体重別係数</t>
    <rPh sb="0" eb="3">
      <t>トウヨリョウ</t>
    </rPh>
    <rPh sb="11" eb="13">
      <t>ベッピョウ</t>
    </rPh>
    <rPh sb="16" eb="18">
      <t>タイジュウ</t>
    </rPh>
    <rPh sb="22" eb="24">
      <t>ベッピョウ</t>
    </rPh>
    <rPh sb="26" eb="28">
      <t>トウ</t>
    </rPh>
    <rPh sb="36" eb="37">
      <t>ヒョウ</t>
    </rPh>
    <phoneticPr fontId="1"/>
  </si>
  <si>
    <t>クラスごとの体重別係数は以下の近似式を使用（x:体重,y:係数）</t>
    <rPh sb="6" eb="11">
      <t>タイジュウ</t>
    </rPh>
    <rPh sb="12" eb="14">
      <t>イカノ</t>
    </rPh>
    <rPh sb="15" eb="18">
      <t>キンジシキ</t>
    </rPh>
    <rPh sb="19" eb="21">
      <t>シヨウ</t>
    </rPh>
    <rPh sb="24" eb="26">
      <t>タイジュウ</t>
    </rPh>
    <rPh sb="29" eb="31">
      <t>ケイスウ</t>
    </rPh>
    <phoneticPr fontId="1"/>
  </si>
  <si>
    <r>
      <t>y=-0.00000001x</t>
    </r>
    <r>
      <rPr>
        <vertAlign val="superscript"/>
        <sz val="12"/>
        <color theme="1"/>
        <rFont val="游ゴシック"/>
        <family val="3"/>
        <charset val="128"/>
      </rPr>
      <t>4</t>
    </r>
    <r>
      <rPr>
        <sz val="12"/>
        <color theme="1"/>
        <rFont val="游ゴシック"/>
        <family val="2"/>
        <charset val="128"/>
        <scheme val="minor"/>
      </rPr>
      <t>−0.00001462x</t>
    </r>
    <r>
      <rPr>
        <vertAlign val="superscript"/>
        <sz val="12"/>
        <color theme="1"/>
        <rFont val="游ゴシック"/>
        <family val="3"/>
        <charset val="128"/>
      </rPr>
      <t>3</t>
    </r>
    <r>
      <rPr>
        <sz val="12"/>
        <color theme="1"/>
        <rFont val="游ゴシック"/>
        <family val="2"/>
        <charset val="128"/>
        <scheme val="minor"/>
      </rPr>
      <t>+0.00247677x</t>
    </r>
    <r>
      <rPr>
        <vertAlign val="superscript"/>
        <sz val="12"/>
        <color theme="1"/>
        <rFont val="游ゴシック"/>
        <family val="3"/>
        <charset val="128"/>
      </rPr>
      <t>2</t>
    </r>
    <r>
      <rPr>
        <sz val="12"/>
        <color theme="1"/>
        <rFont val="游ゴシック"/>
        <family val="2"/>
        <charset val="128"/>
        <scheme val="minor"/>
      </rPr>
      <t>+0.38073934x−0.24312323</t>
    </r>
    <phoneticPr fontId="1"/>
  </si>
  <si>
    <r>
      <t>y =-0.00000023x</t>
    </r>
    <r>
      <rPr>
        <vertAlign val="superscript"/>
        <sz val="12"/>
        <color rgb="FF000000"/>
        <rFont val="游ゴシック"/>
        <family val="3"/>
        <charset val="128"/>
        <scheme val="minor"/>
      </rPr>
      <t>4</t>
    </r>
    <r>
      <rPr>
        <sz val="12"/>
        <color rgb="FF000000"/>
        <rFont val="游ゴシック"/>
        <family val="3"/>
        <charset val="128"/>
        <scheme val="minor"/>
      </rPr>
      <t>+0.00003846x</t>
    </r>
    <r>
      <rPr>
        <vertAlign val="superscript"/>
        <sz val="12"/>
        <color rgb="FF000000"/>
        <rFont val="游ゴシック"/>
        <family val="3"/>
        <charset val="128"/>
        <scheme val="minor"/>
      </rPr>
      <t>3</t>
    </r>
    <r>
      <rPr>
        <sz val="12"/>
        <color rgb="FF000000"/>
        <rFont val="游ゴシック"/>
        <family val="3"/>
        <charset val="128"/>
        <scheme val="minor"/>
      </rPr>
      <t>-0.00262028x</t>
    </r>
    <r>
      <rPr>
        <vertAlign val="superscript"/>
        <sz val="12"/>
        <color rgb="FF000000"/>
        <rFont val="游ゴシック"/>
        <family val="3"/>
        <charset val="128"/>
        <scheme val="minor"/>
      </rPr>
      <t>2</t>
    </r>
    <r>
      <rPr>
        <sz val="12"/>
        <color rgb="FF000000"/>
        <rFont val="游ゴシック"/>
        <family val="3"/>
        <charset val="128"/>
        <scheme val="minor"/>
      </rPr>
      <t>+0.27495836x+0.14075609</t>
    </r>
    <phoneticPr fontId="1"/>
  </si>
  <si>
    <r>
      <t>y =-0.00000028x</t>
    </r>
    <r>
      <rPr>
        <vertAlign val="superscript"/>
        <sz val="12"/>
        <rFont val="游ゴシック"/>
        <family val="3"/>
        <charset val="128"/>
        <scheme val="minor"/>
      </rPr>
      <t>4</t>
    </r>
    <r>
      <rPr>
        <sz val="12"/>
        <rFont val="游ゴシック"/>
        <family val="3"/>
        <charset val="128"/>
        <scheme val="minor"/>
      </rPr>
      <t>+0.00004915x</t>
    </r>
    <r>
      <rPr>
        <vertAlign val="superscript"/>
        <sz val="12"/>
        <rFont val="游ゴシック"/>
        <family val="3"/>
        <charset val="128"/>
        <scheme val="minor"/>
      </rPr>
      <t>3</t>
    </r>
    <r>
      <rPr>
        <sz val="12"/>
        <rFont val="游ゴシック"/>
        <family val="3"/>
        <charset val="128"/>
        <scheme val="minor"/>
      </rPr>
      <t>-0.00337375x</t>
    </r>
    <r>
      <rPr>
        <vertAlign val="superscript"/>
        <sz val="12"/>
        <rFont val="游ゴシック"/>
        <family val="3"/>
        <charset val="128"/>
        <scheme val="minor"/>
      </rPr>
      <t>2</t>
    </r>
    <r>
      <rPr>
        <sz val="12"/>
        <rFont val="游ゴシック"/>
        <family val="3"/>
        <charset val="128"/>
        <scheme val="minor"/>
      </rPr>
      <t>+0.16773060x+0.53976823</t>
    </r>
    <phoneticPr fontId="1"/>
  </si>
  <si>
    <t>name="ri"</t>
    <phoneticPr fontId="1"/>
  </si>
  <si>
    <t>id="resultMessage"</t>
    <phoneticPr fontId="1"/>
  </si>
  <si>
    <t>画面表示</t>
    <rPh sb="0" eb="2">
      <t>ガメn</t>
    </rPh>
    <rPh sb="2" eb="4">
      <t>ヒョウ</t>
    </rPh>
    <phoneticPr fontId="1"/>
  </si>
  <si>
    <t>HTML ID/Class/name</t>
    <phoneticPr fontId="1"/>
  </si>
  <si>
    <t>更新者</t>
    <rPh sb="0" eb="2">
      <t>コウシn</t>
    </rPh>
    <rPh sb="2" eb="3">
      <t>sy</t>
    </rPh>
    <phoneticPr fontId="1"/>
  </si>
  <si>
    <t>作成者</t>
    <rPh sb="0" eb="2">
      <t>サクセイ</t>
    </rPh>
    <rPh sb="2" eb="3">
      <t>タントウ</t>
    </rPh>
    <phoneticPr fontId="1"/>
  </si>
  <si>
    <t>対象ブラウザ</t>
    <rPh sb="0" eb="2">
      <t>タイショウ</t>
    </rPh>
    <phoneticPr fontId="1"/>
  </si>
  <si>
    <t>テスト総数</t>
    <rPh sb="3" eb="5">
      <t>ソウスウ</t>
    </rPh>
    <phoneticPr fontId="1"/>
  </si>
  <si>
    <t>入力済み</t>
    <rPh sb="0" eb="2">
      <t>ニュウリョク</t>
    </rPh>
    <rPh sb="2" eb="3">
      <t>z</t>
    </rPh>
    <phoneticPr fontId="1"/>
  </si>
  <si>
    <t>テスト消化率</t>
    <rPh sb="0" eb="2">
      <t>テスト</t>
    </rPh>
    <rPh sb="3" eb="6">
      <t>ショウカ</t>
    </rPh>
    <phoneticPr fontId="1"/>
  </si>
  <si>
    <t>テスト
No.</t>
    <phoneticPr fontId="1"/>
  </si>
  <si>
    <t>正常系</t>
    <rPh sb="0" eb="1">
      <t>セイジョウ</t>
    </rPh>
    <phoneticPr fontId="1"/>
  </si>
  <si>
    <t>正しい計算結果が表示されることを確認</t>
    <rPh sb="0" eb="1">
      <t>タダシイ</t>
    </rPh>
    <rPh sb="3" eb="5">
      <t>ケイサn</t>
    </rPh>
    <rPh sb="5" eb="7">
      <t>ケッカ</t>
    </rPh>
    <rPh sb="8" eb="10">
      <t>ヒョウ</t>
    </rPh>
    <rPh sb="16" eb="18">
      <t>カクニn</t>
    </rPh>
    <phoneticPr fontId="1"/>
  </si>
  <si>
    <t>クラス</t>
    <phoneticPr fontId="1"/>
  </si>
  <si>
    <t>最小量</t>
    <rPh sb="0" eb="3">
      <t>サイセィオ</t>
    </rPh>
    <phoneticPr fontId="1"/>
  </si>
  <si>
    <t>体重</t>
    <rPh sb="0" eb="2">
      <t>タイジュウ</t>
    </rPh>
    <phoneticPr fontId="1"/>
  </si>
  <si>
    <t>基本量</t>
    <rPh sb="0" eb="3">
      <t>キホn</t>
    </rPh>
    <phoneticPr fontId="1"/>
  </si>
  <si>
    <t>最小量の境界値を求めるため、クラスごとにyに最小量を代入し、Solverを用いてxの値を求め最小量の境界となる体重を算出する</t>
    <rPh sb="0" eb="3">
      <t>サイセィオ</t>
    </rPh>
    <rPh sb="4" eb="6">
      <t xml:space="preserve">キョウカイ </t>
    </rPh>
    <rPh sb="6" eb="7">
      <t xml:space="preserve">チ </t>
    </rPh>
    <rPh sb="8" eb="9">
      <t>モトメ</t>
    </rPh>
    <rPh sb="22" eb="24">
      <t>サイセィオ</t>
    </rPh>
    <rPh sb="24" eb="25">
      <t>リョウ</t>
    </rPh>
    <rPh sb="26" eb="28">
      <t>ダイニュウ</t>
    </rPh>
    <rPh sb="37" eb="38">
      <t>モチイ</t>
    </rPh>
    <rPh sb="42" eb="43">
      <t>アタイ</t>
    </rPh>
    <rPh sb="44" eb="45">
      <t>モト</t>
    </rPh>
    <rPh sb="46" eb="49">
      <t>サイセィオ</t>
    </rPh>
    <rPh sb="50" eb="52">
      <t>キョウ</t>
    </rPh>
    <rPh sb="55" eb="57">
      <t>タイジュウ</t>
    </rPh>
    <rPh sb="58" eb="60">
      <t>サンシュテゥ</t>
    </rPh>
    <phoneticPr fontId="1"/>
  </si>
  <si>
    <t>放射性医薬品</t>
    <rPh sb="0" eb="3">
      <t>ホウ</t>
    </rPh>
    <rPh sb="3" eb="6">
      <t>イヤク</t>
    </rPh>
    <phoneticPr fontId="1"/>
  </si>
  <si>
    <t>C</t>
    <phoneticPr fontId="1"/>
  </si>
  <si>
    <t>B</t>
    <phoneticPr fontId="1"/>
  </si>
  <si>
    <t>NaI</t>
    <phoneticPr fontId="1"/>
  </si>
  <si>
    <t>IMP</t>
    <phoneticPr fontId="1"/>
  </si>
  <si>
    <t>MIBG（腫瘍）</t>
    <rPh sb="5" eb="7">
      <t>シュヨウ</t>
    </rPh>
    <phoneticPr fontId="1"/>
  </si>
  <si>
    <t>MIBG（心筋）</t>
    <rPh sb="4" eb="5">
      <t>（</t>
    </rPh>
    <rPh sb="5" eb="7">
      <t>シンキ</t>
    </rPh>
    <phoneticPr fontId="1"/>
  </si>
  <si>
    <t>イオマゼニル</t>
    <phoneticPr fontId="1"/>
  </si>
  <si>
    <t>BMIPP</t>
    <phoneticPr fontId="1"/>
  </si>
  <si>
    <t>FDG（体幹）</t>
    <rPh sb="4" eb="6">
      <t>タイカn</t>
    </rPh>
    <phoneticPr fontId="1"/>
  </si>
  <si>
    <t>FDG（脳）</t>
    <rPh sb="3" eb="4">
      <t>（</t>
    </rPh>
    <rPh sb="4" eb="5">
      <t>ノウ</t>
    </rPh>
    <phoneticPr fontId="1"/>
  </si>
  <si>
    <t>クエン酸</t>
    <rPh sb="3" eb="4">
      <t xml:space="preserve">サン </t>
    </rPh>
    <phoneticPr fontId="1"/>
  </si>
  <si>
    <t>アルブミン（心プール）</t>
    <rPh sb="6" eb="7">
      <t>シンプール</t>
    </rPh>
    <phoneticPr fontId="1"/>
  </si>
  <si>
    <t>スズコロイド（肝脾）</t>
    <rPh sb="7" eb="8">
      <t>カンゾウ</t>
    </rPh>
    <rPh sb="8" eb="9">
      <t>ヒゾウ</t>
    </rPh>
    <phoneticPr fontId="1"/>
  </si>
  <si>
    <t>スズコロイド（骨髄）</t>
    <rPh sb="6" eb="7">
      <t>（</t>
    </rPh>
    <rPh sb="7" eb="9">
      <t>コツズイ</t>
    </rPh>
    <phoneticPr fontId="1"/>
  </si>
  <si>
    <t>フィチン酸（肝脾）</t>
    <rPh sb="4" eb="5">
      <t xml:space="preserve">サン </t>
    </rPh>
    <rPh sb="6" eb="7">
      <t>カンゾウ</t>
    </rPh>
    <rPh sb="7" eb="8">
      <t>ヒゾウ</t>
    </rPh>
    <phoneticPr fontId="1"/>
  </si>
  <si>
    <t>スズコロイド/DTPA（胃食道逆流、胃排出）</t>
    <rPh sb="12" eb="13">
      <t xml:space="preserve">イ </t>
    </rPh>
    <rPh sb="13" eb="15">
      <t>ショクドウ</t>
    </rPh>
    <rPh sb="15" eb="17">
      <t>ギャク</t>
    </rPh>
    <rPh sb="18" eb="19">
      <t xml:space="preserve">イ </t>
    </rPh>
    <rPh sb="19" eb="21">
      <t>ハイシュテゥ</t>
    </rPh>
    <phoneticPr fontId="1"/>
  </si>
  <si>
    <t>MDP/HMDP</t>
    <phoneticPr fontId="1"/>
  </si>
  <si>
    <t>DMSA</t>
    <phoneticPr fontId="1"/>
  </si>
  <si>
    <t>DTPA</t>
    <phoneticPr fontId="1"/>
  </si>
  <si>
    <t>MAG3</t>
    <phoneticPr fontId="1"/>
  </si>
  <si>
    <t>ECD</t>
    <phoneticPr fontId="1"/>
  </si>
  <si>
    <t>HMPAO</t>
    <phoneticPr fontId="1"/>
  </si>
  <si>
    <t>PMT</t>
    <phoneticPr fontId="1"/>
  </si>
  <si>
    <t>過テクネチウム酸（甲状腺）</t>
    <rPh sb="0" eb="1">
      <t xml:space="preserve">カテクネチウム </t>
    </rPh>
    <rPh sb="7" eb="8">
      <t xml:space="preserve">サン </t>
    </rPh>
    <rPh sb="9" eb="12">
      <t>コウジョウセn</t>
    </rPh>
    <phoneticPr fontId="1"/>
  </si>
  <si>
    <t>過テクネチウム酸（胃粘膜）</t>
    <rPh sb="0" eb="1">
      <t xml:space="preserve">カ </t>
    </rPh>
    <rPh sb="1" eb="2">
      <t>テクネチウム</t>
    </rPh>
    <rPh sb="7" eb="8">
      <t xml:space="preserve">サン </t>
    </rPh>
    <rPh sb="8" eb="9">
      <t>（</t>
    </rPh>
    <rPh sb="9" eb="12">
      <t>イネンマク</t>
    </rPh>
    <phoneticPr fontId="1"/>
  </si>
  <si>
    <t>表示名</t>
    <rPh sb="0" eb="3">
      <t>ヒョウ</t>
    </rPh>
    <phoneticPr fontId="1"/>
  </si>
  <si>
    <t>カテゴリ</t>
    <phoneticPr fontId="1"/>
  </si>
  <si>
    <t>スズコロイド/DTPA（胃排出）</t>
    <phoneticPr fontId="1"/>
  </si>
  <si>
    <t>RBC</t>
    <phoneticPr fontId="1"/>
  </si>
  <si>
    <t>MIBI/テトロホスミン（腫瘍）</t>
    <rPh sb="13" eb="15">
      <t>シュヨウ</t>
    </rPh>
    <phoneticPr fontId="1"/>
  </si>
  <si>
    <t>MIBI/テトロホスミン（安静/負荷心筋2日法:最大）</t>
    <rPh sb="13" eb="15">
      <t>アンセイ</t>
    </rPh>
    <rPh sb="16" eb="18">
      <t xml:space="preserve">フカ </t>
    </rPh>
    <rPh sb="18" eb="20">
      <t>シンキn</t>
    </rPh>
    <rPh sb="21" eb="22">
      <t>ニティ</t>
    </rPh>
    <rPh sb="22" eb="23">
      <t xml:space="preserve">ホウ </t>
    </rPh>
    <rPh sb="24" eb="26">
      <t>サイダイ</t>
    </rPh>
    <phoneticPr fontId="1"/>
  </si>
  <si>
    <t>MIBI/テトロホスミン（安静/負荷心筋1日法:1回目）</t>
    <rPh sb="13" eb="15">
      <t>アンセイ</t>
    </rPh>
    <rPh sb="16" eb="18">
      <t xml:space="preserve">フカ </t>
    </rPh>
    <rPh sb="18" eb="20">
      <t>シンキn</t>
    </rPh>
    <rPh sb="21" eb="22">
      <t>ニティ</t>
    </rPh>
    <rPh sb="22" eb="23">
      <t xml:space="preserve">ホウ </t>
    </rPh>
    <phoneticPr fontId="1"/>
  </si>
  <si>
    <t>MIBI/テトロホスミン（安静/負荷心筋1日法:2回目）</t>
    <rPh sb="13" eb="15">
      <t>アンセイ</t>
    </rPh>
    <rPh sb="16" eb="18">
      <t xml:space="preserve">フカ </t>
    </rPh>
    <rPh sb="18" eb="20">
      <t>シンキn</t>
    </rPh>
    <rPh sb="21" eb="22">
      <t>ニティ</t>
    </rPh>
    <rPh sb="22" eb="23">
      <t xml:space="preserve">ホウ </t>
    </rPh>
    <phoneticPr fontId="1"/>
  </si>
  <si>
    <t>GSA</t>
    <phoneticPr fontId="1"/>
  </si>
  <si>
    <t>塩化タリウム（腫瘍）</t>
    <rPh sb="0" eb="2">
      <t xml:space="preserve">エンカ </t>
    </rPh>
    <rPh sb="7" eb="9">
      <t>シュヨウ</t>
    </rPh>
    <phoneticPr fontId="1"/>
  </si>
  <si>
    <t>塩化インジウム</t>
    <rPh sb="0" eb="1">
      <t>エンカ</t>
    </rPh>
    <phoneticPr fontId="1"/>
  </si>
  <si>
    <t>In-111</t>
    <phoneticPr fontId="1"/>
  </si>
  <si>
    <t>TlCl</t>
    <phoneticPr fontId="1"/>
  </si>
  <si>
    <t>MIBI/TF（腫瘍）</t>
    <phoneticPr fontId="1"/>
  </si>
  <si>
    <t>MIBI/TF（2日法）</t>
    <phoneticPr fontId="1"/>
  </si>
  <si>
    <t>MIBI/TF（負荷1日法1回目）</t>
    <rPh sb="8" eb="10">
      <t xml:space="preserve">フカ </t>
    </rPh>
    <rPh sb="11" eb="13">
      <t>ニティ</t>
    </rPh>
    <rPh sb="14" eb="16">
      <t>カイ</t>
    </rPh>
    <phoneticPr fontId="1"/>
  </si>
  <si>
    <t>MIBI/TF（負荷1日法2回目）</t>
    <rPh sb="8" eb="10">
      <t xml:space="preserve">フカ </t>
    </rPh>
    <rPh sb="11" eb="13">
      <t>ニティ</t>
    </rPh>
    <rPh sb="14" eb="16">
      <t>カイ</t>
    </rPh>
    <phoneticPr fontId="1"/>
  </si>
  <si>
    <t>TcO4-(甲状腺)</t>
    <rPh sb="6" eb="9">
      <t>コウジョウセn</t>
    </rPh>
    <phoneticPr fontId="1"/>
  </si>
  <si>
    <t>TcO4-(胃粘膜)</t>
    <rPh sb="6" eb="9">
      <t>イネンマク</t>
    </rPh>
    <phoneticPr fontId="1"/>
  </si>
  <si>
    <t>A</t>
    <phoneticPr fontId="1"/>
  </si>
  <si>
    <t>脳</t>
    <rPh sb="0" eb="1">
      <t>ノウ</t>
    </rPh>
    <phoneticPr fontId="1"/>
  </si>
  <si>
    <t>腫瘍</t>
    <rPh sb="0" eb="2">
      <t>シュヨウ</t>
    </rPh>
    <phoneticPr fontId="1"/>
  </si>
  <si>
    <t>心筋</t>
    <rPh sb="0" eb="2">
      <t>シンキn</t>
    </rPh>
    <phoneticPr fontId="1"/>
  </si>
  <si>
    <t>心筋</t>
    <rPh sb="0" eb="1">
      <t>シンキn</t>
    </rPh>
    <phoneticPr fontId="1"/>
  </si>
  <si>
    <t>腫瘍</t>
    <rPh sb="0" eb="1">
      <t>シュヨウ</t>
    </rPh>
    <phoneticPr fontId="1"/>
  </si>
  <si>
    <t>肝臓・脾臓</t>
    <rPh sb="0" eb="2">
      <t>カンゾウ</t>
    </rPh>
    <rPh sb="3" eb="5">
      <t>ヒゾウ</t>
    </rPh>
    <phoneticPr fontId="1"/>
  </si>
  <si>
    <t>肝臓・脾臓</t>
    <rPh sb="0" eb="1">
      <t>カンゾウ</t>
    </rPh>
    <rPh sb="3" eb="4">
      <t>ヒゾウ</t>
    </rPh>
    <phoneticPr fontId="1"/>
  </si>
  <si>
    <t>骨</t>
    <rPh sb="0" eb="1">
      <t>ホネ</t>
    </rPh>
    <phoneticPr fontId="1"/>
  </si>
  <si>
    <t>腎</t>
    <rPh sb="0" eb="1">
      <t>🧞</t>
    </rPh>
    <phoneticPr fontId="1"/>
  </si>
  <si>
    <t>腎</t>
    <rPh sb="0" eb="1">
      <t xml:space="preserve">ジン </t>
    </rPh>
    <phoneticPr fontId="1"/>
  </si>
  <si>
    <t>肺</t>
    <rPh sb="0" eb="1">
      <t xml:space="preserve">ハイ </t>
    </rPh>
    <phoneticPr fontId="1"/>
  </si>
  <si>
    <t>境界値体重</t>
    <rPh sb="0" eb="2">
      <t xml:space="preserve">キョウカイ </t>
    </rPh>
    <rPh sb="2" eb="3">
      <t>アタイ</t>
    </rPh>
    <rPh sb="3" eb="5">
      <t>タイジュウ</t>
    </rPh>
    <phoneticPr fontId="1"/>
  </si>
  <si>
    <t>HTML/id</t>
    <phoneticPr fontId="1"/>
  </si>
  <si>
    <t>nai</t>
  </si>
  <si>
    <t>imp</t>
  </si>
  <si>
    <t>mibg</t>
  </si>
  <si>
    <t>mibgh</t>
  </si>
  <si>
    <t>bz</t>
  </si>
  <si>
    <t>bmipp</t>
  </si>
  <si>
    <t>fdg</t>
  </si>
  <si>
    <t>fdgbrain</t>
  </si>
  <si>
    <t>ga</t>
  </si>
  <si>
    <t>arb</t>
  </si>
  <si>
    <t>snl</t>
  </si>
  <si>
    <t>snma</t>
  </si>
  <si>
    <t>phyticl</t>
  </si>
  <si>
    <t>sndtpa</t>
  </si>
  <si>
    <t>mdp</t>
  </si>
  <si>
    <t>dmsa</t>
  </si>
  <si>
    <t>dtpa</t>
  </si>
  <si>
    <t>mag3</t>
  </si>
  <si>
    <t>ecd</t>
  </si>
  <si>
    <t>hmpao</t>
  </si>
  <si>
    <t>pmt</t>
  </si>
  <si>
    <t>maa</t>
  </si>
  <si>
    <t>tct</t>
  </si>
  <si>
    <t>tcg</t>
  </si>
  <si>
    <t>rbc</t>
  </si>
  <si>
    <t>mibit</t>
  </si>
  <si>
    <t>mibi2d</t>
  </si>
  <si>
    <t>mibis1</t>
  </si>
  <si>
    <t>mibis2</t>
  </si>
  <si>
    <t>gsa</t>
  </si>
  <si>
    <t>tl</t>
  </si>
  <si>
    <t>in</t>
  </si>
  <si>
    <t>入力値(薬剤名）</t>
    <rPh sb="0" eb="3">
      <t>ニュウリョク</t>
    </rPh>
    <rPh sb="4" eb="7">
      <t>ヤクザイ</t>
    </rPh>
    <phoneticPr fontId="1"/>
  </si>
  <si>
    <t>入力値（体重）</t>
    <rPh sb="0" eb="3">
      <t>ニュウリョク</t>
    </rPh>
    <rPh sb="4" eb="6">
      <t>タイジュウ</t>
    </rPh>
    <phoneticPr fontId="1"/>
  </si>
  <si>
    <t>計算用</t>
    <rPh sb="0" eb="2">
      <t>ケイサn</t>
    </rPh>
    <rPh sb="2" eb="3">
      <t xml:space="preserve">ヨウ </t>
    </rPh>
    <phoneticPr fontId="1"/>
  </si>
  <si>
    <t>計算用クラス</t>
    <rPh sb="0" eb="2">
      <t>ケイサn</t>
    </rPh>
    <rPh sb="2" eb="3">
      <t xml:space="preserve">ヨウ </t>
    </rPh>
    <phoneticPr fontId="1"/>
  </si>
  <si>
    <t>計算用基本量</t>
    <rPh sb="0" eb="2">
      <t>ケイサn</t>
    </rPh>
    <rPh sb="2" eb="3">
      <t xml:space="preserve">ヨウ </t>
    </rPh>
    <rPh sb="3" eb="5">
      <t>キホn</t>
    </rPh>
    <rPh sb="5" eb="6">
      <t>リョウ</t>
    </rPh>
    <phoneticPr fontId="1"/>
  </si>
  <si>
    <t>計算最小値比較</t>
    <rPh sb="0" eb="2">
      <t>ケイサn</t>
    </rPh>
    <rPh sb="2" eb="7">
      <t>サイセィオ</t>
    </rPh>
    <phoneticPr fontId="1"/>
  </si>
  <si>
    <t>C</t>
  </si>
  <si>
    <t>異常系</t>
    <rPh sb="0" eb="3">
      <t>イジョウ</t>
    </rPh>
    <phoneticPr fontId="1"/>
  </si>
  <si>
    <t>-</t>
  </si>
  <si>
    <t>a</t>
    <phoneticPr fontId="1"/>
  </si>
  <si>
    <t>+</t>
    <phoneticPr fontId="1"/>
  </si>
  <si>
    <t>核種</t>
    <rPh sb="0" eb="2">
      <t>カクセィウ</t>
    </rPh>
    <phoneticPr fontId="1"/>
  </si>
  <si>
    <t>I-123</t>
  </si>
  <si>
    <t>I-123</t>
    <phoneticPr fontId="1"/>
  </si>
  <si>
    <t>F-18</t>
    <phoneticPr fontId="1"/>
  </si>
  <si>
    <t>Ga-67</t>
    <phoneticPr fontId="1"/>
  </si>
  <si>
    <t>Tc-99m</t>
    <phoneticPr fontId="1"/>
  </si>
  <si>
    <t>Tl-201</t>
    <phoneticPr fontId="1"/>
  </si>
  <si>
    <t>最終更新日</t>
    <rPh sb="0" eb="5">
      <t>サイシュウ</t>
    </rPh>
    <phoneticPr fontId="1"/>
  </si>
  <si>
    <t>対象OS</t>
    <rPh sb="0" eb="1">
      <t>タイショウ</t>
    </rPh>
    <phoneticPr fontId="1"/>
  </si>
  <si>
    <t>使用OS</t>
    <rPh sb="0" eb="2">
      <t>シヨウ</t>
    </rPh>
    <phoneticPr fontId="1"/>
  </si>
  <si>
    <t>使用ブラウザ</t>
    <rPh sb="0" eb="2">
      <t>シヨウ</t>
    </rPh>
    <phoneticPr fontId="1"/>
  </si>
  <si>
    <t>macOS　Sequoia 15.0</t>
    <phoneticPr fontId="1"/>
  </si>
  <si>
    <t>GoogleChrome　バージョン: 133.0.6943.55</t>
    <phoneticPr fontId="1"/>
  </si>
  <si>
    <t>優先度</t>
    <rPh sb="0" eb="3">
      <t>ユウセn</t>
    </rPh>
    <phoneticPr fontId="1"/>
  </si>
  <si>
    <t>高</t>
  </si>
  <si>
    <t>中</t>
  </si>
  <si>
    <t>なし</t>
    <phoneticPr fontId="1"/>
  </si>
  <si>
    <t>MIBG（腫瘍）</t>
    <phoneticPr fontId="1"/>
  </si>
  <si>
    <t>MIBG（心筋）</t>
    <phoneticPr fontId="1"/>
  </si>
  <si>
    <t>FDG（体幹）</t>
    <phoneticPr fontId="1"/>
  </si>
  <si>
    <t>FDG（脳）</t>
    <phoneticPr fontId="1"/>
  </si>
  <si>
    <t>クエン酸</t>
    <phoneticPr fontId="1"/>
  </si>
  <si>
    <t>アルブミン（心プール）</t>
    <phoneticPr fontId="1"/>
  </si>
  <si>
    <t>スズコロイド（肝脾）</t>
    <phoneticPr fontId="1"/>
  </si>
  <si>
    <t>スズコロイド（骨髄）</t>
    <phoneticPr fontId="1"/>
  </si>
  <si>
    <t>フィチン酸（肝脾）</t>
    <phoneticPr fontId="1"/>
  </si>
  <si>
    <t>誤字・脱字がないこと</t>
    <rPh sb="0" eb="2">
      <t>🕔</t>
    </rPh>
    <rPh sb="3" eb="5">
      <t>ダツジ</t>
    </rPh>
    <phoneticPr fontId="1"/>
  </si>
  <si>
    <t>不正な値を入力して、正しく
エラーメッセージが表示されるか確認</t>
    <rPh sb="0" eb="2">
      <t>フセイ</t>
    </rPh>
    <rPh sb="3" eb="4">
      <t>アタイ</t>
    </rPh>
    <rPh sb="5" eb="7">
      <t>ニュウリョク</t>
    </rPh>
    <rPh sb="10" eb="11">
      <t>タダセィ</t>
    </rPh>
    <rPh sb="22" eb="23">
      <t>ヒョウ</t>
    </rPh>
    <rPh sb="27" eb="29">
      <t>カクニn</t>
    </rPh>
    <phoneticPr fontId="1"/>
  </si>
  <si>
    <t>画面に表示されるすべてのテキストに誤字・脱字がないか確認する</t>
    <rPh sb="0" eb="2">
      <t>ガメn</t>
    </rPh>
    <rPh sb="3" eb="5">
      <t>ヒョウ</t>
    </rPh>
    <rPh sb="17" eb="19">
      <t>ゴジ、</t>
    </rPh>
    <rPh sb="20" eb="22">
      <t>ダツジ</t>
    </rPh>
    <rPh sb="26" eb="28">
      <t>カクニn</t>
    </rPh>
    <phoneticPr fontId="1"/>
  </si>
  <si>
    <t>表記揺れがないか確認する</t>
    <rPh sb="0" eb="3">
      <t>ヒョウ</t>
    </rPh>
    <rPh sb="8" eb="10">
      <t>カクニn</t>
    </rPh>
    <phoneticPr fontId="1"/>
  </si>
  <si>
    <t>表記揺れがないこと</t>
    <rPh sb="0" eb="3">
      <t>ヒョウ</t>
    </rPh>
    <phoneticPr fontId="1"/>
  </si>
  <si>
    <t>カテゴリごとに区分けされ、一画面に収まって表示されていること</t>
    <rPh sb="7" eb="9">
      <t>クワケ</t>
    </rPh>
    <rPh sb="13" eb="16">
      <t>イチガ</t>
    </rPh>
    <rPh sb="17" eb="18">
      <t>オサマッテ</t>
    </rPh>
    <rPh sb="21" eb="23">
      <t>ヒョウ</t>
    </rPh>
    <phoneticPr fontId="1"/>
  </si>
  <si>
    <t>カテゴリごとに区分けされ、縦一列に並んで表示されていること</t>
    <rPh sb="7" eb="9">
      <t>クワケ</t>
    </rPh>
    <rPh sb="13" eb="16">
      <t>タテ</t>
    </rPh>
    <rPh sb="17" eb="18">
      <t>ナラブ</t>
    </rPh>
    <rPh sb="20" eb="22">
      <t>ヒョウ</t>
    </rPh>
    <phoneticPr fontId="1"/>
  </si>
  <si>
    <t>フォントが統一されており、サイズ・色が読みやすく適切に表示されていること</t>
    <rPh sb="5" eb="7">
      <t>トウイテゥ</t>
    </rPh>
    <rPh sb="17" eb="18">
      <t>イロ</t>
    </rPh>
    <rPh sb="19" eb="20">
      <t>ヨミ</t>
    </rPh>
    <rPh sb="24" eb="26">
      <t>テキセテゥ</t>
    </rPh>
    <rPh sb="27" eb="29">
      <t>ヒョウ</t>
    </rPh>
    <phoneticPr fontId="1"/>
  </si>
  <si>
    <t>応答性</t>
    <rPh sb="0" eb="3">
      <t>オウトウ</t>
    </rPh>
    <phoneticPr fontId="1"/>
  </si>
  <si>
    <t>非機能</t>
    <rPh sb="0" eb="3">
      <t>ヒキノウ</t>
    </rPh>
    <phoneticPr fontId="1"/>
  </si>
  <si>
    <t>3秒以内に画面が表示されるか</t>
    <rPh sb="2" eb="4">
      <t>３ビョウイイ</t>
    </rPh>
    <rPh sb="5" eb="7">
      <t>ガメn</t>
    </rPh>
    <rPh sb="8" eb="10">
      <t>ヒョウ</t>
    </rPh>
    <phoneticPr fontId="1"/>
  </si>
  <si>
    <t>ホームページにアクセスしてから３秒以内に画面が表示されるか確認する</t>
    <rPh sb="16" eb="19">
      <t>ビョウイナ</t>
    </rPh>
    <rPh sb="20" eb="22">
      <t>ガメn</t>
    </rPh>
    <rPh sb="23" eb="25">
      <t>ヒョウ</t>
    </rPh>
    <rPh sb="29" eb="31">
      <t>カクニn</t>
    </rPh>
    <phoneticPr fontId="1"/>
  </si>
  <si>
    <t>カテゴリごとに区分けされ、縦に並べて表示されているか確認する</t>
    <rPh sb="0" eb="2">
      <t>カテゴリゴトニ</t>
    </rPh>
    <rPh sb="7" eb="8">
      <t>クワケ</t>
    </rPh>
    <rPh sb="13" eb="14">
      <t>タテニ</t>
    </rPh>
    <rPh sb="15" eb="16">
      <t>ナラベ</t>
    </rPh>
    <rPh sb="18" eb="20">
      <t>ヒョウ</t>
    </rPh>
    <rPh sb="26" eb="28">
      <t>カクニn</t>
    </rPh>
    <phoneticPr fontId="1"/>
  </si>
  <si>
    <t>カテゴリごとに区分けされ、一画面に配置されているか確認する</t>
    <rPh sb="7" eb="9">
      <t>クワケ</t>
    </rPh>
    <rPh sb="13" eb="16">
      <t>１ガ</t>
    </rPh>
    <rPh sb="17" eb="19">
      <t>ハイティ</t>
    </rPh>
    <rPh sb="25" eb="27">
      <t>カクニンス</t>
    </rPh>
    <phoneticPr fontId="1"/>
  </si>
  <si>
    <t>ホームページにアクセスしてから３秒以内に画面が表示されること</t>
    <phoneticPr fontId="1"/>
  </si>
  <si>
    <t>PCのみ  画面幅 = 1200px</t>
    <rPh sb="6" eb="8">
      <t>ガメンハブ</t>
    </rPh>
    <rPh sb="8" eb="9">
      <t>ハバ</t>
    </rPh>
    <phoneticPr fontId="1"/>
  </si>
  <si>
    <t>PCのみ  画面幅 &gt;768px</t>
    <rPh sb="6" eb="9">
      <t>ガメンヘ</t>
    </rPh>
    <phoneticPr fontId="1"/>
  </si>
  <si>
    <t>ウィンドウサイズを768px〜1500pxまで連続的に変更させて、レイアウトが崩れないか確認する</t>
    <rPh sb="23" eb="26">
      <t>レンゾク</t>
    </rPh>
    <rPh sb="27" eb="29">
      <t>ヘn</t>
    </rPh>
    <rPh sb="39" eb="40">
      <t>クズレ</t>
    </rPh>
    <rPh sb="44" eb="46">
      <t>カクニn</t>
    </rPh>
    <phoneticPr fontId="1"/>
  </si>
  <si>
    <t>ウィンドウサイズを変化させても、レイアウトが崩れないこと</t>
    <rPh sb="9" eb="11">
      <t>ヘンカ</t>
    </rPh>
    <rPh sb="22" eb="23">
      <t>クズレ</t>
    </rPh>
    <phoneticPr fontId="1"/>
  </si>
  <si>
    <t>画面幅 &lt;768px</t>
    <rPh sb="0" eb="3">
      <t>ガメンヘ</t>
    </rPh>
    <phoneticPr fontId="1"/>
  </si>
  <si>
    <t>縦画面から横画面に回転させてもレイアウトが崩れないこと</t>
    <rPh sb="0" eb="1">
      <t>タテガメn</t>
    </rPh>
    <rPh sb="1" eb="2">
      <t>ガメn</t>
    </rPh>
    <rPh sb="5" eb="8">
      <t>ヨコ</t>
    </rPh>
    <rPh sb="9" eb="11">
      <t>カイテ</t>
    </rPh>
    <rPh sb="21" eb="22">
      <t>クズレ</t>
    </rPh>
    <phoneticPr fontId="1"/>
  </si>
  <si>
    <t>すべての薬剤から１つだけ選べるラジオボタンであるか確認する</t>
    <rPh sb="4" eb="6">
      <t>ヤクザイ</t>
    </rPh>
    <rPh sb="12" eb="13">
      <t>エラベ</t>
    </rPh>
    <rPh sb="25" eb="27">
      <t>カクニn</t>
    </rPh>
    <phoneticPr fontId="1"/>
  </si>
  <si>
    <t>すべての薬剤でラジオボタンが選べることを確認する</t>
    <rPh sb="4" eb="6">
      <t>ヤクザイ</t>
    </rPh>
    <rPh sb="14" eb="15">
      <t>エラベ</t>
    </rPh>
    <rPh sb="20" eb="22">
      <t>カクニn</t>
    </rPh>
    <phoneticPr fontId="1"/>
  </si>
  <si>
    <t>すべての薬剤から選べるのは一つだけであること</t>
    <rPh sb="4" eb="6">
      <t>ヤクザイ</t>
    </rPh>
    <rPh sb="8" eb="9">
      <t>エラベ</t>
    </rPh>
    <rPh sb="13" eb="14">
      <t>ヒト</t>
    </rPh>
    <phoneticPr fontId="1"/>
  </si>
  <si>
    <t>選べない薬剤がないこと</t>
    <rPh sb="0" eb="1">
      <t>エラベ</t>
    </rPh>
    <rPh sb="4" eb="6">
      <t>ヤクザイ</t>
    </rPh>
    <phoneticPr fontId="1"/>
  </si>
  <si>
    <t>計算ボタンが押せて、プログラムが動作すること</t>
    <rPh sb="0" eb="2">
      <t>ケイサn</t>
    </rPh>
    <rPh sb="6" eb="7">
      <t>オセテ</t>
    </rPh>
    <rPh sb="16" eb="18">
      <t>ドウサ</t>
    </rPh>
    <phoneticPr fontId="1"/>
  </si>
  <si>
    <t>薬剤にDMSAを選択、体重に1と入力して計算ボタンを押す</t>
    <rPh sb="0" eb="2">
      <t>ヤクザイ</t>
    </rPh>
    <rPh sb="8" eb="10">
      <t>センタク</t>
    </rPh>
    <rPh sb="11" eb="13">
      <t>タイジュウ</t>
    </rPh>
    <rPh sb="16" eb="18">
      <t>ニュウリョク</t>
    </rPh>
    <rPh sb="20" eb="22">
      <t>ケイサn</t>
    </rPh>
    <rPh sb="26" eb="27">
      <t>オセィ</t>
    </rPh>
    <phoneticPr fontId="1"/>
  </si>
  <si>
    <t>MacOS Sequoia15.0 , Android 14</t>
    <phoneticPr fontId="1"/>
  </si>
  <si>
    <t>UI操作</t>
    <rPh sb="2" eb="4">
      <t>ソウサ</t>
    </rPh>
    <phoneticPr fontId="1"/>
  </si>
  <si>
    <t>2.6 UI操作機能</t>
    <rPh sb="6" eb="8">
      <t>ソウサ</t>
    </rPh>
    <rPh sb="8" eb="10">
      <t xml:space="preserve">キノウ </t>
    </rPh>
    <phoneticPr fontId="1"/>
  </si>
  <si>
    <t>ラジオボタンが１つだけ選択できるか</t>
    <rPh sb="11" eb="13">
      <t>センタク</t>
    </rPh>
    <phoneticPr fontId="1"/>
  </si>
  <si>
    <t>計算ボタンが有効に機能しているか</t>
    <rPh sb="0" eb="2">
      <t>ケイサn</t>
    </rPh>
    <rPh sb="6" eb="8">
      <t>ユウコウ</t>
    </rPh>
    <rPh sb="9" eb="11">
      <t>キノウ</t>
    </rPh>
    <phoneticPr fontId="1"/>
  </si>
  <si>
    <t>ボタン選択、入力、実行</t>
    <rPh sb="3" eb="5">
      <t>センタク</t>
    </rPh>
    <rPh sb="6" eb="8">
      <t>ニュウリョク</t>
    </rPh>
    <rPh sb="9" eb="11">
      <t>ジッコウ</t>
    </rPh>
    <phoneticPr fontId="1"/>
  </si>
  <si>
    <t>入力データの検証、計算機能の実行</t>
    <rPh sb="0" eb="2">
      <t>ニュウリョク</t>
    </rPh>
    <rPh sb="6" eb="8">
      <t>ケンショウ</t>
    </rPh>
    <rPh sb="9" eb="11">
      <t>ケイサn</t>
    </rPh>
    <rPh sb="11" eb="13">
      <t>k</t>
    </rPh>
    <rPh sb="14" eb="16">
      <t>ジッコウ</t>
    </rPh>
    <phoneticPr fontId="1"/>
  </si>
  <si>
    <t>正しい計算結果を表示</t>
    <rPh sb="0" eb="1">
      <t>タダシイ</t>
    </rPh>
    <rPh sb="3" eb="7">
      <t>ケイサn</t>
    </rPh>
    <rPh sb="8" eb="10">
      <t>ヒョウ</t>
    </rPh>
    <phoneticPr fontId="1"/>
  </si>
  <si>
    <t>計算結果を適切に表示</t>
    <rPh sb="0" eb="4">
      <t>ケイサn</t>
    </rPh>
    <rPh sb="5" eb="7">
      <t>テキセテゥ</t>
    </rPh>
    <rPh sb="8" eb="10">
      <t>ヒョウ</t>
    </rPh>
    <phoneticPr fontId="1"/>
  </si>
  <si>
    <t>2.6  UI操作機能</t>
    <rPh sb="7" eb="11">
      <t>ソウサ</t>
    </rPh>
    <phoneticPr fontId="1"/>
  </si>
  <si>
    <t>薬剤をラジオボタンから単一で選択でき、選べないボタンがないこと。</t>
    <rPh sb="0" eb="2">
      <t>ヤクザイ</t>
    </rPh>
    <rPh sb="11" eb="13">
      <t>タンイ</t>
    </rPh>
    <rPh sb="14" eb="16">
      <t>センタク</t>
    </rPh>
    <rPh sb="19" eb="20">
      <t>エラベ</t>
    </rPh>
    <phoneticPr fontId="1"/>
  </si>
  <si>
    <t>計算ボタンを押すと計算機能が実行されること。</t>
    <rPh sb="0" eb="2">
      <t>ケイサn</t>
    </rPh>
    <rPh sb="6" eb="7">
      <t>オス</t>
    </rPh>
    <rPh sb="9" eb="13">
      <t>ケイサn</t>
    </rPh>
    <rPh sb="14" eb="16">
      <t>ジッコウ</t>
    </rPh>
    <phoneticPr fontId="1"/>
  </si>
  <si>
    <t>入力値の制限はHTML5のバリデーション機能を使用する。</t>
  </si>
  <si>
    <t>体重をテキストボックスから数字入力できること。</t>
    <rPh sb="0" eb="2">
      <t>タイジュウ</t>
    </rPh>
    <rPh sb="13" eb="15">
      <t>スウ</t>
    </rPh>
    <rPh sb="15" eb="17">
      <t>ニュウリョク</t>
    </rPh>
    <phoneticPr fontId="1"/>
  </si>
  <si>
    <t>体重の入力は0.1〜70の半角数字とし、0.1kg単位で入力できる。</t>
    <rPh sb="0" eb="2">
      <t>タイジュウ</t>
    </rPh>
    <rPh sb="3" eb="5">
      <t>ニュウリョク</t>
    </rPh>
    <rPh sb="13" eb="15">
      <t>ハンカ</t>
    </rPh>
    <rPh sb="15" eb="17">
      <t>スウ</t>
    </rPh>
    <rPh sb="25" eb="27">
      <t>タンイ</t>
    </rPh>
    <rPh sb="28" eb="30">
      <t>ニュウリョク</t>
    </rPh>
    <phoneticPr fontId="1"/>
  </si>
  <si>
    <t>薬剤の選択はラジオボタンとし、選択可能な薬剤は一度に一種類までとする。</t>
    <rPh sb="0" eb="1">
      <t>ヤクザイ</t>
    </rPh>
    <rPh sb="3" eb="4">
      <t>センタク</t>
    </rPh>
    <rPh sb="15" eb="19">
      <t>センタクカン</t>
    </rPh>
    <rPh sb="20" eb="22">
      <t>ヤクザイ</t>
    </rPh>
    <rPh sb="23" eb="25">
      <t>イチド</t>
    </rPh>
    <rPh sb="26" eb="29">
      <t>１セィウ</t>
    </rPh>
    <phoneticPr fontId="1"/>
  </si>
  <si>
    <t>OK</t>
    <phoneticPr fontId="1"/>
  </si>
  <si>
    <t>NG</t>
    <phoneticPr fontId="1"/>
  </si>
  <si>
    <t>体重入力
薬剤選択
結果表示</t>
    <rPh sb="0" eb="4">
      <t>タイジュウ</t>
    </rPh>
    <rPh sb="5" eb="9">
      <t>ヤクザイ</t>
    </rPh>
    <rPh sb="10" eb="14">
      <t>ケッカ</t>
    </rPh>
    <phoneticPr fontId="1"/>
  </si>
  <si>
    <t>文字のフォントやサイズ、色が適切か確認する</t>
    <rPh sb="0" eb="2">
      <t>モジ</t>
    </rPh>
    <rPh sb="12" eb="13">
      <t>イロ</t>
    </rPh>
    <rPh sb="14" eb="16">
      <t>テキセテゥ</t>
    </rPh>
    <rPh sb="17" eb="19">
      <t>カクニn</t>
    </rPh>
    <phoneticPr fontId="1"/>
  </si>
  <si>
    <t>結果画面に誤字・脱字がないこと</t>
    <rPh sb="0" eb="2">
      <t>ケッカ</t>
    </rPh>
    <rPh sb="2" eb="4">
      <t>ガメn</t>
    </rPh>
    <rPh sb="5" eb="7">
      <t>🕔</t>
    </rPh>
    <rPh sb="8" eb="10">
      <t>ダツジ</t>
    </rPh>
    <phoneticPr fontId="1"/>
  </si>
  <si>
    <t>計算ボタンが押されてから1秒以内に結果画面が表示されること</t>
    <phoneticPr fontId="1"/>
  </si>
  <si>
    <t>ホームページにアクセスしてから3秒以内に画面が表示されること
計算ボタンを押してから、1秒以内に結果画面が表示されること</t>
    <rPh sb="16" eb="19">
      <t>ビョウイナ</t>
    </rPh>
    <rPh sb="20" eb="22">
      <t>ガメn</t>
    </rPh>
    <rPh sb="23" eb="25">
      <t>ヒョウ</t>
    </rPh>
    <rPh sb="31" eb="33">
      <t>ケイサn</t>
    </rPh>
    <rPh sb="37" eb="38">
      <t>オセィ</t>
    </rPh>
    <rPh sb="44" eb="47">
      <t>ビョウイナ</t>
    </rPh>
    <rPh sb="48" eb="50">
      <t xml:space="preserve">ケッカ </t>
    </rPh>
    <rPh sb="50" eb="52">
      <t>ガメn</t>
    </rPh>
    <rPh sb="53" eb="55">
      <t>ヒョウ</t>
    </rPh>
    <phoneticPr fontId="1"/>
  </si>
  <si>
    <t>1秒以内に結果画面が表示されるか</t>
    <rPh sb="2" eb="4">
      <t>３ビョウイイ</t>
    </rPh>
    <rPh sb="5" eb="7">
      <t>ケッカ</t>
    </rPh>
    <rPh sb="7" eb="9">
      <t>ガメn</t>
    </rPh>
    <rPh sb="10" eb="12">
      <t>ヒョウ</t>
    </rPh>
    <phoneticPr fontId="1"/>
  </si>
  <si>
    <t>結果画面がウィンドウ内に適切に表示されていること</t>
    <phoneticPr fontId="1"/>
  </si>
  <si>
    <t>薬剤がMAG3,IMP,ECDの時は負荷薬剤の名称および投与量も表示する。</t>
    <rPh sb="0" eb="1">
      <t>ヤクザイ</t>
    </rPh>
    <rPh sb="18" eb="22">
      <t>フカヤ</t>
    </rPh>
    <rPh sb="23" eb="25">
      <t>メイ</t>
    </rPh>
    <rPh sb="28" eb="31">
      <t>トウヨ</t>
    </rPh>
    <rPh sb="32" eb="34">
      <t>ヒョウ</t>
    </rPh>
    <phoneticPr fontId="1"/>
  </si>
  <si>
    <t>選択された薬剤がIMPもしくはECDの場合は、負荷薬剤ダイアモックス（ACZ）の計算も行う。計算式は下記。少数第一位で四捨五入。最大値は1000mg</t>
    <rPh sb="0" eb="2">
      <t>センタクサル</t>
    </rPh>
    <rPh sb="5" eb="7">
      <t>ヤクザイ</t>
    </rPh>
    <rPh sb="19" eb="21">
      <t>バアイ</t>
    </rPh>
    <rPh sb="23" eb="25">
      <t xml:space="preserve">フカ </t>
    </rPh>
    <rPh sb="25" eb="27">
      <t>ヤクザイ</t>
    </rPh>
    <rPh sb="40" eb="42">
      <t>ケイサn</t>
    </rPh>
    <rPh sb="43" eb="44">
      <t>オコナウ</t>
    </rPh>
    <rPh sb="46" eb="49">
      <t>ケイサn</t>
    </rPh>
    <rPh sb="50" eb="52">
      <t>カキ</t>
    </rPh>
    <rPh sb="53" eb="58">
      <t>ショウスウダイイ</t>
    </rPh>
    <rPh sb="59" eb="63">
      <t>シシャゴニュウ</t>
    </rPh>
    <rPh sb="64" eb="67">
      <t>サイダイ</t>
    </rPh>
    <phoneticPr fontId="1"/>
  </si>
  <si>
    <t>負荷薬剤名</t>
    <rPh sb="0" eb="2">
      <t>フカ</t>
    </rPh>
    <rPh sb="2" eb="4">
      <t>ヤクザイ</t>
    </rPh>
    <rPh sb="4" eb="5">
      <t>m</t>
    </rPh>
    <phoneticPr fontId="1"/>
  </si>
  <si>
    <t>Selenium環境　OS</t>
    <rPh sb="8" eb="10">
      <t>カンキョウ</t>
    </rPh>
    <phoneticPr fontId="1"/>
  </si>
  <si>
    <t>Selenium環境　ブラウザ</t>
    <rPh sb="8" eb="10">
      <t>カンキョウ</t>
    </rPh>
    <phoneticPr fontId="1"/>
  </si>
  <si>
    <t>Selenium
使用</t>
    <rPh sb="8" eb="10">
      <t>シヨウ</t>
    </rPh>
    <phoneticPr fontId="1"/>
  </si>
  <si>
    <t>◯</t>
  </si>
  <si>
    <t>薬剤の選択もしくは体重入力で適切なエラーメッセージが表示される</t>
    <rPh sb="0" eb="2">
      <t>ヤクザイ</t>
    </rPh>
    <rPh sb="3" eb="5">
      <t>センタク</t>
    </rPh>
    <rPh sb="9" eb="13">
      <t>タイジュウ</t>
    </rPh>
    <rPh sb="14" eb="16">
      <t>テキセテゥ</t>
    </rPh>
    <rPh sb="26" eb="28">
      <t>ヒョウ</t>
    </rPh>
    <phoneticPr fontId="1"/>
  </si>
  <si>
    <t>表示されるエラーメッセージの位置が入力の邪魔とならない</t>
    <rPh sb="0" eb="2">
      <t>ヒョウ</t>
    </rPh>
    <rPh sb="14" eb="16">
      <t xml:space="preserve">１ト </t>
    </rPh>
    <rPh sb="17" eb="19">
      <t>ニュウリョク</t>
    </rPh>
    <rPh sb="20" eb="22">
      <t>ジャマ</t>
    </rPh>
    <phoneticPr fontId="1"/>
  </si>
  <si>
    <t>薬剤選択せず、体重を入力せず計算ボタンを押す。エラーメッセージの位置を確認する</t>
    <rPh sb="0" eb="2">
      <t>ヤクザイ</t>
    </rPh>
    <rPh sb="2" eb="4">
      <t>センタクセ</t>
    </rPh>
    <rPh sb="7" eb="9">
      <t>タイジュウ</t>
    </rPh>
    <rPh sb="10" eb="12">
      <t>ニュウリョク</t>
    </rPh>
    <rPh sb="14" eb="16">
      <t>ケイサn</t>
    </rPh>
    <rPh sb="20" eb="21">
      <t>オス</t>
    </rPh>
    <rPh sb="32" eb="34">
      <t>イチヲ</t>
    </rPh>
    <rPh sb="35" eb="37">
      <t>カクニn</t>
    </rPh>
    <phoneticPr fontId="1"/>
  </si>
  <si>
    <t>薬剤選択せず、体重を入力せず計算ボタンを押す。エラーメッセージの内容を確認する</t>
    <rPh sb="0" eb="2">
      <t>ヤクザイ</t>
    </rPh>
    <rPh sb="2" eb="4">
      <t>センタクセ</t>
    </rPh>
    <rPh sb="7" eb="9">
      <t>タイジュウ</t>
    </rPh>
    <rPh sb="10" eb="12">
      <t>ニュウリョク</t>
    </rPh>
    <rPh sb="14" eb="16">
      <t>ケイサn</t>
    </rPh>
    <rPh sb="20" eb="21">
      <t>オス</t>
    </rPh>
    <rPh sb="23" eb="25">
      <t>エラーメッセージノ</t>
    </rPh>
    <rPh sb="32" eb="34">
      <t>ナイヨウ</t>
    </rPh>
    <rPh sb="35" eb="37">
      <t>カクニn</t>
    </rPh>
    <phoneticPr fontId="1"/>
  </si>
  <si>
    <t>薬剤選択せず、体重に10と入力して計算ボタンを押す。エラーメッセージの内容を確認する</t>
    <rPh sb="0" eb="2">
      <t>ヤクザイ</t>
    </rPh>
    <rPh sb="2" eb="4">
      <t>センタクセ</t>
    </rPh>
    <rPh sb="7" eb="9">
      <t>タイジュウ</t>
    </rPh>
    <rPh sb="13" eb="15">
      <t>ニュウリョク</t>
    </rPh>
    <rPh sb="17" eb="19">
      <t>ケイサn</t>
    </rPh>
    <rPh sb="23" eb="24">
      <t>オス</t>
    </rPh>
    <rPh sb="35" eb="37">
      <t>ナイヨウ</t>
    </rPh>
    <rPh sb="38" eb="40">
      <t>カクニn</t>
    </rPh>
    <phoneticPr fontId="1"/>
  </si>
  <si>
    <t>薬剤を選択するよう促す適切なエラーメッセージが表示される</t>
    <rPh sb="0" eb="1">
      <t>ヤクザイ</t>
    </rPh>
    <rPh sb="3" eb="5">
      <t>センタク</t>
    </rPh>
    <rPh sb="9" eb="10">
      <t xml:space="preserve">ウナガス </t>
    </rPh>
    <rPh sb="11" eb="13">
      <t>テキセテゥ</t>
    </rPh>
    <rPh sb="23" eb="25">
      <t>ヒョウ</t>
    </rPh>
    <phoneticPr fontId="1"/>
  </si>
  <si>
    <t>薬剤選択せず、体重に10と入力して計算ボタンを押す。エラーメッセージの位置を確認する</t>
    <rPh sb="0" eb="2">
      <t>ヤクザイ</t>
    </rPh>
    <rPh sb="2" eb="4">
      <t>センタクセ</t>
    </rPh>
    <rPh sb="7" eb="9">
      <t>タイジュウ</t>
    </rPh>
    <rPh sb="13" eb="15">
      <t>ニュウリョク</t>
    </rPh>
    <rPh sb="17" eb="19">
      <t>ケイサn</t>
    </rPh>
    <rPh sb="23" eb="24">
      <t>オス</t>
    </rPh>
    <rPh sb="26" eb="28">
      <t>エラーメッセージノ</t>
    </rPh>
    <rPh sb="35" eb="37">
      <t>イチヲ</t>
    </rPh>
    <rPh sb="38" eb="40">
      <t>カクニンス</t>
    </rPh>
    <phoneticPr fontId="1"/>
  </si>
  <si>
    <t>薬剤選択せず、体重に0と入力して計算ボタンを押す。エラーメッセージの内容を確認する</t>
    <rPh sb="0" eb="2">
      <t>ヤクザイ</t>
    </rPh>
    <rPh sb="2" eb="4">
      <t>センタクセ</t>
    </rPh>
    <rPh sb="7" eb="9">
      <t>タイジュウ</t>
    </rPh>
    <rPh sb="12" eb="14">
      <t>ニュウリョク</t>
    </rPh>
    <rPh sb="16" eb="18">
      <t>ケイサn</t>
    </rPh>
    <rPh sb="22" eb="23">
      <t>オス</t>
    </rPh>
    <phoneticPr fontId="1"/>
  </si>
  <si>
    <t>薬剤選択せず、体重に71と入力して計算ボタンを押す。エラーメッセージの内容を確認する</t>
    <rPh sb="0" eb="2">
      <t>ヤクザイ</t>
    </rPh>
    <rPh sb="2" eb="4">
      <t>センタクセ</t>
    </rPh>
    <rPh sb="7" eb="9">
      <t>タイジュウ</t>
    </rPh>
    <rPh sb="13" eb="15">
      <t>ニュウリョク</t>
    </rPh>
    <rPh sb="17" eb="19">
      <t>ケイサn</t>
    </rPh>
    <rPh sb="23" eb="24">
      <t>オス</t>
    </rPh>
    <phoneticPr fontId="1"/>
  </si>
  <si>
    <t>薬剤選択せず、体重にaと入力して計算ボタンを押す。エラーメッセージの内容を確認する</t>
    <rPh sb="0" eb="2">
      <t>ヤクザイ</t>
    </rPh>
    <rPh sb="2" eb="4">
      <t>センタクセ</t>
    </rPh>
    <rPh sb="7" eb="9">
      <t>タイジュウ</t>
    </rPh>
    <rPh sb="12" eb="14">
      <t>ニュウリョク</t>
    </rPh>
    <rPh sb="16" eb="18">
      <t>ケイサn</t>
    </rPh>
    <rPh sb="22" eb="23">
      <t>オス</t>
    </rPh>
    <phoneticPr fontId="1"/>
  </si>
  <si>
    <t>薬剤選択せず、体重に+と入力して計算ボタンを押す。エラーメッセージの内容を確認する</t>
    <rPh sb="0" eb="2">
      <t>ヤクザイ</t>
    </rPh>
    <rPh sb="2" eb="4">
      <t>センタクセ</t>
    </rPh>
    <rPh sb="7" eb="9">
      <t>タイジュウ</t>
    </rPh>
    <rPh sb="12" eb="14">
      <t>ニュウリョク</t>
    </rPh>
    <rPh sb="16" eb="18">
      <t>ケイサn</t>
    </rPh>
    <rPh sb="22" eb="23">
      <t>オス</t>
    </rPh>
    <phoneticPr fontId="1"/>
  </si>
  <si>
    <t>薬剤にNaIを選択、体重に何も入力せず計算ボタンを押す。エラーメッセージの内容を確認する</t>
    <rPh sb="0" eb="2">
      <t>ヤクザイ</t>
    </rPh>
    <rPh sb="7" eb="9">
      <t>センタク</t>
    </rPh>
    <rPh sb="10" eb="12">
      <t>タイジュウ</t>
    </rPh>
    <rPh sb="13" eb="14">
      <t>ナニ</t>
    </rPh>
    <rPh sb="15" eb="17">
      <t>ニュウリョクセズ</t>
    </rPh>
    <rPh sb="19" eb="21">
      <t>ケイサn</t>
    </rPh>
    <rPh sb="25" eb="26">
      <t>オス</t>
    </rPh>
    <phoneticPr fontId="1"/>
  </si>
  <si>
    <t>薬剤にNaIを選択、体重に何も入力せず計算ボタンを押す。エラーメッセージの位置を確認する</t>
    <rPh sb="0" eb="2">
      <t>ヤクザイ</t>
    </rPh>
    <rPh sb="7" eb="9">
      <t>センタク</t>
    </rPh>
    <rPh sb="10" eb="12">
      <t>タイジュウ</t>
    </rPh>
    <rPh sb="13" eb="14">
      <t>ナニ</t>
    </rPh>
    <rPh sb="15" eb="17">
      <t>ニュウリョクセズ</t>
    </rPh>
    <rPh sb="19" eb="21">
      <t>ケイサn</t>
    </rPh>
    <rPh sb="25" eb="26">
      <t>オス</t>
    </rPh>
    <rPh sb="37" eb="39">
      <t>1️⃣</t>
    </rPh>
    <phoneticPr fontId="1"/>
  </si>
  <si>
    <t>正しい体重を入力するよう促す適切なエラーメッセージが表示される</t>
    <rPh sb="0" eb="1">
      <t>タダシイ</t>
    </rPh>
    <rPh sb="3" eb="5">
      <t>タイジュウ</t>
    </rPh>
    <rPh sb="6" eb="8">
      <t>ニュウリョク</t>
    </rPh>
    <rPh sb="12" eb="13">
      <t>ウナガス</t>
    </rPh>
    <rPh sb="14" eb="16">
      <t>テキセテゥ</t>
    </rPh>
    <rPh sb="26" eb="28">
      <t>ヒョウ</t>
    </rPh>
    <phoneticPr fontId="1"/>
  </si>
  <si>
    <t>スクロールが必要な場合に、正常にスクロールされるか確認する</t>
    <rPh sb="6" eb="8">
      <t>ヒツヨウ</t>
    </rPh>
    <rPh sb="9" eb="11">
      <t>バアイ</t>
    </rPh>
    <rPh sb="13" eb="15">
      <t>セイジョウ</t>
    </rPh>
    <rPh sb="25" eb="27">
      <t>カクニn</t>
    </rPh>
    <phoneticPr fontId="1"/>
  </si>
  <si>
    <t>スクロールする際に、正常にスクロールされる</t>
    <rPh sb="7" eb="8">
      <t xml:space="preserve">サイニ </t>
    </rPh>
    <rPh sb="10" eb="12">
      <t>セイジョウ</t>
    </rPh>
    <phoneticPr fontId="1"/>
  </si>
  <si>
    <t>モバイル端末のみ  縦画面と横画面</t>
    <rPh sb="4" eb="6">
      <t>タンマテゥ</t>
    </rPh>
    <rPh sb="10" eb="13">
      <t>タテガ</t>
    </rPh>
    <rPh sb="14" eb="17">
      <t>ヨコ</t>
    </rPh>
    <phoneticPr fontId="1"/>
  </si>
  <si>
    <t>使用デバイス</t>
    <rPh sb="0" eb="2">
      <t>シヨウ</t>
    </rPh>
    <phoneticPr fontId="1"/>
  </si>
  <si>
    <t>MacBook Air</t>
    <phoneticPr fontId="1"/>
  </si>
  <si>
    <t>ブラウザのズーム機能を使用した時に、レイアウトが崩れないこと</t>
    <rPh sb="8" eb="10">
      <t>キノウ</t>
    </rPh>
    <rPh sb="11" eb="13">
      <t>シヨウ</t>
    </rPh>
    <rPh sb="24" eb="25">
      <t>クズレ</t>
    </rPh>
    <phoneticPr fontId="1"/>
  </si>
  <si>
    <t>ブラウザでズームをしてもレイアウトが崩れず、適切に使用できること</t>
    <rPh sb="18" eb="19">
      <t>クズレ</t>
    </rPh>
    <rPh sb="22" eb="24">
      <t>テキセテゥ</t>
    </rPh>
    <rPh sb="25" eb="27">
      <t>シヨウ</t>
    </rPh>
    <phoneticPr fontId="1"/>
  </si>
  <si>
    <t>ブラウザでズームをしてもレイアウトが崩れず、適切に表示されること</t>
    <phoneticPr fontId="1"/>
  </si>
  <si>
    <t>GoogleChrome, Safari　最新バージョン</t>
    <rPh sb="21" eb="23">
      <t>サイシn</t>
    </rPh>
    <phoneticPr fontId="1"/>
  </si>
  <si>
    <t>Java(Spring Boot), HTML/CSS</t>
    <phoneticPr fontId="1"/>
  </si>
  <si>
    <t>薬剤id</t>
    <rPh sb="0" eb="2">
      <t>ヤクザイ</t>
    </rPh>
    <phoneticPr fontId="1"/>
  </si>
  <si>
    <t>薬剤正式名</t>
    <rPh sb="0" eb="2">
      <t>ヤクザイ</t>
    </rPh>
    <rPh sb="2" eb="5">
      <t>セイシキ</t>
    </rPh>
    <phoneticPr fontId="1"/>
  </si>
  <si>
    <t>負荷薬剤量</t>
    <rPh sb="0" eb="2">
      <t xml:space="preserve">フカ </t>
    </rPh>
    <rPh sb="2" eb="4">
      <t>ヤクザイ</t>
    </rPh>
    <rPh sb="4" eb="5">
      <t>リョウ</t>
    </rPh>
    <phoneticPr fontId="1"/>
  </si>
  <si>
    <t>値のみ</t>
  </si>
  <si>
    <t>Mig</t>
    <phoneticPr fontId="1"/>
  </si>
  <si>
    <t>macOS 15.0</t>
  </si>
  <si>
    <t>Google Chrome 133.0.6943.127</t>
  </si>
  <si>
    <t>OK</t>
  </si>
  <si>
    <t>起動時間：0.02秒</t>
  </si>
  <si>
    <t>計算時間：0.53秒</t>
  </si>
  <si>
    <t>NG</t>
  </si>
  <si>
    <t>投与量が一致しません。計算結果:3.0MBq 期待値：3.1MBq</t>
  </si>
  <si>
    <t>投与量が一致しません。計算結果:3.0MBq 期待値：20.0MBq</t>
  </si>
  <si>
    <t>薬剤名が一致しません。実行結果:Tc-99m MIBI/テトロホスミン（安静/負荷心筋２日法・最大）期待値:Tc-99m MIBI/テトロホスミン（安静/負荷心筋2日法:最大）</t>
  </si>
  <si>
    <t>薬剤名が一致しません。実行結果:Tc-99m MIBI/テトロホスミン（負荷心筋１日法：１回目 ）期待値:Tc-99m MIBI/テトロホスミン（安静/負荷心筋1日法:1回目）</t>
  </si>
  <si>
    <t>薬剤名が一致しません。実行結果:Tc-99m MIBI/テトロホスミン（負荷心筋１日法：２回目）期待値:Tc-99m MIBI/テトロホスミン（安静/負荷心筋1日法:2回目）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</si>
</sst>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0%"/>
  </numFmts>
  <fonts count="16">
    <font>
      <sz val="12"/>
      <color theme="1"/>
      <name val="游ゴシック"/>
      <family val="2"/>
      <charset val="128"/>
      <scheme val="minor"/>
    </font>
    <font>
      <sz val="6"/>
      <name val="游ゴシック"/>
      <family val="2"/>
      <charset val="128"/>
      <scheme val="minor"/>
    </font>
    <font>
      <sz val="12"/>
      <color rgb="FF000000"/>
      <name val="Menlo"/>
      <family val="2"/>
    </font>
    <font>
      <sz val="12"/>
      <color rgb="FF6A3E3E"/>
      <name val="Menlo"/>
      <family val="2"/>
    </font>
    <font>
      <i/>
      <sz val="12"/>
      <color rgb="FF000000"/>
      <name val="Menlo"/>
      <family val="2"/>
    </font>
    <font>
      <sz val="12"/>
      <name val="Menlo"/>
      <family val="2"/>
    </font>
    <font>
      <sz val="12"/>
      <color rgb="FF93A1A1"/>
      <name val="Menlo"/>
      <family val="2"/>
    </font>
    <font>
      <vertAlign val="superscript"/>
      <sz val="12"/>
      <color theme="1"/>
      <name val="游ゴシック"/>
      <family val="3"/>
      <charset val="128"/>
    </font>
    <font>
      <sz val="12"/>
      <color theme="1"/>
      <name val="游ゴシック"/>
      <family val="3"/>
      <charset val="128"/>
      <scheme val="minor"/>
    </font>
    <font>
      <vertAlign val="superscript"/>
      <sz val="12"/>
      <color rgb="FF000000"/>
      <name val="游ゴシック"/>
      <family val="3"/>
      <charset val="128"/>
      <scheme val="minor"/>
    </font>
    <font>
      <sz val="12"/>
      <color rgb="FF000000"/>
      <name val="游ゴシック"/>
      <family val="3"/>
      <charset val="128"/>
      <scheme val="minor"/>
    </font>
    <font>
      <sz val="12"/>
      <name val="游ゴシック"/>
      <family val="3"/>
      <charset val="128"/>
      <scheme val="minor"/>
    </font>
    <font>
      <vertAlign val="superscript"/>
      <sz val="12"/>
      <name val="游ゴシック"/>
      <family val="3"/>
      <charset val="128"/>
      <scheme val="minor"/>
    </font>
    <font>
      <sz val="11"/>
      <color theme="1"/>
      <name val="游ゴシック"/>
      <family val="2"/>
      <charset val="128"/>
      <scheme val="minor"/>
    </font>
    <font>
      <sz val="10"/>
      <color theme="1"/>
      <name val="游ゴシック"/>
      <family val="3"/>
      <charset val="128"/>
      <scheme val="minor"/>
    </font>
    <font>
      <b/>
      <sz val="12"/>
      <color theme="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FF3900"/>
        <bgColor indexed="64"/>
      </patternFill>
    </fill>
    <fill>
      <patternFill patternType="solid">
        <fgColor rgb="FF92D05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9">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3" fillId="0" borderId="0" xfId="0" applyFont="1">
      <alignment vertical="center"/>
    </xf>
    <xf numFmtId="0" fontId="5" fillId="0" borderId="0" xfId="0" applyFont="1">
      <alignment vertical="center"/>
    </xf>
    <xf numFmtId="0" fontId="0" fillId="0" borderId="0" xfId="0" applyAlignment="1">
      <alignment horizontal="center" vertical="center" wrapText="1"/>
    </xf>
    <xf numFmtId="0" fontId="6" fillId="0" borderId="0" xfId="0" applyFont="1">
      <alignment vertical="center"/>
    </xf>
    <xf numFmtId="0" fontId="8" fillId="0" borderId="0" xfId="0" applyFont="1">
      <alignment vertical="center"/>
    </xf>
    <xf numFmtId="0" fontId="11" fillId="0" borderId="0" xfId="0" applyFont="1">
      <alignment vertical="center"/>
    </xf>
    <xf numFmtId="0" fontId="0" fillId="3" borderId="1" xfId="0" applyFill="1" applyBorder="1">
      <alignment vertical="center"/>
    </xf>
    <xf numFmtId="0" fontId="0" fillId="0" borderId="1" xfId="0" applyBorder="1">
      <alignment vertical="center"/>
    </xf>
    <xf numFmtId="0" fontId="0" fillId="3" borderId="1"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0" xfId="0" applyFill="1" applyAlignment="1">
      <alignment horizontal="center" vertical="center"/>
    </xf>
    <xf numFmtId="0" fontId="0" fillId="7" borderId="1" xfId="0" applyFill="1" applyBorder="1" applyAlignment="1">
      <alignment horizontal="center" vertical="center"/>
    </xf>
    <xf numFmtId="176" fontId="0" fillId="0" borderId="0" xfId="0" applyNumberFormat="1" applyAlignment="1">
      <alignment horizontal="center" vertical="center"/>
    </xf>
    <xf numFmtId="0" fontId="0" fillId="0" borderId="0" xfId="0" applyAlignment="1">
      <alignment vertical="center" wrapText="1"/>
    </xf>
    <xf numFmtId="0" fontId="0" fillId="8" borderId="1" xfId="0" applyFill="1" applyBorder="1" applyAlignment="1">
      <alignment horizontal="center" vertical="center" wrapText="1"/>
    </xf>
    <xf numFmtId="0" fontId="13" fillId="8" borderId="1" xfId="0" applyFont="1" applyFill="1" applyBorder="1" applyAlignment="1">
      <alignment horizontal="center" vertical="center" wrapText="1"/>
    </xf>
    <xf numFmtId="0" fontId="0" fillId="8" borderId="1" xfId="0" applyFill="1" applyBorder="1" applyAlignment="1">
      <alignment horizontal="center" vertical="center"/>
    </xf>
    <xf numFmtId="0" fontId="13" fillId="8" borderId="1" xfId="0" applyFont="1" applyFill="1" applyBorder="1" applyAlignment="1">
      <alignment horizontal="center" vertical="center"/>
    </xf>
    <xf numFmtId="22" fontId="0" fillId="0" borderId="1" xfId="0" applyNumberFormat="1" applyBorder="1">
      <alignment vertical="center"/>
    </xf>
    <xf numFmtId="0" fontId="14" fillId="0" borderId="1" xfId="0" applyFont="1" applyBorder="1" applyAlignment="1">
      <alignment horizontal="center" vertical="center"/>
    </xf>
    <xf numFmtId="22" fontId="0" fillId="0" borderId="1" xfId="0" applyNumberFormat="1" applyBorder="1" applyAlignment="1">
      <alignment horizontal="center" vertical="center"/>
    </xf>
    <xf numFmtId="0" fontId="0" fillId="0" borderId="5" xfId="0" applyBorder="1" applyAlignment="1">
      <alignment horizontal="center" vertical="center"/>
    </xf>
    <xf numFmtId="0" fontId="0" fillId="0" borderId="1" xfId="0" applyBorder="1" applyAlignment="1">
      <alignment vertical="center" wrapText="1"/>
    </xf>
    <xf numFmtId="0" fontId="11" fillId="0" borderId="1" xfId="0" applyFont="1" applyBorder="1" applyAlignment="1">
      <alignment horizontal="center" vertical="center"/>
    </xf>
    <xf numFmtId="0" fontId="0" fillId="0" borderId="1" xfId="0" applyBorder="1" applyAlignment="1">
      <alignment horizontal="left" vertical="center"/>
    </xf>
    <xf numFmtId="0" fontId="0" fillId="3" borderId="1" xfId="0" applyFill="1"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7" borderId="0" xfId="0"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wrapText="1"/>
    </xf>
    <xf numFmtId="0" fontId="15" fillId="0" borderId="0" xfId="0" applyFont="1">
      <alignment vertical="center"/>
    </xf>
    <xf numFmtId="177" fontId="0" fillId="0" borderId="1" xfId="0" applyNumberFormat="1" applyBorder="1" applyAlignment="1">
      <alignment horizontal="center" vertical="center"/>
    </xf>
  </cellXfs>
  <cellStyles count="1">
    <cellStyle name="標準" xfId="0" builtinId="0"/>
  </cellStyles>
  <dxfs count="3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fgColor auto="1"/>
          <bgColor rgb="FF60EE64"/>
        </patternFill>
      </fill>
    </dxf>
    <dxf>
      <fill>
        <patternFill>
          <bgColor rgb="FFFFC7CE"/>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fgColor auto="1"/>
          <bgColor rgb="FF60EE64"/>
        </patternFill>
      </fill>
    </dxf>
    <dxf>
      <fill>
        <patternFill>
          <bgColor rgb="FFFFC7CE"/>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solid">
          <bgColor rgb="FFF8B9AC"/>
        </patternFill>
      </fill>
    </dxf>
    <dxf>
      <fill>
        <patternFill>
          <bgColor rgb="FFF0FE96"/>
        </patternFill>
      </fill>
    </dxf>
    <dxf>
      <fill>
        <patternFill>
          <bgColor theme="9" tint="0.79998168889431442"/>
        </patternFill>
      </fill>
    </dxf>
    <dxf>
      <fill>
        <patternFill>
          <fgColor auto="1"/>
          <bgColor rgb="FF60EE64"/>
        </patternFill>
      </fill>
    </dxf>
    <dxf>
      <fill>
        <patternFill>
          <bgColor rgb="FFFFC7CE"/>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theme="0" tint="-0.14996795556505021"/>
        </patternFill>
      </fill>
    </dxf>
    <dxf>
      <fill>
        <patternFill>
          <bgColor rgb="FF60EE64"/>
        </patternFill>
      </fill>
    </dxf>
    <dxf>
      <fill>
        <patternFill>
          <bgColor rgb="FFFD887B"/>
        </patternFill>
      </fill>
    </dxf>
    <dxf>
      <fill>
        <patternFill>
          <bgColor rgb="FFF0FE96"/>
        </patternFill>
      </fill>
    </dxf>
  </dxfs>
  <tableStyles count="0" defaultTableStyle="TableStyleMedium2" defaultPivotStyle="PivotStyleLight16"/>
  <colors>
    <mruColors>
      <color rgb="FFF0FE96"/>
      <color rgb="FFFD887B"/>
      <color rgb="FFFF6A3F"/>
      <color rgb="FF60EE64"/>
      <color rgb="FFF8B9AC"/>
      <color rgb="FFFF3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832A51A-305A-4145-9659-35559BB24416}">
  <we:reference id="wa104100404" version="3.0.0.1" store="ja-JP" storeType="OMEX"/>
  <we:alternateReferences>
    <we:reference id="WA104100404" version="3.0.0.1" store="WA104100404" storeType="OMEX"/>
  </we:alternateReferences>
  <we:properties>
    <we:property name="UniqueID" value="&quot;20251231740306820255&quot;"/>
    <we:property name="Zl+W55tZAB9cMCAaBy0aFg==" value="&quot;UWJzSA==&quot;"/>
    <we:property name="Zl+W55tZAB9cMCAaBykHHw==" value="&quot;UWJzSVNIQ0E=&quot;"/>
    <we:property name="Zl+W55tZAB9cMCAaByoBGw==" value="&quot;UQ==&quot;"/>
    <we:property name="Zl+W55tZAB9cMCAaByoGAA==" value="&quot;UHxz&quot;"/>
    <we:property name="Zl+W55tZAB9cMCAaByoWFg==" value="&quot;UA==&quot;"/>
    <we:property name="Zl+W55tZAB9cMCAaByoaGQ==" value="&quot;UQ==&quot;"/>
    <we:property name="Zl+W55tZAB9cMCAaBysGHg==" value="&quot;UQ==&quot;"/>
    <we:property name="Zl+W55tZAB9cMCAaBysQCQ==" value="&quot;VA==&quot;"/>
    <we:property name="Zl+W55tZAB9cMCAaBysXDA==" value="&quot;UA==&quot;"/>
    <we:property name="Zl+W55tZAB9cMCAaBysZAg==" value="&quot;UQ==&quot;"/>
    <we:property name="Zl+W55tZAB9cMCAaBz4UCg==" value="&quot;UWJzSVNIQ0E=&quot;"/>
    <we:property name="Zl+W55tZAB9cMCAaBz8QGw==" value="&quot;UWJzSVNIQ0E=&quot;"/>
    <we:property name="Zl+W55tZAB9cMCAaBzAFCQ==" value="&quot;UWJ6QA==&quot;"/>
    <we:property name="Zl+W55tZAB9cMCAaBzAFEw==" value="&quot;UA==&quot;"/>
    <we:property name="Zl+W55tZAB9cMCAaBzAFHg==" value="&quot;Ug==&quot;"/>
    <we:property name="Zl+W55tZAB9cMCAaBzQGFg==" value="&quot;UQ==&quot;"/>
    <we:property name="Zl+W55tZAB9cMCAaBzQHDg==" value="&quot;UWJzTlY=&quot;"/>
    <we:property name="Zl+W55tZAB9cMCAaBzQQDg==" value="&quot;Uw==&quot;"/>
    <we:property name="Zl+W55tZAB9cMCAaBzQbEw==" value="&quot;Unw=&quot;"/>
    <we:property name="Zl+W55tZAB9cMCAaBzUFCg==" value="&quot;UQ==&quot;"/>
    <we:property name="Zl+W55tZAB9cMCAaBzUFDg==" value="&quot;UQ==&quot;"/>
    <we:property name="Zl+W55tZAB9cMCAaBzcBCA==" value="&quot;Uw==&quot;"/>
    <we:property name="Zl+W55tZAB9cMCAaBzcQHQ==" value="&quot;UA==&quot;"/>
    <we:property name="Zl+W55tZAB9cMCAaBzgHCQ==" value="&quot;UA==&quot;"/>
    <we:property name="Zl+W55tZAB9cMCAaBzgWGQ==" value="&quot;UWJzSVI=&quot;"/>
    <we:property name="Zl+W55tZAB9cMCAaBzoDHQ==" value="&quot;UWJzSVNJ&quot;"/>
    <we:property name="Zl+W55tZAB9cMCAaBzwbHQ==" value="&quot;Jh4E&quot;"/>
    <we:property name="Zl+W55tZPBJa" value="&quot;RQtnS1Y=&quot;"/>
    <we:property name="Zl+W55tZPhFICywG" value="&quot;Ug==&quot;"/>
    <we:property name="Zl+W55tZAB9cMCAaBy8UFg==" value="&quot;U3w=&quot;"/>
    <we:property name="MT4sHRYbB1B9Lz1JKzYZDAQ+HBcWFQ==" value="&quot;Uw==&quot;"/>
    <we:property name="MT4sHRYbB1B9Lz1JKzYZDAQ+HAsGFEI=" value="&quot;QXB+WQ==&quot;"/>
    <we:property name="MT4sHRYbB1B9Lz1JKzYZDAQ+HAsGFEE=" value="&quot;QXJ+WQ==&quot;"/>
    <we:property name="MT4sHRYbB1B9Lz1JKzYZDAQ+HBULC0I=" value="&quot;RQ9nSFJCVzMUd3A=&quot;"/>
    <we:property name="MT4sHRYbB1B9Lz1JKzYZDAQ+HAsLC0I=" value="&quot;RQ5nSFJCVzIUd3A=&quot;"/>
    <we:property name="MT4sHRYbB1B9Lz1JKzYZDAQ+HBULC0E=" value="&quot;RQhnQFlcNVQJ&quot;"/>
    <we:property name="MT4sHRYbB1B9Lz1JKzYZDAQ+HAsLC0E=" value="&quot;UQ==&quot;"/>
    <we:property name="MT4sHRYbB1B9Lz1JDjgHEwAuLxwQ" value="&quot;RQhnQFlcNVQJ&quot;"/>
    <we:property name="MT4sHRYbB1B9Lz1JFzsf" value="&quot;RQhnSFs=&quot;"/>
    <we:property name="MT4sHRYbB1B9Lz1JFTgNNwgi" value="&quot;UA==&quot;"/>
    <we:property name="MT4sHRYbB1B9Lz1JKzYZDAQ+HBwNHw==" value="&quot;UQ==&quot;"/>
    <we:property name="MT4sHRYbB1B9Lz1JKzYZDAQ+HBcGHw==" value="&quot;UA==&quot;"/>
    <we:property name="Zl+W55tZJRFCLyQKNDwG" value="&quot;RQpnS1U=&quot;"/>
    <we:property name="Zl+W55tZAB9cMCAaBzcAFw==" value="&quot;Uw==&quot;"/>
    <we:property name="Zl+W55tZAB9cMCAaBzUdCVA=" value="&quot;UWJy&quot;"/>
    <we:property name="Zl+W55tZAB9cMCAaBysQFlA=" value="&quot;QXB+WQ==&quot;"/>
    <we:property name="Zl+W55tZAB9cMCAaBysdCVA=" value="&quot;RQpnS1U=&quot;"/>
    <we:property name="Zl+W55tZAB9cMCAaBzUdCVM=" value="&quot;RQpnS1U=&quot;"/>
    <we:property name="Zl+W55tZAB9cMCAaBysQFlM=" value="&quot;QXB+WQ==&quot;"/>
    <we:property name="Zl+W55tZAB9cMCAaBysdCVM=" value="&quot;Vnw=&quot;"/>
    <we:property name="Zl+W55tZAB9cMCAaBzwGDg==" value="&quot;UA==&quot;"/>
    <we:property name="Zl+W55tZAB9cMCAaBzcCDg==" value="&quot;UA==&quot;"/>
    <we:property name="Zl+W55tZAB9cMCAaBy0YCQ==" value="&quot;UQ==&quot;"/>
    <we:property name="Zl+W55tZAB9cMCAaBzIcDA==" value="&quot;&quot;"/>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55211-3C79-E843-B2B0-F09132ED1E8C}">
  <sheetPr codeName="Sheet1"/>
  <dimension ref="A1:XFD1048576"/>
  <sheetViews>
    <sheetView zoomScale="90" zoomScaleNormal="90" workbookViewId="0">
      <selection activeCell="M18" sqref="M18"/>
    </sheetView>
  </sheetViews>
  <sheetFormatPr baseColWidth="10" defaultRowHeight="20"/>
  <cols>
    <col min="1" max="8" width="12.28515625" customWidth="1"/>
  </cols>
  <sheetData>
    <row r="1" spans="1:11">
      <c r="A1" s="47" t="s">
        <v>0</v>
      </c>
    </row>
    <row r="2" spans="1:11">
      <c r="A2" s="12" t="s">
        <v>5</v>
      </c>
      <c r="B2" s="13">
        <v>45713</v>
      </c>
      <c r="C2" s="12" t="s">
        <v>138</v>
      </c>
      <c r="D2" s="14" t="s">
        <v>366</v>
      </c>
      <c r="E2" s="12" t="s">
        <v>6</v>
      </c>
      <c r="F2" s="14"/>
      <c r="G2" s="12" t="s">
        <v>137</v>
      </c>
      <c r="H2" s="14"/>
      <c r="J2" s="10" t="s">
        <v>142</v>
      </c>
      <c r="K2" s="48">
        <f>K4/K3</f>
        <v>0.77472527472527475</v>
      </c>
    </row>
    <row r="3" spans="1:11">
      <c r="J3" s="12" t="s">
        <v>140</v>
      </c>
      <c r="K3" s="14">
        <f>COUNT(テストケース!A4:INDEX(テストケース!A:A, COUNTA(テストケース!A:A)))</f>
        <v>182</v>
      </c>
    </row>
    <row r="4" spans="1:11">
      <c r="J4" s="12" t="s">
        <v>141</v>
      </c>
      <c r="K4" s="14">
        <f>COUNTIF(テストケース!M4:INDEX(テストケース!M:M, COUNTA(テストケース!A:A)), "&lt;&gt;")</f>
        <v>141</v>
      </c>
    </row>
    <row r="5" spans="1:11">
      <c r="A5" s="12" t="s">
        <v>1</v>
      </c>
      <c r="B5" s="32" t="s">
        <v>115</v>
      </c>
      <c r="C5" s="32"/>
      <c r="D5" s="32"/>
      <c r="E5" s="32"/>
      <c r="F5" s="32"/>
      <c r="G5" s="32"/>
      <c r="H5" s="32"/>
      <c r="J5" s="16" t="s">
        <v>322</v>
      </c>
      <c r="K5" s="14">
        <f>COUNTIF(テストケース!M4:INDEX(テストケース!M:M, COUNTA(テストケース!A:A)), "OK")</f>
        <v>127</v>
      </c>
    </row>
    <row r="6" spans="1:11">
      <c r="A6" s="12" t="s">
        <v>2</v>
      </c>
      <c r="B6" s="32" t="s">
        <v>116</v>
      </c>
      <c r="C6" s="32"/>
      <c r="D6" s="32"/>
      <c r="E6" s="32"/>
      <c r="F6" s="32"/>
      <c r="G6" s="32"/>
      <c r="H6" s="32"/>
      <c r="J6" s="15" t="s">
        <v>323</v>
      </c>
      <c r="K6" s="14">
        <f>COUNTIF(テストケース!M4:INDEX(テストケース!M:M, COUNTA(テストケース!A:A)), "NG")</f>
        <v>14</v>
      </c>
    </row>
    <row r="7" spans="1:11">
      <c r="A7" s="12" t="s">
        <v>261</v>
      </c>
      <c r="B7" s="32" t="s">
        <v>306</v>
      </c>
      <c r="C7" s="32"/>
      <c r="D7" s="32"/>
      <c r="E7" s="32"/>
      <c r="F7" s="32"/>
      <c r="G7" s="32"/>
      <c r="H7" s="32"/>
      <c r="J7" s="17" t="s">
        <v>24</v>
      </c>
      <c r="K7" s="14">
        <f>COUNTIF(テストケース!M4:INDEX(テストケース!M:M, COUNTA(テストケース!A:A)), "保留")</f>
        <v>0</v>
      </c>
    </row>
    <row r="8" spans="1:11">
      <c r="A8" s="12" t="s">
        <v>139</v>
      </c>
      <c r="B8" s="32" t="s">
        <v>360</v>
      </c>
      <c r="C8" s="32"/>
      <c r="D8" s="32"/>
      <c r="E8" s="32"/>
      <c r="F8" s="32"/>
      <c r="G8" s="32"/>
      <c r="H8" s="32"/>
      <c r="J8" s="12" t="s">
        <v>25</v>
      </c>
      <c r="K8" s="14">
        <f>K3-K4</f>
        <v>41</v>
      </c>
    </row>
    <row r="9" spans="1:11">
      <c r="A9" s="12" t="s">
        <v>4</v>
      </c>
      <c r="B9" s="34" t="s">
        <v>361</v>
      </c>
      <c r="C9" s="35"/>
      <c r="D9" s="35"/>
      <c r="E9" s="35"/>
      <c r="F9" s="35"/>
      <c r="G9" s="35"/>
      <c r="H9" s="36"/>
      <c r="J9" s="1"/>
    </row>
    <row r="11" spans="1:11">
      <c r="A11" t="s">
        <v>117</v>
      </c>
    </row>
    <row r="12" spans="1:11">
      <c r="A12" s="10" t="s">
        <v>17</v>
      </c>
      <c r="B12" s="33" t="s">
        <v>136</v>
      </c>
      <c r="C12" s="33"/>
      <c r="D12" s="33" t="s">
        <v>27</v>
      </c>
      <c r="E12" s="33"/>
      <c r="F12" s="33"/>
      <c r="G12" s="33"/>
      <c r="H12" s="33"/>
    </row>
    <row r="13" spans="1:11">
      <c r="A13" s="11" t="s">
        <v>118</v>
      </c>
      <c r="B13" s="31" t="s">
        <v>120</v>
      </c>
      <c r="C13" s="31"/>
      <c r="D13" s="32" t="s">
        <v>123</v>
      </c>
      <c r="E13" s="32"/>
      <c r="F13" s="32"/>
      <c r="G13" s="32"/>
      <c r="H13" s="32"/>
    </row>
    <row r="14" spans="1:11">
      <c r="A14" s="11" t="s">
        <v>20</v>
      </c>
      <c r="B14" s="31" t="s">
        <v>133</v>
      </c>
      <c r="C14" s="31"/>
      <c r="D14" s="32" t="s">
        <v>124</v>
      </c>
      <c r="E14" s="32"/>
      <c r="F14" s="32"/>
      <c r="G14" s="32"/>
      <c r="H14" s="32"/>
    </row>
    <row r="15" spans="1:11">
      <c r="A15" s="11" t="s">
        <v>119</v>
      </c>
      <c r="B15" s="31" t="s">
        <v>121</v>
      </c>
      <c r="C15" s="31"/>
      <c r="D15" s="32" t="s">
        <v>125</v>
      </c>
      <c r="E15" s="32"/>
      <c r="F15" s="32"/>
      <c r="G15" s="32"/>
      <c r="H15" s="32"/>
    </row>
    <row r="16" spans="1:11">
      <c r="A16" s="11" t="s">
        <v>122</v>
      </c>
      <c r="B16" s="31" t="s">
        <v>134</v>
      </c>
      <c r="C16" s="31"/>
      <c r="D16" s="32" t="s">
        <v>126</v>
      </c>
      <c r="E16" s="32"/>
      <c r="F16" s="32"/>
      <c r="G16" s="32"/>
      <c r="H16" s="32"/>
    </row>
    <row r="17" spans="1:13">
      <c r="B17" s="7"/>
    </row>
    <row r="18" spans="1:13">
      <c r="A18" t="s">
        <v>127</v>
      </c>
      <c r="B18" s="7"/>
    </row>
    <row r="19" spans="1:13">
      <c r="A19" t="s">
        <v>128</v>
      </c>
      <c r="B19" s="7"/>
    </row>
    <row r="20" spans="1:13">
      <c r="A20" t="s">
        <v>129</v>
      </c>
      <c r="B20" s="7"/>
    </row>
    <row r="21" spans="1:13" ht="22">
      <c r="A21" s="1" t="s">
        <v>66</v>
      </c>
      <c r="B21" s="9" t="s">
        <v>132</v>
      </c>
    </row>
    <row r="22" spans="1:13" ht="22">
      <c r="A22" s="1" t="s">
        <v>67</v>
      </c>
      <c r="B22" s="8" t="s">
        <v>131</v>
      </c>
    </row>
    <row r="23" spans="1:13" ht="22">
      <c r="A23" s="1" t="s">
        <v>68</v>
      </c>
      <c r="B23" t="s">
        <v>130</v>
      </c>
    </row>
    <row r="25" spans="1:13">
      <c r="A25" s="3" t="s">
        <v>150</v>
      </c>
      <c r="B25" s="6"/>
      <c r="C25" s="6"/>
      <c r="D25" s="1"/>
      <c r="E25" s="1"/>
      <c r="F25" s="1"/>
      <c r="G25" s="1"/>
      <c r="H25" s="1"/>
      <c r="I25" s="1"/>
      <c r="J25" s="1"/>
      <c r="K25" s="1"/>
      <c r="L25" s="1"/>
      <c r="M25" s="1"/>
    </row>
    <row r="26" spans="1:13">
      <c r="A26" s="19" t="s">
        <v>146</v>
      </c>
      <c r="B26" s="14" t="s">
        <v>248</v>
      </c>
      <c r="C26" s="19" t="s">
        <v>147</v>
      </c>
      <c r="D26" s="14">
        <v>3</v>
      </c>
      <c r="E26" s="19" t="s">
        <v>40</v>
      </c>
      <c r="F26" s="11">
        <f>IF(B26="A",((-0.00000028)*F27^4+0.00004915*F27^3+(-0.00337375)*F27^2+0.1677306*F27+0.53976823)*D27,
IF(B26="B",((-0.00000023)*F27^4+0.00003846*F27^3-0.00262028*F27^2+0.27495836*F27+0.14075609)*D27,
(-0.00000001*F27^4-0.00001462*F27^3+0.00247677*F27^2+0.38073934*F27-0.24312323)*D27))</f>
        <v>3.0555939419999998</v>
      </c>
    </row>
    <row r="27" spans="1:13">
      <c r="A27" s="1"/>
      <c r="C27" s="19" t="s">
        <v>149</v>
      </c>
      <c r="D27" s="14">
        <v>0.6</v>
      </c>
      <c r="E27" s="19" t="s">
        <v>148</v>
      </c>
      <c r="F27" s="11">
        <v>13</v>
      </c>
    </row>
    <row r="28" spans="1:13">
      <c r="A28" s="1"/>
      <c r="C28" s="1"/>
    </row>
    <row r="29" spans="1:13">
      <c r="A29" s="37" t="s">
        <v>151</v>
      </c>
      <c r="B29" s="37"/>
      <c r="C29" s="37"/>
      <c r="D29" s="37" t="s">
        <v>177</v>
      </c>
      <c r="E29" s="37"/>
      <c r="F29" s="18" t="s">
        <v>209</v>
      </c>
      <c r="G29" s="18" t="s">
        <v>178</v>
      </c>
      <c r="H29" s="18" t="s">
        <v>146</v>
      </c>
      <c r="I29" s="18" t="s">
        <v>149</v>
      </c>
      <c r="J29" s="18" t="s">
        <v>147</v>
      </c>
      <c r="K29" s="18" t="s">
        <v>40</v>
      </c>
      <c r="L29" s="18" t="s">
        <v>208</v>
      </c>
      <c r="M29" s="18" t="s">
        <v>253</v>
      </c>
    </row>
    <row r="30" spans="1:13">
      <c r="A30" s="38" t="s">
        <v>154</v>
      </c>
      <c r="B30" s="38"/>
      <c r="C30" s="38"/>
      <c r="D30" s="38" t="s">
        <v>154</v>
      </c>
      <c r="E30" s="38"/>
      <c r="F30" s="1" t="s">
        <v>210</v>
      </c>
      <c r="G30" s="1" t="s">
        <v>81</v>
      </c>
      <c r="H30" s="1" t="s">
        <v>152</v>
      </c>
      <c r="I30" s="20">
        <v>0.6</v>
      </c>
      <c r="J30" s="1">
        <v>3</v>
      </c>
      <c r="K30" s="20">
        <f>IF(H30="A",((-0.00000028)*L30^4+0.00004915*L30^3+(-0.00337375)*L30^2+0.1677306*L30+0.53976823)*I30,
IF(H30="B",((-0.00000023)*L30^4+0.00003846*L30^3-0.00262028*L30^2+0.27495836*L30+0.14075609)*I30,
(-0.00000001*L30^4-0.00001462*L30^3+0.00247677*L30^2+0.38073934*L30-0.24312323)*I30))</f>
        <v>3.0031233126624</v>
      </c>
      <c r="L30" s="20">
        <v>12.8</v>
      </c>
      <c r="M30" s="1" t="s">
        <v>255</v>
      </c>
    </row>
    <row r="31" spans="1:13">
      <c r="A31" s="38" t="s">
        <v>155</v>
      </c>
      <c r="B31" s="38"/>
      <c r="C31" s="38"/>
      <c r="D31" s="38" t="str">
        <f>A31</f>
        <v>IMP</v>
      </c>
      <c r="E31" s="38"/>
      <c r="F31" s="1" t="s">
        <v>211</v>
      </c>
      <c r="G31" s="1" t="s">
        <v>197</v>
      </c>
      <c r="H31" s="1" t="s">
        <v>153</v>
      </c>
      <c r="I31" s="20">
        <v>13</v>
      </c>
      <c r="J31" s="1">
        <v>40</v>
      </c>
      <c r="K31" s="20">
        <f t="shared" ref="K31:K61" si="0">IF(H31="A",((-0.00000028)*L31^4+0.00004915*L31^3+(-0.00337375)*L31^2+0.1677306*L31+0.53976823)*I31,
IF(H31="B",((-0.00000023)*L31^4+0.00003846*L31^3-0.00262028*L31^2+0.27495836*L31+0.14075609)*I31,
(-0.00000001*L31^4-0.00001462*L31^3+0.00247677*L31^2+0.38073934*L31-0.24312323)*I31))</f>
        <v>40.028934044736005</v>
      </c>
      <c r="L31" s="20">
        <v>11.8</v>
      </c>
      <c r="M31" s="1" t="s">
        <v>255</v>
      </c>
    </row>
    <row r="32" spans="1:13">
      <c r="A32" s="38" t="s">
        <v>156</v>
      </c>
      <c r="B32" s="38"/>
      <c r="C32" s="38"/>
      <c r="D32" s="38" t="str">
        <f t="shared" ref="D32:D59" si="1">A32</f>
        <v>MIBG（腫瘍）</v>
      </c>
      <c r="E32" s="38"/>
      <c r="F32" s="1" t="s">
        <v>212</v>
      </c>
      <c r="G32" s="1" t="s">
        <v>198</v>
      </c>
      <c r="H32" s="1" t="s">
        <v>153</v>
      </c>
      <c r="I32" s="20">
        <v>28</v>
      </c>
      <c r="J32" s="1">
        <v>40</v>
      </c>
      <c r="K32" s="20">
        <f>IF(H32="A",((-0.00000028)*L32^4+0.00004915*L32^3+(-0.00337375)*L32^2+0.1677306*L32+0.53976823)*I32,
IF(H32="B",((-0.00000023)*L32^4+0.00003846*L32^3-0.00262028*L32^2+0.27495836*L32+0.14075609)*I32,
(-0.00000001*L32^4-0.00001462*L32^3+0.00247677*L32^2+0.38073934*L32-0.24312323)*I32))</f>
        <v>40.026876996876005</v>
      </c>
      <c r="L32" s="20">
        <v>4.9000000000000004</v>
      </c>
      <c r="M32" s="1" t="s">
        <v>254</v>
      </c>
    </row>
    <row r="33" spans="1:13">
      <c r="A33" s="38" t="s">
        <v>157</v>
      </c>
      <c r="B33" s="38"/>
      <c r="C33" s="38"/>
      <c r="D33" s="38" t="str">
        <f t="shared" si="1"/>
        <v>MIBG（心筋）</v>
      </c>
      <c r="E33" s="38"/>
      <c r="F33" s="1" t="s">
        <v>213</v>
      </c>
      <c r="G33" s="1" t="s">
        <v>199</v>
      </c>
      <c r="H33" s="1" t="s">
        <v>153</v>
      </c>
      <c r="I33" s="20">
        <v>7.9</v>
      </c>
      <c r="J33" s="1">
        <v>16</v>
      </c>
      <c r="K33" s="20">
        <f t="shared" si="0"/>
        <v>15.978744065508298</v>
      </c>
      <c r="L33" s="20">
        <v>7.3</v>
      </c>
      <c r="M33" s="1" t="s">
        <v>254</v>
      </c>
    </row>
    <row r="34" spans="1:13">
      <c r="A34" s="38" t="s">
        <v>158</v>
      </c>
      <c r="B34" s="38"/>
      <c r="C34" s="38"/>
      <c r="D34" s="38" t="str">
        <f t="shared" si="1"/>
        <v>イオマゼニル</v>
      </c>
      <c r="E34" s="38"/>
      <c r="F34" s="1" t="s">
        <v>214</v>
      </c>
      <c r="G34" s="1" t="s">
        <v>197</v>
      </c>
      <c r="H34" s="1" t="s">
        <v>153</v>
      </c>
      <c r="I34" s="20">
        <v>13</v>
      </c>
      <c r="J34" s="1">
        <v>40</v>
      </c>
      <c r="K34" s="20">
        <f t="shared" si="0"/>
        <v>40.028934044736005</v>
      </c>
      <c r="L34" s="20">
        <v>11.8</v>
      </c>
      <c r="M34" s="1" t="s">
        <v>254</v>
      </c>
    </row>
    <row r="35" spans="1:13">
      <c r="A35" s="38" t="s">
        <v>159</v>
      </c>
      <c r="B35" s="38"/>
      <c r="C35" s="38"/>
      <c r="D35" s="38" t="str">
        <f t="shared" si="1"/>
        <v>BMIPP</v>
      </c>
      <c r="E35" s="38"/>
      <c r="F35" s="1" t="s">
        <v>215</v>
      </c>
      <c r="G35" s="1" t="s">
        <v>200</v>
      </c>
      <c r="H35" s="1" t="s">
        <v>153</v>
      </c>
      <c r="I35" s="20">
        <v>7.9</v>
      </c>
      <c r="J35" s="1">
        <v>16</v>
      </c>
      <c r="K35" s="20">
        <f t="shared" si="0"/>
        <v>15.978744065508298</v>
      </c>
      <c r="L35" s="20">
        <v>7.3</v>
      </c>
      <c r="M35" s="1" t="s">
        <v>254</v>
      </c>
    </row>
    <row r="36" spans="1:13">
      <c r="A36" s="38" t="s">
        <v>160</v>
      </c>
      <c r="B36" s="38"/>
      <c r="C36" s="38"/>
      <c r="D36" s="38" t="str">
        <f t="shared" si="1"/>
        <v>FDG（体幹）</v>
      </c>
      <c r="E36" s="38"/>
      <c r="F36" s="1" t="s">
        <v>216</v>
      </c>
      <c r="G36" s="1" t="s">
        <v>201</v>
      </c>
      <c r="H36" s="1" t="s">
        <v>153</v>
      </c>
      <c r="I36" s="20">
        <v>18</v>
      </c>
      <c r="J36" s="1">
        <v>26</v>
      </c>
      <c r="K36" s="20">
        <f t="shared" si="0"/>
        <v>26.18468352</v>
      </c>
      <c r="L36" s="20">
        <v>5</v>
      </c>
      <c r="M36" s="1" t="s">
        <v>256</v>
      </c>
    </row>
    <row r="37" spans="1:13">
      <c r="A37" s="38" t="s">
        <v>161</v>
      </c>
      <c r="B37" s="38"/>
      <c r="C37" s="38"/>
      <c r="D37" s="38" t="str">
        <f t="shared" si="1"/>
        <v>FDG（脳）</v>
      </c>
      <c r="E37" s="38"/>
      <c r="F37" s="1" t="s">
        <v>217</v>
      </c>
      <c r="G37" s="1" t="s">
        <v>198</v>
      </c>
      <c r="H37" s="1" t="s">
        <v>153</v>
      </c>
      <c r="I37" s="20">
        <v>14</v>
      </c>
      <c r="J37" s="1">
        <v>14</v>
      </c>
      <c r="K37" s="20">
        <f t="shared" si="0"/>
        <v>13.930382407648002</v>
      </c>
      <c r="L37" s="20">
        <v>3.2</v>
      </c>
      <c r="M37" s="1" t="s">
        <v>256</v>
      </c>
    </row>
    <row r="38" spans="1:13">
      <c r="A38" s="38" t="s">
        <v>162</v>
      </c>
      <c r="B38" s="38"/>
      <c r="C38" s="38"/>
      <c r="D38" s="38" t="str">
        <f t="shared" si="1"/>
        <v>クエン酸</v>
      </c>
      <c r="E38" s="38"/>
      <c r="F38" s="1" t="s">
        <v>218</v>
      </c>
      <c r="G38" s="1" t="s">
        <v>198</v>
      </c>
      <c r="H38" s="1" t="s">
        <v>153</v>
      </c>
      <c r="I38" s="20">
        <v>8</v>
      </c>
      <c r="J38" s="1">
        <v>24</v>
      </c>
      <c r="K38" s="20">
        <f t="shared" si="0"/>
        <v>24.085722705000002</v>
      </c>
      <c r="L38" s="20">
        <v>11.5</v>
      </c>
      <c r="M38" s="1" t="s">
        <v>257</v>
      </c>
    </row>
    <row r="39" spans="1:13">
      <c r="A39" s="38" t="s">
        <v>163</v>
      </c>
      <c r="B39" s="38"/>
      <c r="C39" s="38"/>
      <c r="D39" s="38" t="str">
        <f t="shared" si="1"/>
        <v>アルブミン（心プール）</v>
      </c>
      <c r="E39" s="38"/>
      <c r="F39" s="1" t="s">
        <v>219</v>
      </c>
      <c r="G39" s="1" t="s">
        <v>199</v>
      </c>
      <c r="H39" s="1" t="s">
        <v>153</v>
      </c>
      <c r="I39" s="20">
        <v>56</v>
      </c>
      <c r="J39" s="1">
        <v>80</v>
      </c>
      <c r="K39" s="20">
        <f t="shared" si="0"/>
        <v>80.053753993752011</v>
      </c>
      <c r="L39" s="20">
        <v>4.9000000000000004</v>
      </c>
      <c r="M39" s="1" t="s">
        <v>258</v>
      </c>
    </row>
    <row r="40" spans="1:13">
      <c r="A40" s="38" t="s">
        <v>164</v>
      </c>
      <c r="B40" s="38"/>
      <c r="C40" s="38"/>
      <c r="D40" s="38" t="str">
        <f t="shared" si="1"/>
        <v>スズコロイド（肝脾）</v>
      </c>
      <c r="E40" s="38"/>
      <c r="F40" s="1" t="s">
        <v>220</v>
      </c>
      <c r="G40" s="1" t="s">
        <v>202</v>
      </c>
      <c r="H40" s="1" t="s">
        <v>153</v>
      </c>
      <c r="I40" s="20">
        <v>5.6</v>
      </c>
      <c r="J40" s="1">
        <v>15</v>
      </c>
      <c r="K40" s="20">
        <f t="shared" si="0"/>
        <v>15.051527402447201</v>
      </c>
      <c r="L40" s="20">
        <v>10.1</v>
      </c>
      <c r="M40" s="1" t="s">
        <v>258</v>
      </c>
    </row>
    <row r="41" spans="1:13">
      <c r="A41" s="38" t="s">
        <v>165</v>
      </c>
      <c r="B41" s="38"/>
      <c r="C41" s="38"/>
      <c r="D41" s="38" t="str">
        <f t="shared" si="1"/>
        <v>スズコロイド（骨髄）</v>
      </c>
      <c r="E41" s="38"/>
      <c r="F41" s="1" t="s">
        <v>221</v>
      </c>
      <c r="G41" s="1" t="s">
        <v>81</v>
      </c>
      <c r="H41" s="1" t="s">
        <v>153</v>
      </c>
      <c r="I41" s="20">
        <v>21</v>
      </c>
      <c r="J41" s="1">
        <v>21</v>
      </c>
      <c r="K41" s="20">
        <f t="shared" si="0"/>
        <v>20.895573611472003</v>
      </c>
      <c r="L41" s="20">
        <v>3.2</v>
      </c>
      <c r="M41" s="1" t="s">
        <v>258</v>
      </c>
    </row>
    <row r="42" spans="1:13">
      <c r="A42" s="38" t="s">
        <v>166</v>
      </c>
      <c r="B42" s="38"/>
      <c r="C42" s="38"/>
      <c r="D42" s="38" t="str">
        <f t="shared" si="1"/>
        <v>フィチン酸（肝脾）</v>
      </c>
      <c r="E42" s="38"/>
      <c r="F42" s="1" t="s">
        <v>222</v>
      </c>
      <c r="G42" s="1" t="s">
        <v>203</v>
      </c>
      <c r="H42" s="1" t="s">
        <v>153</v>
      </c>
      <c r="I42" s="20">
        <v>5.6</v>
      </c>
      <c r="J42" s="1">
        <v>15</v>
      </c>
      <c r="K42" s="20">
        <f t="shared" si="0"/>
        <v>15.051527402447201</v>
      </c>
      <c r="L42" s="20">
        <v>10.1</v>
      </c>
      <c r="M42" s="1" t="s">
        <v>258</v>
      </c>
    </row>
    <row r="43" spans="1:13">
      <c r="A43" s="38" t="s">
        <v>167</v>
      </c>
      <c r="B43" s="38"/>
      <c r="C43" s="38"/>
      <c r="D43" s="38" t="s">
        <v>179</v>
      </c>
      <c r="E43" s="38"/>
      <c r="F43" s="1" t="s">
        <v>223</v>
      </c>
      <c r="G43" s="1" t="s">
        <v>81</v>
      </c>
      <c r="H43" s="1" t="s">
        <v>153</v>
      </c>
      <c r="I43" s="20">
        <v>2.8</v>
      </c>
      <c r="J43" s="1">
        <v>10</v>
      </c>
      <c r="K43" s="20">
        <f t="shared" si="0"/>
        <v>10.005231067999999</v>
      </c>
      <c r="L43" s="20">
        <v>14</v>
      </c>
      <c r="M43" s="1" t="s">
        <v>258</v>
      </c>
    </row>
    <row r="44" spans="1:13">
      <c r="A44" s="38" t="s">
        <v>168</v>
      </c>
      <c r="B44" s="38"/>
      <c r="C44" s="38"/>
      <c r="D44" s="38" t="str">
        <f t="shared" si="1"/>
        <v>MDP/HMDP</v>
      </c>
      <c r="E44" s="38"/>
      <c r="F44" s="1" t="s">
        <v>224</v>
      </c>
      <c r="G44" s="1" t="s">
        <v>204</v>
      </c>
      <c r="H44" s="1" t="s">
        <v>153</v>
      </c>
      <c r="I44" s="20">
        <v>35</v>
      </c>
      <c r="J44" s="1">
        <v>40</v>
      </c>
      <c r="K44" s="20">
        <f t="shared" si="0"/>
        <v>40.24382018272</v>
      </c>
      <c r="L44" s="20">
        <v>3.8</v>
      </c>
      <c r="M44" s="1" t="s">
        <v>258</v>
      </c>
    </row>
    <row r="45" spans="1:13">
      <c r="A45" s="38" t="s">
        <v>169</v>
      </c>
      <c r="B45" s="38"/>
      <c r="C45" s="38"/>
      <c r="D45" s="38" t="str">
        <f t="shared" si="1"/>
        <v>DMSA</v>
      </c>
      <c r="E45" s="38"/>
      <c r="F45" s="1" t="s">
        <v>225</v>
      </c>
      <c r="G45" s="1" t="s">
        <v>205</v>
      </c>
      <c r="H45" s="1" t="s">
        <v>196</v>
      </c>
      <c r="I45" s="20">
        <v>20</v>
      </c>
      <c r="J45" s="1">
        <v>20</v>
      </c>
      <c r="K45" s="20">
        <f t="shared" si="0"/>
        <v>19.979852959639999</v>
      </c>
      <c r="L45" s="20">
        <v>2.9</v>
      </c>
      <c r="M45" s="1" t="s">
        <v>258</v>
      </c>
    </row>
    <row r="46" spans="1:13">
      <c r="A46" s="38" t="s">
        <v>170</v>
      </c>
      <c r="B46" s="38"/>
      <c r="C46" s="38"/>
      <c r="D46" s="38" t="str">
        <f t="shared" si="1"/>
        <v>DTPA</v>
      </c>
      <c r="E46" s="38"/>
      <c r="F46" s="1" t="s">
        <v>226</v>
      </c>
      <c r="G46" s="1" t="s">
        <v>206</v>
      </c>
      <c r="H46" s="1" t="s">
        <v>196</v>
      </c>
      <c r="I46" s="20">
        <v>34</v>
      </c>
      <c r="J46" s="1">
        <v>20</v>
      </c>
      <c r="K46" s="20">
        <f t="shared" si="0"/>
        <v>20.052693307588001</v>
      </c>
      <c r="L46" s="20">
        <v>0.3</v>
      </c>
      <c r="M46" s="1" t="s">
        <v>258</v>
      </c>
    </row>
    <row r="47" spans="1:13">
      <c r="A47" s="38" t="s">
        <v>171</v>
      </c>
      <c r="B47" s="38"/>
      <c r="C47" s="38"/>
      <c r="D47" s="38" t="str">
        <f t="shared" si="1"/>
        <v>MAG3</v>
      </c>
      <c r="E47" s="38"/>
      <c r="F47" s="1" t="s">
        <v>227</v>
      </c>
      <c r="G47" s="1" t="s">
        <v>206</v>
      </c>
      <c r="H47" s="1" t="s">
        <v>196</v>
      </c>
      <c r="I47" s="20">
        <v>34</v>
      </c>
      <c r="J47" s="1">
        <v>20</v>
      </c>
      <c r="K47" s="20">
        <f t="shared" si="0"/>
        <v>20.052693307588001</v>
      </c>
      <c r="L47" s="20">
        <v>0.3</v>
      </c>
      <c r="M47" s="1" t="s">
        <v>258</v>
      </c>
    </row>
    <row r="48" spans="1:13">
      <c r="A48" s="38" t="s">
        <v>172</v>
      </c>
      <c r="B48" s="38"/>
      <c r="C48" s="38"/>
      <c r="D48" s="38" t="str">
        <f t="shared" si="1"/>
        <v>ECD</v>
      </c>
      <c r="E48" s="38"/>
      <c r="F48" s="1" t="s">
        <v>228</v>
      </c>
      <c r="G48" s="1" t="s">
        <v>197</v>
      </c>
      <c r="H48" s="1" t="s">
        <v>153</v>
      </c>
      <c r="I48" s="20">
        <v>51.8</v>
      </c>
      <c r="J48" s="1">
        <v>150</v>
      </c>
      <c r="K48" s="20">
        <f t="shared" si="0"/>
        <v>150.01627059999998</v>
      </c>
      <c r="L48" s="20">
        <v>11</v>
      </c>
      <c r="M48" s="1" t="s">
        <v>258</v>
      </c>
    </row>
    <row r="49" spans="1:13">
      <c r="A49" s="38" t="s">
        <v>173</v>
      </c>
      <c r="B49" s="38"/>
      <c r="C49" s="38"/>
      <c r="D49" s="38" t="str">
        <f t="shared" si="1"/>
        <v>HMPAO</v>
      </c>
      <c r="E49" s="38"/>
      <c r="F49" s="1" t="s">
        <v>229</v>
      </c>
      <c r="G49" s="1" t="s">
        <v>197</v>
      </c>
      <c r="H49" s="1" t="s">
        <v>153</v>
      </c>
      <c r="I49" s="20">
        <v>51.8</v>
      </c>
      <c r="J49" s="1">
        <v>100</v>
      </c>
      <c r="K49" s="20">
        <f>IF(H49="A",((-0.00000028)*L49^4+0.00004915*L49^3+(-0.00337375)*L49^2+0.1677306*L49+0.53976823)*I49,
IF(H49="B",((-0.00000023)*L49^4+0.00003846*L49^3-0.00262028*L49^2+0.27495836*L49+0.14075609)*I49,
(-0.00000001*L49^4-0.00001462*L49^3+0.00247677*L49^2+0.38073934*L49-0.24312323)*I49))</f>
        <v>99.732112417852591</v>
      </c>
      <c r="L49" s="20">
        <v>6.9</v>
      </c>
      <c r="M49" s="1" t="s">
        <v>258</v>
      </c>
    </row>
    <row r="50" spans="1:13">
      <c r="A50" s="38" t="s">
        <v>174</v>
      </c>
      <c r="B50" s="38"/>
      <c r="C50" s="38"/>
      <c r="D50" s="38" t="str">
        <f t="shared" si="1"/>
        <v>PMT</v>
      </c>
      <c r="E50" s="38"/>
      <c r="F50" s="1" t="s">
        <v>230</v>
      </c>
      <c r="G50" s="1" t="s">
        <v>202</v>
      </c>
      <c r="H50" s="1" t="s">
        <v>153</v>
      </c>
      <c r="I50" s="20">
        <v>10.5</v>
      </c>
      <c r="J50" s="1">
        <v>20</v>
      </c>
      <c r="K50" s="20">
        <f t="shared" si="0"/>
        <v>19.959580975655999</v>
      </c>
      <c r="L50" s="20">
        <v>6.8</v>
      </c>
      <c r="M50" s="1" t="s">
        <v>258</v>
      </c>
    </row>
    <row r="51" spans="1:13">
      <c r="A51" s="38" t="s">
        <v>93</v>
      </c>
      <c r="B51" s="38"/>
      <c r="C51" s="38"/>
      <c r="D51" s="38" t="str">
        <f t="shared" si="1"/>
        <v>MAA</v>
      </c>
      <c r="E51" s="38"/>
      <c r="F51" s="1" t="s">
        <v>231</v>
      </c>
      <c r="G51" s="1" t="s">
        <v>207</v>
      </c>
      <c r="H51" s="1" t="s">
        <v>153</v>
      </c>
      <c r="I51" s="20">
        <v>13.2</v>
      </c>
      <c r="J51" s="1">
        <v>25</v>
      </c>
      <c r="K51" s="20">
        <f t="shared" si="0"/>
        <v>25.092044655110399</v>
      </c>
      <c r="L51" s="20">
        <v>6.8</v>
      </c>
      <c r="M51" s="1" t="s">
        <v>258</v>
      </c>
    </row>
    <row r="52" spans="1:13">
      <c r="A52" s="38" t="s">
        <v>175</v>
      </c>
      <c r="B52" s="38"/>
      <c r="C52" s="38"/>
      <c r="D52" s="38" t="s">
        <v>194</v>
      </c>
      <c r="E52" s="38"/>
      <c r="F52" s="1" t="s">
        <v>232</v>
      </c>
      <c r="G52" s="1" t="s">
        <v>81</v>
      </c>
      <c r="H52" s="1" t="s">
        <v>153</v>
      </c>
      <c r="I52" s="20">
        <v>5.6</v>
      </c>
      <c r="J52" s="1">
        <v>10</v>
      </c>
      <c r="K52" s="20">
        <f t="shared" si="0"/>
        <v>9.9581962721751989</v>
      </c>
      <c r="L52" s="20">
        <v>6.3</v>
      </c>
      <c r="M52" s="1" t="s">
        <v>258</v>
      </c>
    </row>
    <row r="53" spans="1:13">
      <c r="A53" s="38" t="s">
        <v>176</v>
      </c>
      <c r="B53" s="38"/>
      <c r="C53" s="38"/>
      <c r="D53" s="38" t="s">
        <v>195</v>
      </c>
      <c r="E53" s="38"/>
      <c r="F53" s="1" t="s">
        <v>233</v>
      </c>
      <c r="G53" s="1" t="s">
        <v>81</v>
      </c>
      <c r="H53" s="1" t="s">
        <v>153</v>
      </c>
      <c r="I53" s="20">
        <v>10.5</v>
      </c>
      <c r="J53" s="1">
        <v>20</v>
      </c>
      <c r="K53" s="20">
        <f t="shared" si="0"/>
        <v>19.959580975655999</v>
      </c>
      <c r="L53" s="20">
        <v>6.8</v>
      </c>
      <c r="M53" s="1" t="s">
        <v>258</v>
      </c>
    </row>
    <row r="54" spans="1:13">
      <c r="A54" s="38" t="s">
        <v>180</v>
      </c>
      <c r="B54" s="38"/>
      <c r="C54" s="38"/>
      <c r="D54" s="38" t="str">
        <f t="shared" si="1"/>
        <v>RBC</v>
      </c>
      <c r="E54" s="38"/>
      <c r="F54" s="1" t="s">
        <v>234</v>
      </c>
      <c r="G54" s="1" t="s">
        <v>81</v>
      </c>
      <c r="H54" s="1" t="s">
        <v>153</v>
      </c>
      <c r="I54" s="20">
        <v>56</v>
      </c>
      <c r="J54" s="1">
        <v>80</v>
      </c>
      <c r="K54" s="20">
        <f t="shared" si="0"/>
        <v>80.053753993752011</v>
      </c>
      <c r="L54" s="20">
        <v>4.9000000000000004</v>
      </c>
      <c r="M54" s="1" t="s">
        <v>258</v>
      </c>
    </row>
    <row r="55" spans="1:13">
      <c r="A55" s="38" t="s">
        <v>181</v>
      </c>
      <c r="B55" s="38"/>
      <c r="C55" s="38"/>
      <c r="D55" s="38" t="s">
        <v>190</v>
      </c>
      <c r="E55" s="38"/>
      <c r="F55" s="1" t="s">
        <v>235</v>
      </c>
      <c r="G55" s="1" t="s">
        <v>198</v>
      </c>
      <c r="H55" s="1" t="s">
        <v>153</v>
      </c>
      <c r="I55" s="20">
        <v>63</v>
      </c>
      <c r="J55" s="1">
        <v>80</v>
      </c>
      <c r="K55" s="20">
        <f t="shared" si="0"/>
        <v>80.489257858610998</v>
      </c>
      <c r="L55" s="20">
        <v>4.3</v>
      </c>
      <c r="M55" s="1" t="s">
        <v>258</v>
      </c>
    </row>
    <row r="56" spans="1:13">
      <c r="A56" s="39" t="s">
        <v>182</v>
      </c>
      <c r="B56" s="39"/>
      <c r="C56" s="39"/>
      <c r="D56" s="38" t="s">
        <v>191</v>
      </c>
      <c r="E56" s="38"/>
      <c r="F56" s="1" t="s">
        <v>236</v>
      </c>
      <c r="G56" s="1" t="s">
        <v>199</v>
      </c>
      <c r="H56" s="1" t="s">
        <v>153</v>
      </c>
      <c r="I56" s="20">
        <v>63</v>
      </c>
      <c r="J56" s="1">
        <v>80</v>
      </c>
      <c r="K56" s="20">
        <f t="shared" si="0"/>
        <v>80.489257858610998</v>
      </c>
      <c r="L56" s="20">
        <v>4.3</v>
      </c>
      <c r="M56" s="1" t="s">
        <v>258</v>
      </c>
    </row>
    <row r="57" spans="1:13">
      <c r="A57" s="39" t="s">
        <v>183</v>
      </c>
      <c r="B57" s="39"/>
      <c r="C57" s="39"/>
      <c r="D57" s="38" t="s">
        <v>192</v>
      </c>
      <c r="E57" s="38"/>
      <c r="F57" s="1" t="s">
        <v>237</v>
      </c>
      <c r="G57" s="1" t="s">
        <v>199</v>
      </c>
      <c r="H57" s="1" t="s">
        <v>153</v>
      </c>
      <c r="I57" s="20">
        <v>28</v>
      </c>
      <c r="J57" s="1">
        <v>80</v>
      </c>
      <c r="K57" s="20">
        <f t="shared" si="0"/>
        <v>79.799896895936001</v>
      </c>
      <c r="L57" s="20">
        <v>10.8</v>
      </c>
      <c r="M57" s="1" t="s">
        <v>258</v>
      </c>
    </row>
    <row r="58" spans="1:13">
      <c r="A58" s="39" t="s">
        <v>184</v>
      </c>
      <c r="B58" s="39"/>
      <c r="C58" s="39"/>
      <c r="D58" s="38" t="s">
        <v>193</v>
      </c>
      <c r="E58" s="38"/>
      <c r="F58" s="1" t="s">
        <v>238</v>
      </c>
      <c r="G58" s="1" t="s">
        <v>199</v>
      </c>
      <c r="H58" s="1" t="s">
        <v>153</v>
      </c>
      <c r="I58" s="20">
        <v>84</v>
      </c>
      <c r="J58" s="1">
        <v>160</v>
      </c>
      <c r="K58" s="20">
        <f t="shared" si="0"/>
        <v>159.676647805248</v>
      </c>
      <c r="L58" s="20">
        <v>6.8</v>
      </c>
      <c r="M58" s="1" t="s">
        <v>258</v>
      </c>
    </row>
    <row r="59" spans="1:13">
      <c r="A59" s="38" t="s">
        <v>185</v>
      </c>
      <c r="B59" s="38"/>
      <c r="C59" s="38"/>
      <c r="D59" s="38" t="str">
        <f t="shared" si="1"/>
        <v>GSA</v>
      </c>
      <c r="E59" s="38"/>
      <c r="F59" s="1" t="s">
        <v>239</v>
      </c>
      <c r="G59" s="1" t="s">
        <v>202</v>
      </c>
      <c r="H59" s="1" t="s">
        <v>153</v>
      </c>
      <c r="I59" s="20">
        <v>13.2</v>
      </c>
      <c r="J59" s="1">
        <v>26</v>
      </c>
      <c r="K59" s="20">
        <f>IF(H59="A",((-0.00000028)*L59^4+0.00004915*L59^3+(-0.00337375)*L59^2+0.1677306*L59+0.53976823)*I59,
IF(H59="B",((-0.00000023)*L59^4+0.00003846*L59^3-0.00262028*L59^2+0.27495836*L59+0.14075609)*I59,
(-0.00000001*L59^4-0.00001462*L59^3+0.00247677*L59^2+0.38073934*L59-0.24312323)*I59))</f>
        <v>26.057498538680399</v>
      </c>
      <c r="L59" s="20">
        <v>7.1</v>
      </c>
      <c r="M59" s="1" t="s">
        <v>258</v>
      </c>
    </row>
    <row r="60" spans="1:13">
      <c r="A60" s="38" t="s">
        <v>186</v>
      </c>
      <c r="B60" s="38"/>
      <c r="C60" s="38"/>
      <c r="D60" s="38" t="s">
        <v>189</v>
      </c>
      <c r="E60" s="38"/>
      <c r="F60" s="1" t="s">
        <v>240</v>
      </c>
      <c r="G60" s="1" t="s">
        <v>198</v>
      </c>
      <c r="H60" s="1" t="s">
        <v>153</v>
      </c>
      <c r="I60" s="20">
        <v>5.3</v>
      </c>
      <c r="J60" s="1">
        <v>11</v>
      </c>
      <c r="K60" s="20">
        <f t="shared" si="0"/>
        <v>10.976568276062498</v>
      </c>
      <c r="L60" s="20">
        <v>7.5</v>
      </c>
      <c r="M60" s="1" t="s">
        <v>259</v>
      </c>
    </row>
    <row r="61" spans="1:13">
      <c r="A61" s="38" t="s">
        <v>187</v>
      </c>
      <c r="B61" s="38"/>
      <c r="C61" s="38"/>
      <c r="D61" s="38" t="s">
        <v>188</v>
      </c>
      <c r="E61" s="38"/>
      <c r="F61" s="1" t="s">
        <v>241</v>
      </c>
      <c r="G61" s="1" t="s">
        <v>81</v>
      </c>
      <c r="H61" s="1" t="s">
        <v>153</v>
      </c>
      <c r="I61" s="20">
        <v>5.3</v>
      </c>
      <c r="J61" s="1">
        <v>11</v>
      </c>
      <c r="K61" s="20">
        <f t="shared" si="0"/>
        <v>10.976568276062498</v>
      </c>
      <c r="L61" s="20">
        <v>7.5</v>
      </c>
      <c r="M61" s="1" t="s">
        <v>188</v>
      </c>
    </row>
    <row r="62" spans="1:13">
      <c r="J62" s="1"/>
    </row>
    <row r="1048551" spans="16384:16384">
      <c r="XFD1048551" cm="1">
        <f t="array" ref="XFD1048551">solver_pre</f>
        <v>9.9999999999999995E-7</v>
      </c>
    </row>
    <row r="1048552" spans="16384:16384">
      <c r="XFD1048552" cm="1">
        <f t="array" ref="XFD1048552">solver_scl</f>
        <v>1</v>
      </c>
    </row>
    <row r="1048553" spans="16384:16384">
      <c r="XFD1048553" cm="1">
        <f t="array" ref="XFD1048553">solver_rlx</f>
        <v>2</v>
      </c>
    </row>
    <row r="1048554" spans="16384:16384">
      <c r="XFD1048554" cm="1">
        <f t="array" ref="XFD1048554">solver_tol</f>
        <v>0.01</v>
      </c>
    </row>
    <row r="1048555" spans="16384:16384">
      <c r="XFD1048555" cm="1">
        <f t="array" ref="XFD1048555">solver_cvg</f>
        <v>9.9999999999999995E-8</v>
      </c>
    </row>
    <row r="1048556" spans="16384:16384">
      <c r="XFD1048556" t="e" cm="1">
        <f t="array" ref="XFD1048556">AREAS(solver_adj1)</f>
        <v>#NAME?</v>
      </c>
    </row>
    <row r="1048557" spans="16384:16384">
      <c r="XFD1048557" cm="1">
        <f t="array" ref="XFD1048557">solver_ssz</f>
        <v>100</v>
      </c>
    </row>
    <row r="1048558" spans="16384:16384">
      <c r="XFD1048558" cm="1">
        <f t="array" ref="XFD1048558">solver_rsd</f>
        <v>0</v>
      </c>
    </row>
    <row r="1048559" spans="16384:16384">
      <c r="XFD1048559" cm="1">
        <f t="array" ref="XFD1048559">solver_mrt</f>
        <v>7.4999999999999997E-2</v>
      </c>
    </row>
    <row r="1048560" spans="16384:16384">
      <c r="XFD1048560" cm="1">
        <f t="array" ref="XFD1048560">solver_mni</f>
        <v>30</v>
      </c>
    </row>
    <row r="1048561" spans="16384:16384">
      <c r="XFD1048561" cm="1">
        <f t="array" ref="XFD1048561">solver_rbv</f>
        <v>1</v>
      </c>
    </row>
    <row r="1048562" spans="16384:16384">
      <c r="XFD1048562" cm="1">
        <f t="array" ref="XFD1048562">solver_neg</f>
        <v>1</v>
      </c>
    </row>
    <row r="1048563" spans="16384:16384">
      <c r="XFD1048563" t="e" cm="1">
        <f t="array" ref="XFD1048563">solver_ntr</f>
        <v>#NAME?</v>
      </c>
    </row>
    <row r="1048564" spans="16384:16384">
      <c r="XFD1048564" t="e" cm="1">
        <f t="array" ref="XFD1048564">solver_acc</f>
        <v>#NAME?</v>
      </c>
    </row>
    <row r="1048565" spans="16384:16384">
      <c r="XFD1048565" t="e" cm="1">
        <f t="array" ref="XFD1048565">solver_res</f>
        <v>#NAME?</v>
      </c>
    </row>
    <row r="1048566" spans="16384:16384">
      <c r="XFD1048566" t="e" cm="1">
        <f t="array" ref="XFD1048566">solver_ars</f>
        <v>#NAME?</v>
      </c>
    </row>
    <row r="1048567" spans="16384:16384">
      <c r="XFD1048567" t="e" cm="1">
        <f t="array" ref="XFD1048567">solver_sta</f>
        <v>#NAME?</v>
      </c>
    </row>
    <row r="1048568" spans="16384:16384">
      <c r="XFD1048568" t="e" cm="1">
        <f t="array" ref="XFD1048568">solver_met</f>
        <v>#NAME?</v>
      </c>
    </row>
    <row r="1048569" spans="16384:16384">
      <c r="XFD1048569" t="e" cm="1">
        <f t="array" ref="XFD1048569">solver_soc</f>
        <v>#NAME?</v>
      </c>
    </row>
    <row r="1048570" spans="16384:16384">
      <c r="XFD1048570" t="e" cm="1">
        <f t="array" ref="XFD1048570">solver_lpt</f>
        <v>#NAME?</v>
      </c>
    </row>
    <row r="1048571" spans="16384:16384">
      <c r="XFD1048571" t="e" cm="1">
        <f t="array" ref="XFD1048571">solver_lpp</f>
        <v>#NAME?</v>
      </c>
    </row>
    <row r="1048572" spans="16384:16384">
      <c r="XFD1048572" t="e" cm="1">
        <f t="array" ref="XFD1048572">solver_gap</f>
        <v>#NAME?</v>
      </c>
    </row>
    <row r="1048573" spans="16384:16384">
      <c r="XFD1048573" t="e" cm="1">
        <f t="array" ref="XFD1048573">solver_ips</f>
        <v>#NAME?</v>
      </c>
    </row>
    <row r="1048574" spans="16384:16384">
      <c r="XFD1048574" t="e" cm="1">
        <f t="array" ref="XFD1048574">solver_fea</f>
        <v>#NAME?</v>
      </c>
    </row>
    <row r="1048575" spans="16384:16384">
      <c r="XFD1048575" t="e" cm="1">
        <f t="array" ref="XFD1048575">solver_ipi</f>
        <v>#NAME?</v>
      </c>
    </row>
    <row r="1048576" spans="16384:16384">
      <c r="XFD1048576" t="e" cm="1">
        <f t="array" ref="XFD1048576">solver_ipd</f>
        <v>#NAME?</v>
      </c>
    </row>
  </sheetData>
  <mergeCells count="81">
    <mergeCell ref="D60:E60"/>
    <mergeCell ref="D61:E61"/>
    <mergeCell ref="D55:E55"/>
    <mergeCell ref="D56:E56"/>
    <mergeCell ref="D57:E57"/>
    <mergeCell ref="D58:E58"/>
    <mergeCell ref="D59:E59"/>
    <mergeCell ref="D43:E43"/>
    <mergeCell ref="D42:E42"/>
    <mergeCell ref="D41:E41"/>
    <mergeCell ref="D40:E40"/>
    <mergeCell ref="A58:C58"/>
    <mergeCell ref="D44:E44"/>
    <mergeCell ref="D45:E45"/>
    <mergeCell ref="D46:E46"/>
    <mergeCell ref="D47:E47"/>
    <mergeCell ref="D48:E48"/>
    <mergeCell ref="D49:E49"/>
    <mergeCell ref="D50:E50"/>
    <mergeCell ref="D51:E51"/>
    <mergeCell ref="D52:E52"/>
    <mergeCell ref="D53:E53"/>
    <mergeCell ref="D54:E54"/>
    <mergeCell ref="D35:E35"/>
    <mergeCell ref="D36:E36"/>
    <mergeCell ref="D37:E37"/>
    <mergeCell ref="D38:E38"/>
    <mergeCell ref="D39:E39"/>
    <mergeCell ref="D29:E29"/>
    <mergeCell ref="D30:E30"/>
    <mergeCell ref="D31:E31"/>
    <mergeCell ref="D32:E32"/>
    <mergeCell ref="D33:E33"/>
    <mergeCell ref="D34:E34"/>
    <mergeCell ref="A59:C59"/>
    <mergeCell ref="A60:C60"/>
    <mergeCell ref="A61:C61"/>
    <mergeCell ref="A54:C54"/>
    <mergeCell ref="A55:C55"/>
    <mergeCell ref="A56:C56"/>
    <mergeCell ref="A57:C57"/>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B16:C16"/>
    <mergeCell ref="D14:H14"/>
    <mergeCell ref="D15:H15"/>
    <mergeCell ref="D16:H16"/>
    <mergeCell ref="B5:H5"/>
    <mergeCell ref="B12:C12"/>
    <mergeCell ref="B13:C13"/>
    <mergeCell ref="B14:C14"/>
    <mergeCell ref="B15:C15"/>
    <mergeCell ref="B6:H6"/>
    <mergeCell ref="B8:H8"/>
    <mergeCell ref="D12:H12"/>
    <mergeCell ref="D13:H13"/>
    <mergeCell ref="B9:H9"/>
    <mergeCell ref="B7:H7"/>
  </mergeCells>
  <phoneticPr fontId="1"/>
  <conditionalFormatting sqref="J5:J7">
    <cfRule type="containsText" dxfId="34" priority="1" operator="containsText" text="保留">
      <formula>NOT(ISERROR(SEARCH("保留",J5)))</formula>
    </cfRule>
    <cfRule type="containsText" dxfId="33" priority="2" operator="containsText" text="NG">
      <formula>NOT(ISERROR(SEARCH("NG",J5)))</formula>
    </cfRule>
    <cfRule type="containsText" dxfId="32" priority="3" operator="containsText" text="OK">
      <formula>NOT(ISERROR(SEARCH("OK",J5)))</formula>
    </cfRule>
  </conditionalFormatting>
  <dataValidations count="1">
    <dataValidation type="list" allowBlank="1" showInputMessage="1" showErrorMessage="1" sqref="B26" xr:uid="{A1270B9F-6574-B34E-8005-7330C9BD04E4}">
      <formula1>"A,B,C"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3D10A-0304-C84C-B4AF-FD3653AC7241}">
  <sheetPr codeName="Sheet2"/>
  <dimension ref="A1:AC185"/>
  <sheetViews>
    <sheetView tabSelected="1" zoomScale="80" zoomScaleNormal="80" workbookViewId="0">
      <selection activeCell="R126" sqref="R126"/>
    </sheetView>
  </sheetViews>
  <sheetFormatPr baseColWidth="10" defaultRowHeight="20"/>
  <cols>
    <col min="1" max="1" width="6.42578125" customWidth="1"/>
    <col min="2" max="2" width="12" customWidth="1"/>
    <col min="4" max="4" width="8.7109375" customWidth="1"/>
    <col min="5" max="5" width="33.5703125" customWidth="1"/>
    <col min="6" max="6" width="7.85546875" customWidth="1"/>
    <col min="7" max="7" width="30.28515625" customWidth="1"/>
    <col min="8" max="8" width="21.7109375" customWidth="1"/>
    <col min="9" max="9" width="11.28515625" customWidth="1"/>
    <col min="10" max="10" width="81.28515625" customWidth="1"/>
    <col min="11" max="11" width="93.28515625" customWidth="1"/>
    <col min="12" max="12" width="11" customWidth="1"/>
    <col min="14" max="15" width="17.140625" customWidth="1"/>
    <col min="18" max="18" width="71.85546875" customWidth="1"/>
  </cols>
  <sheetData>
    <row r="1" spans="1:29">
      <c r="A1" s="33" t="s">
        <v>262</v>
      </c>
      <c r="B1" s="33"/>
      <c r="C1" s="40" t="s">
        <v>264</v>
      </c>
      <c r="D1" s="40"/>
      <c r="E1" s="40"/>
      <c r="F1" s="1"/>
      <c r="G1" s="10" t="s">
        <v>334</v>
      </c>
      <c r="H1" s="40" t="s">
        <v>367</v>
      </c>
      <c r="I1" s="40"/>
      <c r="J1" s="12" t="s">
        <v>355</v>
      </c>
    </row>
    <row r="2" spans="1:29">
      <c r="A2" s="33" t="s">
        <v>263</v>
      </c>
      <c r="B2" s="33"/>
      <c r="C2" s="40" t="s">
        <v>265</v>
      </c>
      <c r="D2" s="40"/>
      <c r="E2" s="40"/>
      <c r="F2" s="1"/>
      <c r="G2" s="10" t="s">
        <v>335</v>
      </c>
      <c r="H2" s="40" t="s">
        <v>368</v>
      </c>
      <c r="I2" s="40"/>
      <c r="J2" s="14" t="s">
        <v>356</v>
      </c>
    </row>
    <row r="3" spans="1:29" ht="42">
      <c r="A3" s="22" t="s">
        <v>143</v>
      </c>
      <c r="B3" s="23" t="s">
        <v>113</v>
      </c>
      <c r="C3" s="22" t="s">
        <v>114</v>
      </c>
      <c r="D3" s="24" t="s">
        <v>112</v>
      </c>
      <c r="E3" s="24" t="s">
        <v>9</v>
      </c>
      <c r="F3" s="24" t="s">
        <v>266</v>
      </c>
      <c r="G3" s="24" t="s">
        <v>10</v>
      </c>
      <c r="H3" s="24" t="s">
        <v>242</v>
      </c>
      <c r="I3" s="25" t="s">
        <v>243</v>
      </c>
      <c r="J3" s="24" t="s">
        <v>11</v>
      </c>
      <c r="K3" s="24" t="s">
        <v>8</v>
      </c>
      <c r="L3" s="22" t="s">
        <v>336</v>
      </c>
      <c r="M3" s="24" t="s">
        <v>13</v>
      </c>
      <c r="N3" s="24" t="s">
        <v>7</v>
      </c>
      <c r="O3" s="24" t="s">
        <v>260</v>
      </c>
      <c r="P3" s="24" t="s">
        <v>14</v>
      </c>
      <c r="Q3" s="24" t="s">
        <v>15</v>
      </c>
      <c r="R3" s="24" t="s">
        <v>16</v>
      </c>
      <c r="U3" t="s">
        <v>247</v>
      </c>
      <c r="V3" t="s">
        <v>244</v>
      </c>
      <c r="W3" t="s">
        <v>245</v>
      </c>
      <c r="X3" t="s">
        <v>246</v>
      </c>
      <c r="Y3" t="s">
        <v>253</v>
      </c>
      <c r="Z3" t="s">
        <v>364</v>
      </c>
      <c r="AA3" t="s">
        <v>333</v>
      </c>
      <c r="AB3" t="s">
        <v>362</v>
      </c>
      <c r="AC3" t="s">
        <v>363</v>
      </c>
    </row>
    <row r="4" spans="1:29" ht="17" customHeight="1">
      <c r="A4" s="14">
        <v>1</v>
      </c>
      <c r="B4" s="43" t="s">
        <v>12</v>
      </c>
      <c r="C4" s="46" t="s">
        <v>324</v>
      </c>
      <c r="D4" s="40" t="s">
        <v>144</v>
      </c>
      <c r="E4" s="40" t="s">
        <v>145</v>
      </c>
      <c r="F4" s="14" t="s">
        <v>267</v>
      </c>
      <c r="G4" s="14" t="s">
        <v>269</v>
      </c>
      <c r="H4" s="14" t="s">
        <v>154</v>
      </c>
      <c r="I4" s="14">
        <v>12.9</v>
      </c>
      <c r="J4" s="11" t="str">
        <f>("薬剤に")&amp;H4&amp;("を選択、体重に")&amp;I4&amp;("と入力して計算ボタンを押す")</f>
        <v>薬剤にNaIを選択、体重に12.9と入力して計算ボタンを押す</v>
      </c>
      <c r="K4" s="11" t="str">
        <f>("体重:")&amp;I4&amp;("kg、薬剤名:")&amp;Y4&amp;INDEX(簡易仕様書!$A$30:$A$61,MATCH(H4,簡易仕様書!$D$30:$D$61,0))&amp;("、投与量:")&amp;U4&amp;("MBqと表示されること")</f>
        <v>体重:12.9kg、薬剤名:I-123NaI、投与量:3MBqと表示されること</v>
      </c>
      <c r="L4" s="14" t="s">
        <v>337</v>
      </c>
      <c r="M4" s="14" t="s">
        <v>369</v>
      </c>
      <c r="N4" s="26">
        <v>45714.303449074076</v>
      </c>
      <c r="O4" s="11"/>
      <c r="P4" s="11"/>
      <c r="Q4" s="11"/>
      <c r="R4" s="11"/>
      <c r="U4">
        <f>IF(VLOOKUP(H4,簡易仕様書!$D$30:$J$61,7,FALSE)&gt;V4,VLOOKUP(H4,簡易仕様書!$D$30:$J$61,7,FALSE),V4)</f>
        <v>3</v>
      </c>
      <c r="V4">
        <f>ROUND(IF(W4="A",((-0.00000028)*I4^4+0.00004915*I4^3+(-0.00337375)*I4^2+0.1677306*I4+0.53976823)*X4,
IF(W4="B",((-0.00000023)*I4^4+0.00003846*I4^3-0.00262028*I4^2+0.27495836*I4+0.14075609)*X4,
(-0.00000001*I4^4-0.00001462*I4^3+0.00247677*I4^2+0.38073934*I4-0.24312323)*X4)),1)</f>
        <v>3</v>
      </c>
      <c r="W4" t="str">
        <f>VLOOKUP(H4,簡易仕様書!$D$30:$J$61,5,FALSE)</f>
        <v>C</v>
      </c>
      <c r="X4">
        <f>VLOOKUP(H4,簡易仕様書!$D$30:$J$61,6,FALSE)</f>
        <v>0.6</v>
      </c>
      <c r="Y4" t="str">
        <f>VLOOKUP(H4,簡易仕様書!$D$30:$M$61,10,FALSE)</f>
        <v>I-123</v>
      </c>
      <c r="Z4" t="str">
        <f>IF(H4="IMP",IF(ROUND(I4*20,0)&gt;=1000,1000,ROUND(I4*20,0)),IF(H4="ECD",IF(ROUND(I4*20,0)&gt;=1000,1000,ROUND(I4*20,0)),IF(H4="MAG3",IF(ROUND(I4/10,1)&gt;=2,2,ROUND(I4/10,1)),"")))</f>
        <v/>
      </c>
      <c r="AA4" t="str">
        <f>IF(H4="IMP","負荷薬剤ダイアモックス（ACZ）",IF(H4="ECD","負荷薬剤ダイアモックス（ACZ）",IF(H4="MAG3","負荷薬剤フロセミド（ラシックス）","")))</f>
        <v/>
      </c>
      <c r="AB4" t="str">
        <f>VLOOKUP(H4,簡易仕様書!$D$30:$F$61,3,FALSE)</f>
        <v>nai</v>
      </c>
      <c r="AC4" t="str">
        <f>INDEX(簡易仕様書!$A$30:$A$61,MATCH(H4,簡易仕様書!$D$30:$D$61,0))</f>
        <v>NaI</v>
      </c>
    </row>
    <row r="5" spans="1:29">
      <c r="A5" s="14">
        <v>2</v>
      </c>
      <c r="B5" s="44"/>
      <c r="C5" s="46"/>
      <c r="D5" s="40"/>
      <c r="E5" s="40"/>
      <c r="F5" s="14" t="s">
        <v>267</v>
      </c>
      <c r="G5" s="14" t="s">
        <v>269</v>
      </c>
      <c r="H5" s="14" t="s">
        <v>154</v>
      </c>
      <c r="I5" s="14">
        <f>I4+0.1</f>
        <v>13</v>
      </c>
      <c r="J5" s="11" t="str">
        <f t="shared" ref="J5:J101" si="0">("薬剤に")&amp;H5&amp;("を選択、体重に")&amp;I5&amp;("と入力して計算ボタンを押す")</f>
        <v>薬剤にNaIを選択、体重に13と入力して計算ボタンを押す</v>
      </c>
      <c r="K5" s="11" t="str">
        <f>("体重:")&amp;I5&amp;("kg、薬剤名:")&amp;Y5&amp;INDEX(簡易仕様書!$A$30:$A$61,MATCH(H5,簡易仕様書!$D$30:$D$61,0))&amp;("、投与量:")&amp;U5&amp;("MBqと表示されること")</f>
        <v>体重:13kg、薬剤名:I-123NaI、投与量:3.1MBqと表示されること</v>
      </c>
      <c r="L5" s="14" t="s">
        <v>337</v>
      </c>
      <c r="M5" s="14" t="s">
        <v>372</v>
      </c>
      <c r="N5" s="26">
        <v>45714.303472222222</v>
      </c>
      <c r="O5" s="11"/>
      <c r="P5" s="11"/>
      <c r="Q5" s="11"/>
      <c r="R5" s="11" t="s">
        <v>373</v>
      </c>
      <c r="U5">
        <f>IF(VLOOKUP(H5,簡易仕様書!$D$30:$J$61,7,FALSE)&gt;V5,VLOOKUP(H5,簡易仕様書!$D$30:$J$61,7,FALSE),V5)</f>
        <v>3.1</v>
      </c>
      <c r="V5">
        <f>ROUND(IF(W5="A",((-0.00000028)*I5^4+0.00004915*I5^3+(-0.00337375)*I5^2+0.1677306*I5+0.53976823)*X5,
IF(W5="B",((-0.00000023)*I5^4+0.00003846*I5^3-0.00262028*I5^2+0.27495836*I5+0.14075609)*X5,
(-0.00000001*I5^4-0.00001462*I5^3+0.00247677*I5^2+0.38073934*I5-0.24312323)*X5)),1)</f>
        <v>3.1</v>
      </c>
      <c r="W5" t="str">
        <f>VLOOKUP(H5,簡易仕様書!$D$30:$J$61,5,FALSE)</f>
        <v>C</v>
      </c>
      <c r="X5">
        <f>VLOOKUP(H5,簡易仕様書!$D$30:$J$61,6,FALSE)</f>
        <v>0.6</v>
      </c>
      <c r="Y5" t="str">
        <f>VLOOKUP(H5,簡易仕様書!$D$30:$M$61,10,FALSE)</f>
        <v>I-123</v>
      </c>
      <c r="Z5" t="str">
        <f t="shared" ref="Z5:Z69" si="1">IF(H5="IMP",IF(ROUND(I5*20,0)&gt;=1000,1000,ROUND(I5*20,0)),IF(H5="ECD",IF(ROUND(I5*20,0)&gt;=1000,1000,ROUND(I5*20,0)),IF(H5="MAG3",IF(ROUND(I5/10,1)&gt;=2,2,ROUND(I5/10,1)),"")))</f>
        <v/>
      </c>
      <c r="AA5" t="str">
        <f t="shared" ref="AA5:AA69" si="2">IF(H5="IMP","負荷薬剤ダイアモックス（ACZ）",IF(H5="ECD","負荷薬剤ダイアモックス（ACZ）",IF(H5="MAG3","負荷薬剤フロセミド（ラシックス）","")))</f>
        <v/>
      </c>
      <c r="AB5" t="str">
        <f>VLOOKUP(H5,簡易仕様書!$D$30:$F$61,3,FALSE)</f>
        <v>nai</v>
      </c>
      <c r="AC5" t="str">
        <f>INDEX(簡易仕様書!$A$30:$A$61,MATCH(H5,簡易仕様書!$D$30:$D$61,0))</f>
        <v>NaI</v>
      </c>
    </row>
    <row r="6" spans="1:29">
      <c r="A6" s="14">
        <v>3</v>
      </c>
      <c r="B6" s="44"/>
      <c r="C6" s="46"/>
      <c r="D6" s="40"/>
      <c r="E6" s="40"/>
      <c r="F6" s="14" t="s">
        <v>267</v>
      </c>
      <c r="G6" s="14" t="s">
        <v>269</v>
      </c>
      <c r="H6" s="14" t="s">
        <v>154</v>
      </c>
      <c r="I6" s="14">
        <v>0.1</v>
      </c>
      <c r="J6" s="11" t="str">
        <f t="shared" ref="J6" si="3">("薬剤に")&amp;H6&amp;("を選択、体重に")&amp;I6&amp;("と入力して計算ボタンを押す")</f>
        <v>薬剤にNaIを選択、体重に0.1と入力して計算ボタンを押す</v>
      </c>
      <c r="K6" s="11" t="str">
        <f>("体重:")&amp;I6&amp;("kg、薬剤名:")&amp;Y6&amp;INDEX(簡易仕様書!$A$30:$A$61,MATCH(H6,簡易仕様書!$D$30:$D$61,0))&amp;("、投与量:")&amp;U6&amp;("MBqと表示されること")</f>
        <v>体重:0.1kg、薬剤名:I-123NaI、投与量:3MBqと表示されること</v>
      </c>
      <c r="L6" s="14" t="s">
        <v>337</v>
      </c>
      <c r="M6" s="14" t="s">
        <v>369</v>
      </c>
      <c r="N6" s="26">
        <v>45714.303495370368</v>
      </c>
      <c r="O6" s="11"/>
      <c r="P6" s="11"/>
      <c r="Q6" s="11"/>
      <c r="R6" s="11"/>
      <c r="U6">
        <f>IF(VLOOKUP(H6,簡易仕様書!$D$30:$J$61,7,FALSE)&gt;V6,VLOOKUP(H6,簡易仕様書!$D$30:$J$61,7,FALSE),V6)</f>
        <v>3</v>
      </c>
      <c r="V6">
        <f t="shared" ref="V6" si="4">ROUND(IF(W6="A",((-0.00000028)*I6^4+0.00004915*I6^3+(-0.00337375)*I6^2+0.1677306*I6+0.53976823)*X6,
IF(W6="B",((-0.00000023)*I6^4+0.00003846*I6^3-0.00262028*I6^2+0.27495836*I6+0.14075609)*X6,
(-0.00000001*I6^4-0.00001462*I6^3+0.00247677*I6^2+0.38073934*I6-0.24312323)*X6)),1)</f>
        <v>-0.1</v>
      </c>
      <c r="W6" t="str">
        <f>VLOOKUP(H6,簡易仕様書!$D$30:$J$61,5,FALSE)</f>
        <v>C</v>
      </c>
      <c r="X6">
        <f>VLOOKUP(H6,簡易仕様書!$D$30:$J$61,6,FALSE)</f>
        <v>0.6</v>
      </c>
      <c r="Y6" t="str">
        <f>VLOOKUP(H6,簡易仕様書!$D$30:$M$61,10,FALSE)</f>
        <v>I-123</v>
      </c>
      <c r="Z6" t="str">
        <f t="shared" si="1"/>
        <v/>
      </c>
      <c r="AA6" t="str">
        <f t="shared" si="2"/>
        <v/>
      </c>
      <c r="AB6" t="str">
        <f>VLOOKUP(H6,簡易仕様書!$D$30:$F$61,3,FALSE)</f>
        <v>nai</v>
      </c>
      <c r="AC6" t="str">
        <f>INDEX(簡易仕様書!$A$30:$A$61,MATCH(H6,簡易仕様書!$D$30:$D$61,0))</f>
        <v>NaI</v>
      </c>
    </row>
    <row r="7" spans="1:29">
      <c r="A7" s="14">
        <v>4</v>
      </c>
      <c r="B7" s="44"/>
      <c r="C7" s="46"/>
      <c r="D7" s="40"/>
      <c r="E7" s="40"/>
      <c r="F7" s="14" t="s">
        <v>267</v>
      </c>
      <c r="G7" s="14" t="s">
        <v>269</v>
      </c>
      <c r="H7" s="14" t="s">
        <v>154</v>
      </c>
      <c r="I7" s="14">
        <v>70</v>
      </c>
      <c r="J7" s="11" t="str">
        <f t="shared" si="0"/>
        <v>薬剤にNaIを選択、体重に70と入力して計算ボタンを押す</v>
      </c>
      <c r="K7" s="11" t="str">
        <f>("体重:")&amp;I7&amp;("kg、薬剤名:")&amp;Y7&amp;INDEX(簡易仕様書!$A$30:$A$61,MATCH(H7,簡易仕様書!$D$30:$D$61,0))&amp;("、投与量:")&amp;U7&amp;("MBqと表示されること")</f>
        <v>体重:70kg、薬剤名:I-123NaI、投与量:20MBqと表示されること</v>
      </c>
      <c r="L7" s="14" t="s">
        <v>337</v>
      </c>
      <c r="M7" s="14" t="s">
        <v>372</v>
      </c>
      <c r="N7" s="26">
        <v>45714.303518518522</v>
      </c>
      <c r="O7" s="11"/>
      <c r="P7" s="11"/>
      <c r="Q7" s="11"/>
      <c r="R7" s="11" t="s">
        <v>374</v>
      </c>
      <c r="U7">
        <f>IF(VLOOKUP(H7,簡易仕様書!$D$30:$J$61,7,FALSE)&gt;V7,VLOOKUP(H7,簡易仕様書!$D$30:$J$61,7,FALSE),V7)</f>
        <v>20</v>
      </c>
      <c r="V7">
        <f t="shared" ref="V7:V40" si="5">ROUND(IF(W7="A",((-0.00000028)*I7^4+0.00004915*I7^3+(-0.00337375)*I7^2+0.1677306*I7+0.53976823)*X7,
IF(W7="B",((-0.00000023)*I7^4+0.00003846*I7^3-0.00262028*I7^2+0.27495836*I7+0.14075609)*X7,
(-0.00000001*I7^4-0.00001462*I7^3+0.00247677*I7^2+0.38073934*I7-0.24312323)*X7)),1)</f>
        <v>20</v>
      </c>
      <c r="W7" t="str">
        <f>VLOOKUP(H7,簡易仕様書!$D$30:$J$61,5,FALSE)</f>
        <v>C</v>
      </c>
      <c r="X7">
        <f>VLOOKUP(H7,簡易仕様書!$D$30:$J$61,6,FALSE)</f>
        <v>0.6</v>
      </c>
      <c r="Y7" t="str">
        <f>VLOOKUP(H7,簡易仕様書!$D$30:$M$61,10,FALSE)</f>
        <v>I-123</v>
      </c>
      <c r="Z7" t="str">
        <f t="shared" si="1"/>
        <v/>
      </c>
      <c r="AA7" t="str">
        <f t="shared" si="2"/>
        <v/>
      </c>
      <c r="AB7" t="str">
        <f>VLOOKUP(H7,簡易仕様書!$D$30:$F$61,3,FALSE)</f>
        <v>nai</v>
      </c>
      <c r="AC7" t="str">
        <f>INDEX(簡易仕様書!$A$30:$A$61,MATCH(H7,簡易仕様書!$D$30:$D$61,0))</f>
        <v>NaI</v>
      </c>
    </row>
    <row r="8" spans="1:29">
      <c r="A8" s="14">
        <v>5</v>
      </c>
      <c r="B8" s="44"/>
      <c r="C8" s="46"/>
      <c r="D8" s="40"/>
      <c r="E8" s="40"/>
      <c r="F8" s="14" t="s">
        <v>267</v>
      </c>
      <c r="G8" s="14" t="s">
        <v>269</v>
      </c>
      <c r="H8" s="14" t="s">
        <v>155</v>
      </c>
      <c r="I8" s="14">
        <f>IF((ROUND(VLOOKUP(H8,簡易仕様書!$D$30:$L$61,8,FALSE),1))&gt;VLOOKUP(H8,簡易仕様書!$D$30:$L$61,7,FALSE),
VLOOKUP(H8,簡易仕様書!$D$30:$L$61,9,FALSE)-0.1,VLOOKUP(H8,簡易仕様書!$D$30:$L$61,9,FALSE))</f>
        <v>11.8</v>
      </c>
      <c r="J8" s="11" t="str">
        <f t="shared" si="0"/>
        <v>薬剤にIMPを選択、体重に11.8と入力して計算ボタンを押す</v>
      </c>
      <c r="K8" s="11" t="str">
        <f>("体重:")&amp;I8&amp;("kg、薬剤名:")&amp;Y8&amp;INDEX(簡易仕様書!$A$30:$A$61,MATCH(H8,簡易仕様書!$D$30:$D$61,0))&amp;("、投与量:")&amp;U8&amp;("MBq ")&amp;AA8&amp;(":")&amp;Z8&amp;("mgと表示されること")</f>
        <v>体重:11.8kg、薬剤名:I-123IMP、投与量:40MBq 負荷薬剤ダイアモックス（ACZ）:236mgと表示されること</v>
      </c>
      <c r="L8" s="14" t="s">
        <v>337</v>
      </c>
      <c r="M8" s="14" t="s">
        <v>369</v>
      </c>
      <c r="N8" s="26">
        <v>45714.303541666668</v>
      </c>
      <c r="O8" s="11"/>
      <c r="P8" s="11"/>
      <c r="Q8" s="11"/>
      <c r="R8" s="11"/>
      <c r="U8">
        <f>IF(VLOOKUP(H8,簡易仕様書!$D$30:$J$61,7,FALSE)&gt;V8,VLOOKUP(H8,簡易仕様書!$D$30:$J$61,7,FALSE),V8)</f>
        <v>40</v>
      </c>
      <c r="V8">
        <f t="shared" si="5"/>
        <v>40</v>
      </c>
      <c r="W8" t="str">
        <f>VLOOKUP(H8,簡易仕様書!$D$30:$J$61,5,FALSE)</f>
        <v>B</v>
      </c>
      <c r="X8">
        <f>VLOOKUP(H8,簡易仕様書!$D$30:$J$61,6,FALSE)</f>
        <v>13</v>
      </c>
      <c r="Y8" t="str">
        <f>VLOOKUP(H8,簡易仕様書!$D$30:$M$61,10,FALSE)</f>
        <v>I-123</v>
      </c>
      <c r="Z8">
        <f t="shared" si="1"/>
        <v>236</v>
      </c>
      <c r="AA8" t="str">
        <f t="shared" si="2"/>
        <v>負荷薬剤ダイアモックス（ACZ）</v>
      </c>
      <c r="AB8" t="str">
        <f>VLOOKUP(H8,簡易仕様書!$D$30:$F$61,3,FALSE)</f>
        <v>imp</v>
      </c>
      <c r="AC8" t="str">
        <f>INDEX(簡易仕様書!$A$30:$A$61,MATCH(H8,簡易仕様書!$D$30:$D$61,0))</f>
        <v>IMP</v>
      </c>
    </row>
    <row r="9" spans="1:29">
      <c r="A9" s="14">
        <v>6</v>
      </c>
      <c r="B9" s="44"/>
      <c r="C9" s="46"/>
      <c r="D9" s="40"/>
      <c r="E9" s="40"/>
      <c r="F9" s="14" t="s">
        <v>267</v>
      </c>
      <c r="G9" s="14" t="s">
        <v>269</v>
      </c>
      <c r="H9" s="14" t="s">
        <v>155</v>
      </c>
      <c r="I9" s="14">
        <f>I8+0.1</f>
        <v>11.9</v>
      </c>
      <c r="J9" s="11" t="str">
        <f t="shared" si="0"/>
        <v>薬剤にIMPを選択、体重に11.9と入力して計算ボタンを押す</v>
      </c>
      <c r="K9" s="11" t="str">
        <f>("体重:")&amp;I9&amp;("kg、薬剤名:")&amp;Y9&amp;INDEX(簡易仕様書!$A$30:$A$61,MATCH(H9,簡易仕様書!$D$30:$D$61,0))&amp;("、投与量:")&amp;U9&amp;("MBq ")&amp;AA9&amp;(":")&amp;Z9&amp;("mgと表示されること")</f>
        <v>体重:11.9kg、薬剤名:I-123IMP、投与量:40.3MBq 負荷薬剤ダイアモックス（ACZ）:238mgと表示されること</v>
      </c>
      <c r="L9" s="14" t="s">
        <v>337</v>
      </c>
      <c r="M9" s="14" t="s">
        <v>369</v>
      </c>
      <c r="N9" s="26">
        <v>45714.303564814814</v>
      </c>
      <c r="O9" s="11"/>
      <c r="P9" s="11"/>
      <c r="Q9" s="11"/>
      <c r="R9" s="11"/>
      <c r="U9">
        <f>IF(VLOOKUP(H9,簡易仕様書!$D$30:$J$61,7,FALSE)&gt;V9,VLOOKUP(H9,簡易仕様書!$D$30:$J$61,7,FALSE),V9)</f>
        <v>40.299999999999997</v>
      </c>
      <c r="V9">
        <f t="shared" si="5"/>
        <v>40.299999999999997</v>
      </c>
      <c r="W9" t="str">
        <f>VLOOKUP(H9,簡易仕様書!$D$30:$J$61,5,FALSE)</f>
        <v>B</v>
      </c>
      <c r="X9">
        <f>VLOOKUP(H9,簡易仕様書!$D$30:$J$61,6,FALSE)</f>
        <v>13</v>
      </c>
      <c r="Y9" t="str">
        <f>VLOOKUP(H9,簡易仕様書!$D$30:$M$61,10,FALSE)</f>
        <v>I-123</v>
      </c>
      <c r="Z9">
        <f t="shared" si="1"/>
        <v>238</v>
      </c>
      <c r="AA9" t="str">
        <f t="shared" si="2"/>
        <v>負荷薬剤ダイアモックス（ACZ）</v>
      </c>
      <c r="AB9" t="str">
        <f>VLOOKUP(H9,簡易仕様書!$D$30:$F$61,3,FALSE)</f>
        <v>imp</v>
      </c>
      <c r="AC9" t="str">
        <f>INDEX(簡易仕様書!$A$30:$A$61,MATCH(H9,簡易仕様書!$D$30:$D$61,0))</f>
        <v>IMP</v>
      </c>
    </row>
    <row r="10" spans="1:29">
      <c r="A10" s="14">
        <v>7</v>
      </c>
      <c r="B10" s="44"/>
      <c r="C10" s="46"/>
      <c r="D10" s="40"/>
      <c r="E10" s="40"/>
      <c r="F10" s="14" t="s">
        <v>267</v>
      </c>
      <c r="G10" s="14" t="s">
        <v>269</v>
      </c>
      <c r="H10" s="14" t="s">
        <v>155</v>
      </c>
      <c r="I10" s="14">
        <v>0.1</v>
      </c>
      <c r="J10" s="11" t="str">
        <f t="shared" si="0"/>
        <v>薬剤にIMPを選択、体重に0.1と入力して計算ボタンを押す</v>
      </c>
      <c r="K10" s="11" t="str">
        <f>("体重:")&amp;I10&amp;("kg、薬剤名:")&amp;Y10&amp;INDEX(簡易仕様書!$A$30:$A$61,MATCH(H10,簡易仕様書!$D$30:$D$61,0))&amp;("、投与量:")&amp;U10&amp;("MBq ")&amp;AA10&amp;(":")&amp;Z10&amp;("mgと表示されること")</f>
        <v>体重:0.1kg、薬剤名:I-123IMP、投与量:40MBq 負荷薬剤ダイアモックス（ACZ）:2mgと表示されること</v>
      </c>
      <c r="L10" s="14" t="s">
        <v>337</v>
      </c>
      <c r="M10" s="14" t="s">
        <v>369</v>
      </c>
      <c r="N10" s="26">
        <v>45714.303587962961</v>
      </c>
      <c r="O10" s="26"/>
      <c r="P10" s="11"/>
      <c r="Q10" s="11"/>
      <c r="R10" s="11"/>
      <c r="U10">
        <f>IF(VLOOKUP(H10,簡易仕様書!$D$30:$J$61,7,FALSE)&gt;V10,VLOOKUP(H10,簡易仕様書!$D$30:$J$61,7,FALSE),V10)</f>
        <v>40</v>
      </c>
      <c r="V10">
        <f t="shared" si="5"/>
        <v>2.2000000000000002</v>
      </c>
      <c r="W10" t="str">
        <f>VLOOKUP(H10,簡易仕様書!$D$30:$J$61,5,FALSE)</f>
        <v>B</v>
      </c>
      <c r="X10">
        <f>VLOOKUP(H10,簡易仕様書!$D$30:$J$61,6,FALSE)</f>
        <v>13</v>
      </c>
      <c r="Y10" t="str">
        <f>VLOOKUP(H10,簡易仕様書!$D$30:$M$61,10,FALSE)</f>
        <v>I-123</v>
      </c>
      <c r="Z10">
        <f t="shared" si="1"/>
        <v>2</v>
      </c>
      <c r="AA10" t="str">
        <f t="shared" si="2"/>
        <v>負荷薬剤ダイアモックス（ACZ）</v>
      </c>
      <c r="AB10" t="str">
        <f>VLOOKUP(H10,簡易仕様書!$D$30:$F$61,3,FALSE)</f>
        <v>imp</v>
      </c>
      <c r="AC10" t="str">
        <f>INDEX(簡易仕様書!$A$30:$A$61,MATCH(H10,簡易仕様書!$D$30:$D$61,0))</f>
        <v>IMP</v>
      </c>
    </row>
    <row r="11" spans="1:29">
      <c r="A11" s="14">
        <v>8</v>
      </c>
      <c r="B11" s="44"/>
      <c r="C11" s="46"/>
      <c r="D11" s="40"/>
      <c r="E11" s="40"/>
      <c r="F11" s="14" t="s">
        <v>267</v>
      </c>
      <c r="G11" s="14" t="s">
        <v>269</v>
      </c>
      <c r="H11" s="14" t="s">
        <v>155</v>
      </c>
      <c r="I11" s="14">
        <v>70</v>
      </c>
      <c r="J11" s="11" t="str">
        <f t="shared" ref="J11" si="6">("薬剤に")&amp;H11&amp;("を選択、体重に")&amp;I11&amp;("と入力して計算ボタンを押す")</f>
        <v>薬剤にIMPを選択、体重に70と入力して計算ボタンを押す</v>
      </c>
      <c r="K11" s="11" t="str">
        <f>("体重:")&amp;I11&amp;("kg、薬剤名:")&amp;Y11&amp;INDEX(簡易仕様書!$A$30:$A$61,MATCH(H11,簡易仕様書!$D$30:$D$61,0))&amp;("、投与量:")&amp;U11&amp;("MBq ")&amp;AA11&amp;(":")&amp;Z11&amp;("mgと表示されること")</f>
        <v>体重:70kg、薬剤名:I-123IMP、投与量:184.8MBq 負荷薬剤ダイアモックス（ACZ）:1000mgと表示されること</v>
      </c>
      <c r="L11" s="14" t="s">
        <v>337</v>
      </c>
      <c r="M11" s="14" t="s">
        <v>369</v>
      </c>
      <c r="N11" s="26">
        <v>45714.303611111114</v>
      </c>
      <c r="O11" s="11"/>
      <c r="P11" s="11"/>
      <c r="Q11" s="11"/>
      <c r="R11" s="11"/>
      <c r="U11">
        <f>IF(VLOOKUP(H11,簡易仕様書!$D$30:$J$61,7,FALSE)&gt;V11,VLOOKUP(H11,簡易仕様書!$D$30:$J$61,7,FALSE),V11)</f>
        <v>184.8</v>
      </c>
      <c r="V11">
        <f t="shared" ref="V11" si="7">ROUND(IF(W11="A",((-0.00000028)*I11^4+0.00004915*I11^3+(-0.00337375)*I11^2+0.1677306*I11+0.53976823)*X11,
IF(W11="B",((-0.00000023)*I11^4+0.00003846*I11^3-0.00262028*I11^2+0.27495836*I11+0.14075609)*X11,
(-0.00000001*I11^4-0.00001462*I11^3+0.00247677*I11^2+0.38073934*I11-0.24312323)*X11)),1)</f>
        <v>184.8</v>
      </c>
      <c r="W11" t="str">
        <f>VLOOKUP(H11,簡易仕様書!$D$30:$J$61,5,FALSE)</f>
        <v>B</v>
      </c>
      <c r="X11">
        <f>VLOOKUP(H11,簡易仕様書!$D$30:$J$61,6,FALSE)</f>
        <v>13</v>
      </c>
      <c r="Y11" t="str">
        <f>VLOOKUP(H11,簡易仕様書!$D$30:$M$61,10,FALSE)</f>
        <v>I-123</v>
      </c>
      <c r="Z11">
        <f t="shared" si="1"/>
        <v>1000</v>
      </c>
      <c r="AA11" t="str">
        <f t="shared" si="2"/>
        <v>負荷薬剤ダイアモックス（ACZ）</v>
      </c>
      <c r="AB11" t="str">
        <f>VLOOKUP(H11,簡易仕様書!$D$30:$F$61,3,FALSE)</f>
        <v>imp</v>
      </c>
      <c r="AC11" t="str">
        <f>INDEX(簡易仕様書!$A$30:$A$61,MATCH(H11,簡易仕様書!$D$30:$D$61,0))</f>
        <v>IMP</v>
      </c>
    </row>
    <row r="12" spans="1:29">
      <c r="A12" s="14">
        <v>9</v>
      </c>
      <c r="B12" s="44"/>
      <c r="C12" s="46"/>
      <c r="D12" s="40"/>
      <c r="E12" s="40"/>
      <c r="F12" s="14" t="s">
        <v>267</v>
      </c>
      <c r="G12" s="14" t="s">
        <v>269</v>
      </c>
      <c r="H12" s="14" t="s">
        <v>155</v>
      </c>
      <c r="I12" s="14">
        <v>49.9</v>
      </c>
      <c r="J12" s="11" t="str">
        <f t="shared" si="0"/>
        <v>薬剤にIMPを選択、体重に49.9と入力して計算ボタンを押す</v>
      </c>
      <c r="K12" s="11" t="str">
        <f>("体重:")&amp;I12&amp;("kg、薬剤名:")&amp;Y12&amp;INDEX(簡易仕様書!$A$30:$A$61,MATCH(H12,簡易仕様書!$D$30:$D$61,0))&amp;("、投与量:")&amp;U12&amp;("MBq ")&amp;AA12&amp;(":")&amp;Z12&amp;("mgと表示されること")</f>
        <v>体重:49.9kg、薬剤名:I-123IMP、投与量:139MBq 負荷薬剤ダイアモックス（ACZ）:998mgと表示されること</v>
      </c>
      <c r="L12" s="14" t="s">
        <v>337</v>
      </c>
      <c r="M12" s="14" t="s">
        <v>369</v>
      </c>
      <c r="N12" s="26">
        <v>45714.30363425926</v>
      </c>
      <c r="O12" s="11"/>
      <c r="P12" s="11"/>
      <c r="Q12" s="11"/>
      <c r="R12" s="11"/>
      <c r="U12">
        <f>IF(VLOOKUP(H12,簡易仕様書!$D$30:$J$61,7,FALSE)&gt;V12,VLOOKUP(H12,簡易仕様書!$D$30:$J$61,7,FALSE),V12)</f>
        <v>139</v>
      </c>
      <c r="V12">
        <f t="shared" si="5"/>
        <v>139</v>
      </c>
      <c r="W12" t="str">
        <f>VLOOKUP(H12,簡易仕様書!$D$30:$J$61,5,FALSE)</f>
        <v>B</v>
      </c>
      <c r="X12">
        <f>VLOOKUP(H12,簡易仕様書!$D$30:$J$61,6,FALSE)</f>
        <v>13</v>
      </c>
      <c r="Y12" t="str">
        <f>VLOOKUP(H12,簡易仕様書!$D$30:$M$61,10,FALSE)</f>
        <v>I-123</v>
      </c>
      <c r="Z12">
        <f t="shared" si="1"/>
        <v>998</v>
      </c>
      <c r="AA12" t="str">
        <f t="shared" si="2"/>
        <v>負荷薬剤ダイアモックス（ACZ）</v>
      </c>
      <c r="AB12" t="str">
        <f>VLOOKUP(H12,簡易仕様書!$D$30:$F$61,3,FALSE)</f>
        <v>imp</v>
      </c>
      <c r="AC12" t="str">
        <f>INDEX(簡易仕様書!$A$30:$A$61,MATCH(H12,簡易仕様書!$D$30:$D$61,0))</f>
        <v>IMP</v>
      </c>
    </row>
    <row r="13" spans="1:29">
      <c r="A13" s="14">
        <v>10</v>
      </c>
      <c r="B13" s="44"/>
      <c r="C13" s="46"/>
      <c r="D13" s="40"/>
      <c r="E13" s="40"/>
      <c r="F13" s="14" t="s">
        <v>267</v>
      </c>
      <c r="G13" s="14" t="s">
        <v>269</v>
      </c>
      <c r="H13" s="14" t="s">
        <v>155</v>
      </c>
      <c r="I13" s="14">
        <v>50</v>
      </c>
      <c r="J13" s="11" t="str">
        <f t="shared" ref="J13" si="8">("薬剤に")&amp;H13&amp;("を選択、体重に")&amp;I13&amp;("と入力して計算ボタンを押す")</f>
        <v>薬剤にIMPを選択、体重に50と入力して計算ボタンを押す</v>
      </c>
      <c r="K13" s="11" t="str">
        <f>("体重:")&amp;I13&amp;("kg、薬剤名:")&amp;Y13&amp;INDEX(簡易仕様書!$A$30:$A$61,MATCH(H13,簡易仕様書!$D$30:$D$61,0))&amp;("、投与量:")&amp;U13&amp;("MBq ")&amp;AA13&amp;(":")&amp;Z13&amp;("mgと表示されること")</f>
        <v>体重:50kg、薬剤名:I-123IMP、投与量:139.2MBq 負荷薬剤ダイアモックス（ACZ）:1000mgと表示されること</v>
      </c>
      <c r="L13" s="14" t="s">
        <v>337</v>
      </c>
      <c r="M13" s="14" t="s">
        <v>369</v>
      </c>
      <c r="N13" s="26">
        <v>45714.303657407407</v>
      </c>
      <c r="O13" s="11"/>
      <c r="P13" s="11"/>
      <c r="Q13" s="11"/>
      <c r="R13" s="11"/>
      <c r="U13">
        <f>IF(VLOOKUP(H13,簡易仕様書!$D$30:$J$61,7,FALSE)&gt;V13,VLOOKUP(H13,簡易仕様書!$D$30:$J$61,7,FALSE),V13)</f>
        <v>139.19999999999999</v>
      </c>
      <c r="V13">
        <f t="shared" ref="V13" si="9">ROUND(IF(W13="A",((-0.00000028)*I13^4+0.00004915*I13^3+(-0.00337375)*I13^2+0.1677306*I13+0.53976823)*X13,
IF(W13="B",((-0.00000023)*I13^4+0.00003846*I13^3-0.00262028*I13^2+0.27495836*I13+0.14075609)*X13,
(-0.00000001*I13^4-0.00001462*I13^3+0.00247677*I13^2+0.38073934*I13-0.24312323)*X13)),1)</f>
        <v>139.19999999999999</v>
      </c>
      <c r="W13" t="str">
        <f>VLOOKUP(H13,簡易仕様書!$D$30:$J$61,5,FALSE)</f>
        <v>B</v>
      </c>
      <c r="X13">
        <f>VLOOKUP(H13,簡易仕様書!$D$30:$J$61,6,FALSE)</f>
        <v>13</v>
      </c>
      <c r="Y13" t="str">
        <f>VLOOKUP(H13,簡易仕様書!$D$30:$M$61,10,FALSE)</f>
        <v>I-123</v>
      </c>
      <c r="Z13">
        <f t="shared" si="1"/>
        <v>1000</v>
      </c>
      <c r="AA13" t="str">
        <f t="shared" si="2"/>
        <v>負荷薬剤ダイアモックス（ACZ）</v>
      </c>
      <c r="AB13" t="str">
        <f>VLOOKUP(H13,簡易仕様書!$D$30:$F$61,3,FALSE)</f>
        <v>imp</v>
      </c>
      <c r="AC13" t="str">
        <f>INDEX(簡易仕様書!$A$30:$A$61,MATCH(H13,簡易仕様書!$D$30:$D$61,0))</f>
        <v>IMP</v>
      </c>
    </row>
    <row r="14" spans="1:29">
      <c r="A14" s="14">
        <v>11</v>
      </c>
      <c r="B14" s="44"/>
      <c r="C14" s="46"/>
      <c r="D14" s="40"/>
      <c r="E14" s="40"/>
      <c r="F14" s="14" t="s">
        <v>267</v>
      </c>
      <c r="G14" s="14" t="s">
        <v>269</v>
      </c>
      <c r="H14" s="14" t="s">
        <v>155</v>
      </c>
      <c r="I14" s="14">
        <v>50.1</v>
      </c>
      <c r="J14" s="11" t="str">
        <f t="shared" ref="J14" si="10">("薬剤に")&amp;H14&amp;("を選択、体重に")&amp;I14&amp;("と入力して計算ボタンを押す")</f>
        <v>薬剤にIMPを選択、体重に50.1と入力して計算ボタンを押す</v>
      </c>
      <c r="K14" s="11" t="str">
        <f>("体重:")&amp;I14&amp;("kg、薬剤名:")&amp;Y14&amp;INDEX(簡易仕様書!$A$30:$A$61,MATCH(H14,簡易仕様書!$D$30:$D$61,0))&amp;("、投与量:")&amp;U14&amp;("MBq ")&amp;AA14&amp;(":")&amp;Z14&amp;("mgと表示されること")</f>
        <v>体重:50.1kg、薬剤名:I-123IMP、投与量:139.4MBq 負荷薬剤ダイアモックス（ACZ）:1000mgと表示されること</v>
      </c>
      <c r="L14" s="14" t="s">
        <v>337</v>
      </c>
      <c r="M14" s="14" t="s">
        <v>369</v>
      </c>
      <c r="N14" s="26">
        <v>45714.303680555553</v>
      </c>
      <c r="O14" s="11"/>
      <c r="P14" s="11"/>
      <c r="Q14" s="11"/>
      <c r="R14" s="11"/>
      <c r="U14">
        <f>IF(VLOOKUP(H14,簡易仕様書!$D$30:$J$61,7,FALSE)&gt;V14,VLOOKUP(H14,簡易仕様書!$D$30:$J$61,7,FALSE),V14)</f>
        <v>139.4</v>
      </c>
      <c r="V14">
        <f t="shared" ref="V14" si="11">ROUND(IF(W14="A",((-0.00000028)*I14^4+0.00004915*I14^3+(-0.00337375)*I14^2+0.1677306*I14+0.53976823)*X14,
IF(W14="B",((-0.00000023)*I14^4+0.00003846*I14^3-0.00262028*I14^2+0.27495836*I14+0.14075609)*X14,
(-0.00000001*I14^4-0.00001462*I14^3+0.00247677*I14^2+0.38073934*I14-0.24312323)*X14)),1)</f>
        <v>139.4</v>
      </c>
      <c r="W14" t="str">
        <f>VLOOKUP(H14,簡易仕様書!$D$30:$J$61,5,FALSE)</f>
        <v>B</v>
      </c>
      <c r="X14">
        <f>VLOOKUP(H14,簡易仕様書!$D$30:$J$61,6,FALSE)</f>
        <v>13</v>
      </c>
      <c r="Y14" t="str">
        <f>VLOOKUP(H14,簡易仕様書!$D$30:$M$61,10,FALSE)</f>
        <v>I-123</v>
      </c>
      <c r="Z14">
        <f t="shared" ref="Z14" si="12">IF(H14="IMP",IF(ROUND(I14*20,0)&gt;=1000,1000,ROUND(I14*20,0)),IF(H14="ECD",IF(ROUND(I14*20,0)&gt;=1000,1000,ROUND(I14*20,0)),IF(H14="MAG3",IF(ROUND(I14/10,1)&gt;=2,2,ROUND(I14/10,1)),"")))</f>
        <v>1000</v>
      </c>
      <c r="AA14" t="str">
        <f t="shared" ref="AA14" si="13">IF(H14="IMP","負荷薬剤ダイアモックス（ACZ）",IF(H14="ECD","負荷薬剤ダイアモックス（ACZ）",IF(H14="MAG3","負荷薬剤フロセミド（ラシックス）","")))</f>
        <v>負荷薬剤ダイアモックス（ACZ）</v>
      </c>
      <c r="AB14" t="str">
        <f>VLOOKUP(H14,簡易仕様書!$D$30:$F$61,3,FALSE)</f>
        <v>imp</v>
      </c>
      <c r="AC14" t="str">
        <f>INDEX(簡易仕様書!$A$30:$A$61,MATCH(H14,簡易仕様書!$D$30:$D$61,0))</f>
        <v>IMP</v>
      </c>
    </row>
    <row r="15" spans="1:29">
      <c r="A15" s="14">
        <v>12</v>
      </c>
      <c r="B15" s="44"/>
      <c r="C15" s="46"/>
      <c r="D15" s="40"/>
      <c r="E15" s="40"/>
      <c r="F15" s="14" t="s">
        <v>267</v>
      </c>
      <c r="G15" s="14" t="s">
        <v>269</v>
      </c>
      <c r="H15" s="14" t="s">
        <v>270</v>
      </c>
      <c r="I15" s="14">
        <f>IF((ROUND(VLOOKUP(H15,簡易仕様書!$D$30:$L$61,8,FALSE),1))&gt;VLOOKUP(H15,簡易仕様書!$D$30:$L$61,7,FALSE),
VLOOKUP(H15,簡易仕様書!$D$30:$L$61,9,FALSE)-0.1,VLOOKUP(H15,簡易仕様書!$D$30:$L$61,9,FALSE))</f>
        <v>4.9000000000000004</v>
      </c>
      <c r="J15" s="11" t="str">
        <f t="shared" si="0"/>
        <v>薬剤にMIBG（腫瘍）を選択、体重に4.9と入力して計算ボタンを押す</v>
      </c>
      <c r="K15" s="11" t="str">
        <f>("体重:")&amp;I15&amp;("kg、薬剤名:")&amp;Y15&amp;INDEX(簡易仕様書!$A$30:$A$61,MATCH(H15,簡易仕様書!$D$30:$D$61,0))&amp;("、投与量:")&amp;U15&amp;("MBqと表示されること")</f>
        <v>体重:4.9kg、薬剤名:I-123MIBG（腫瘍）、投与量:40MBqと表示されること</v>
      </c>
      <c r="L15" s="14" t="s">
        <v>337</v>
      </c>
      <c r="M15" s="14" t="s">
        <v>369</v>
      </c>
      <c r="N15" s="26">
        <v>45714.303703703707</v>
      </c>
      <c r="O15" s="11"/>
      <c r="P15" s="11"/>
      <c r="Q15" s="11"/>
      <c r="R15" s="11"/>
      <c r="U15">
        <f>IF(VLOOKUP(H15,簡易仕様書!$D$30:$J$61,7,FALSE)&gt;V15,VLOOKUP(H15,簡易仕様書!$D$30:$J$61,7,FALSE),V15)</f>
        <v>40</v>
      </c>
      <c r="V15">
        <f t="shared" si="5"/>
        <v>40</v>
      </c>
      <c r="W15" t="str">
        <f>VLOOKUP(H15,簡易仕様書!$D$30:$J$61,5,FALSE)</f>
        <v>B</v>
      </c>
      <c r="X15">
        <f>VLOOKUP(H15,簡易仕様書!$D$30:$J$61,6,FALSE)</f>
        <v>28</v>
      </c>
      <c r="Y15" t="str">
        <f>VLOOKUP(H15,簡易仕様書!$D$30:$M$61,10,FALSE)</f>
        <v>I-123</v>
      </c>
      <c r="Z15" t="str">
        <f t="shared" si="1"/>
        <v/>
      </c>
      <c r="AA15" t="str">
        <f t="shared" si="2"/>
        <v/>
      </c>
      <c r="AB15" t="str">
        <f>VLOOKUP(H15,簡易仕様書!$D$30:$F$61,3,FALSE)</f>
        <v>mibg</v>
      </c>
      <c r="AC15" t="str">
        <f>INDEX(簡易仕様書!$A$30:$A$61,MATCH(H15,簡易仕様書!$D$30:$D$61,0))</f>
        <v>MIBG（腫瘍）</v>
      </c>
    </row>
    <row r="16" spans="1:29">
      <c r="A16" s="14">
        <v>13</v>
      </c>
      <c r="B16" s="44"/>
      <c r="C16" s="46"/>
      <c r="D16" s="40"/>
      <c r="E16" s="40"/>
      <c r="F16" s="14" t="s">
        <v>267</v>
      </c>
      <c r="G16" s="14" t="s">
        <v>269</v>
      </c>
      <c r="H16" s="14" t="s">
        <v>270</v>
      </c>
      <c r="I16" s="14">
        <f t="shared" ref="I16" si="14">I15+0.1</f>
        <v>5</v>
      </c>
      <c r="J16" s="11" t="str">
        <f t="shared" si="0"/>
        <v>薬剤にMIBG（腫瘍）を選択、体重に5と入力して計算ボタンを押す</v>
      </c>
      <c r="K16" s="11" t="str">
        <f>("体重:")&amp;I16&amp;("kg、薬剤名:")&amp;Y16&amp;INDEX(簡易仕様書!$A$30:$A$61,MATCH(H16,簡易仕様書!$D$30:$D$61,0))&amp;("、投与量:")&amp;U16&amp;("MBqと表示されること")</f>
        <v>体重:5kg、薬剤名:I-123MIBG（腫瘍）、投与量:40.7MBqと表示されること</v>
      </c>
      <c r="L16" s="14" t="s">
        <v>337</v>
      </c>
      <c r="M16" s="14" t="s">
        <v>369</v>
      </c>
      <c r="N16" s="26">
        <v>45714.303726851853</v>
      </c>
      <c r="O16" s="11"/>
      <c r="P16" s="11"/>
      <c r="Q16" s="11"/>
      <c r="R16" s="11"/>
      <c r="U16">
        <f>IF(VLOOKUP(H16,簡易仕様書!$D$30:$J$61,7,FALSE)&gt;V16,VLOOKUP(H16,簡易仕様書!$D$30:$J$61,7,FALSE),V16)</f>
        <v>40.700000000000003</v>
      </c>
      <c r="V16">
        <f t="shared" si="5"/>
        <v>40.700000000000003</v>
      </c>
      <c r="W16" t="str">
        <f>VLOOKUP(H16,簡易仕様書!$D$30:$J$61,5,FALSE)</f>
        <v>B</v>
      </c>
      <c r="X16">
        <f>VLOOKUP(H16,簡易仕様書!$D$30:$J$61,6,FALSE)</f>
        <v>28</v>
      </c>
      <c r="Y16" t="str">
        <f>VLOOKUP(H16,簡易仕様書!$D$30:$M$61,10,FALSE)</f>
        <v>I-123</v>
      </c>
      <c r="Z16" t="str">
        <f t="shared" si="1"/>
        <v/>
      </c>
      <c r="AA16" t="str">
        <f t="shared" si="2"/>
        <v/>
      </c>
      <c r="AB16" t="str">
        <f>VLOOKUP(H16,簡易仕様書!$D$30:$F$61,3,FALSE)</f>
        <v>mibg</v>
      </c>
      <c r="AC16" t="str">
        <f>INDEX(簡易仕様書!$A$30:$A$61,MATCH(H16,簡易仕様書!$D$30:$D$61,0))</f>
        <v>MIBG（腫瘍）</v>
      </c>
    </row>
    <row r="17" spans="1:29">
      <c r="A17" s="14">
        <v>14</v>
      </c>
      <c r="B17" s="44"/>
      <c r="C17" s="46"/>
      <c r="D17" s="40"/>
      <c r="E17" s="40"/>
      <c r="F17" s="14" t="s">
        <v>267</v>
      </c>
      <c r="G17" s="14" t="s">
        <v>269</v>
      </c>
      <c r="H17" s="14" t="s">
        <v>270</v>
      </c>
      <c r="I17" s="14">
        <v>0.1</v>
      </c>
      <c r="J17" s="11" t="str">
        <f t="shared" si="0"/>
        <v>薬剤にMIBG（腫瘍）を選択、体重に0.1と入力して計算ボタンを押す</v>
      </c>
      <c r="K17" s="11" t="str">
        <f>("体重:")&amp;I17&amp;("kg、薬剤名:")&amp;Y17&amp;INDEX(簡易仕様書!$A$30:$A$61,MATCH(H17,簡易仕様書!$D$30:$D$61,0))&amp;("、投与量:")&amp;U17&amp;("MBqと表示されること")</f>
        <v>体重:0.1kg、薬剤名:I-123MIBG（腫瘍）、投与量:40MBqと表示されること</v>
      </c>
      <c r="L17" s="14" t="s">
        <v>337</v>
      </c>
      <c r="M17" s="14" t="s">
        <v>369</v>
      </c>
      <c r="N17" s="26">
        <v>45714.303749999999</v>
      </c>
      <c r="O17" s="11"/>
      <c r="P17" s="11"/>
      <c r="Q17" s="11"/>
      <c r="R17" s="11"/>
      <c r="U17">
        <f>IF(VLOOKUP(H17,簡易仕様書!$D$30:$J$61,7,FALSE)&gt;V17,VLOOKUP(H17,簡易仕様書!$D$30:$J$61,7,FALSE),V17)</f>
        <v>40</v>
      </c>
      <c r="V17">
        <f t="shared" si="5"/>
        <v>4.7</v>
      </c>
      <c r="W17" t="str">
        <f>VLOOKUP(H17,簡易仕様書!$D$30:$J$61,5,FALSE)</f>
        <v>B</v>
      </c>
      <c r="X17">
        <f>VLOOKUP(H17,簡易仕様書!$D$30:$J$61,6,FALSE)</f>
        <v>28</v>
      </c>
      <c r="Y17" t="str">
        <f>VLOOKUP(H17,簡易仕様書!$D$30:$M$61,10,FALSE)</f>
        <v>I-123</v>
      </c>
      <c r="Z17" t="str">
        <f t="shared" si="1"/>
        <v/>
      </c>
      <c r="AA17" t="str">
        <f t="shared" si="2"/>
        <v/>
      </c>
      <c r="AB17" t="str">
        <f>VLOOKUP(H17,簡易仕様書!$D$30:$F$61,3,FALSE)</f>
        <v>mibg</v>
      </c>
      <c r="AC17" t="str">
        <f>INDEX(簡易仕様書!$A$30:$A$61,MATCH(H17,簡易仕様書!$D$30:$D$61,0))</f>
        <v>MIBG（腫瘍）</v>
      </c>
    </row>
    <row r="18" spans="1:29">
      <c r="A18" s="14">
        <v>15</v>
      </c>
      <c r="B18" s="44"/>
      <c r="C18" s="46"/>
      <c r="D18" s="40"/>
      <c r="E18" s="40"/>
      <c r="F18" s="14" t="s">
        <v>267</v>
      </c>
      <c r="G18" s="14" t="s">
        <v>269</v>
      </c>
      <c r="H18" s="14" t="s">
        <v>270</v>
      </c>
      <c r="I18" s="14">
        <v>70</v>
      </c>
      <c r="J18" s="11" t="str">
        <f t="shared" ref="J18" si="15">("薬剤に")&amp;H18&amp;("を選択、体重に")&amp;I18&amp;("と入力して計算ボタンを押す")</f>
        <v>薬剤にMIBG（腫瘍）を選択、体重に70と入力して計算ボタンを押す</v>
      </c>
      <c r="K18" s="11" t="str">
        <f>("体重:")&amp;I18&amp;("kg、薬剤名:")&amp;Y18&amp;INDEX(簡易仕様書!$A$30:$A$61,MATCH(H18,簡易仕様書!$D$30:$D$61,0))&amp;("、投与量:")&amp;U18&amp;("MBqと表示されること")</f>
        <v>体重:70kg、薬剤名:I-123MIBG（腫瘍）、投与量:398.1MBqと表示されること</v>
      </c>
      <c r="L18" s="14" t="s">
        <v>337</v>
      </c>
      <c r="M18" s="14" t="s">
        <v>369</v>
      </c>
      <c r="N18" s="26">
        <v>45714.303773148145</v>
      </c>
      <c r="O18" s="11"/>
      <c r="P18" s="11"/>
      <c r="Q18" s="11"/>
      <c r="R18" s="11"/>
      <c r="U18">
        <f>IF(VLOOKUP(H18,簡易仕様書!$D$30:$J$61,7,FALSE)&gt;V18,VLOOKUP(H18,簡易仕様書!$D$30:$J$61,7,FALSE),V18)</f>
        <v>398.1</v>
      </c>
      <c r="V18">
        <f t="shared" ref="V18" si="16">ROUND(IF(W18="A",((-0.00000028)*I18^4+0.00004915*I18^3+(-0.00337375)*I18^2+0.1677306*I18+0.53976823)*X18,
IF(W18="B",((-0.00000023)*I18^4+0.00003846*I18^3-0.00262028*I18^2+0.27495836*I18+0.14075609)*X18,
(-0.00000001*I18^4-0.00001462*I18^3+0.00247677*I18^2+0.38073934*I18-0.24312323)*X18)),1)</f>
        <v>398.1</v>
      </c>
      <c r="W18" t="str">
        <f>VLOOKUP(H18,簡易仕様書!$D$30:$J$61,5,FALSE)</f>
        <v>B</v>
      </c>
      <c r="X18">
        <f>VLOOKUP(H18,簡易仕様書!$D$30:$J$61,6,FALSE)</f>
        <v>28</v>
      </c>
      <c r="Y18" t="str">
        <f>VLOOKUP(H18,簡易仕様書!$D$30:$M$61,10,FALSE)</f>
        <v>I-123</v>
      </c>
      <c r="Z18" t="str">
        <f t="shared" si="1"/>
        <v/>
      </c>
      <c r="AA18" t="str">
        <f t="shared" si="2"/>
        <v/>
      </c>
      <c r="AB18" t="str">
        <f>VLOOKUP(H18,簡易仕様書!$D$30:$F$61,3,FALSE)</f>
        <v>mibg</v>
      </c>
      <c r="AC18" t="str">
        <f>INDEX(簡易仕様書!$A$30:$A$61,MATCH(H18,簡易仕様書!$D$30:$D$61,0))</f>
        <v>MIBG（腫瘍）</v>
      </c>
    </row>
    <row r="19" spans="1:29">
      <c r="A19" s="14">
        <v>16</v>
      </c>
      <c r="B19" s="44"/>
      <c r="C19" s="46"/>
      <c r="D19" s="40"/>
      <c r="E19" s="40"/>
      <c r="F19" s="14" t="s">
        <v>267</v>
      </c>
      <c r="G19" s="14" t="s">
        <v>269</v>
      </c>
      <c r="H19" s="14" t="s">
        <v>271</v>
      </c>
      <c r="I19" s="14">
        <f>IF((ROUND(VLOOKUP(H19,簡易仕様書!$D$30:$L$61,8,FALSE),1))&gt;VLOOKUP(H19,簡易仕様書!$D$30:$L$61,7,FALSE),
VLOOKUP(H19,簡易仕様書!$D$30:$L$61,9,FALSE)-0.1,VLOOKUP(H19,簡易仕様書!$D$30:$L$61,9,FALSE))</f>
        <v>7.3</v>
      </c>
      <c r="J19" s="11" t="str">
        <f t="shared" si="0"/>
        <v>薬剤にMIBG（心筋）を選択、体重に7.3と入力して計算ボタンを押す</v>
      </c>
      <c r="K19" s="11" t="str">
        <f>("体重:")&amp;I19&amp;("kg、薬剤名:")&amp;Y19&amp;INDEX(簡易仕様書!$A$30:$A$61,MATCH(H19,簡易仕様書!$D$30:$D$61,0))&amp;("、投与量:")&amp;U19&amp;("MBqと表示されること")</f>
        <v>体重:7.3kg、薬剤名:I-123MIBG（心筋）、投与量:16MBqと表示されること</v>
      </c>
      <c r="L19" s="14" t="s">
        <v>337</v>
      </c>
      <c r="M19" s="14" t="s">
        <v>369</v>
      </c>
      <c r="N19" s="26">
        <v>45714.303796296299</v>
      </c>
      <c r="O19" s="11"/>
      <c r="P19" s="11"/>
      <c r="Q19" s="11"/>
      <c r="R19" s="11"/>
      <c r="U19">
        <f>IF(VLOOKUP(H19,簡易仕様書!$D$30:$J$61,7,FALSE)&gt;V19,VLOOKUP(H19,簡易仕様書!$D$30:$J$61,7,FALSE),V19)</f>
        <v>16</v>
      </c>
      <c r="V19">
        <f t="shared" si="5"/>
        <v>16</v>
      </c>
      <c r="W19" t="str">
        <f>VLOOKUP(H19,簡易仕様書!$D$30:$J$61,5,FALSE)</f>
        <v>B</v>
      </c>
      <c r="X19">
        <f>VLOOKUP(H19,簡易仕様書!$D$30:$J$61,6,FALSE)</f>
        <v>7.9</v>
      </c>
      <c r="Y19" t="str">
        <f>VLOOKUP(H19,簡易仕様書!$D$30:$M$61,10,FALSE)</f>
        <v>I-123</v>
      </c>
      <c r="Z19" t="str">
        <f t="shared" si="1"/>
        <v/>
      </c>
      <c r="AA19" t="str">
        <f t="shared" si="2"/>
        <v/>
      </c>
      <c r="AB19" t="str">
        <f>VLOOKUP(H19,簡易仕様書!$D$30:$F$61,3,FALSE)</f>
        <v>mibgh</v>
      </c>
      <c r="AC19" t="str">
        <f>INDEX(簡易仕様書!$A$30:$A$61,MATCH(H19,簡易仕様書!$D$30:$D$61,0))</f>
        <v>MIBG（心筋）</v>
      </c>
    </row>
    <row r="20" spans="1:29">
      <c r="A20" s="14">
        <v>17</v>
      </c>
      <c r="B20" s="44"/>
      <c r="C20" s="46"/>
      <c r="D20" s="40"/>
      <c r="E20" s="40"/>
      <c r="F20" s="14" t="s">
        <v>267</v>
      </c>
      <c r="G20" s="14" t="s">
        <v>269</v>
      </c>
      <c r="H20" s="14" t="s">
        <v>271</v>
      </c>
      <c r="I20" s="14">
        <f>I19+0.1</f>
        <v>7.3999999999999995</v>
      </c>
      <c r="J20" s="11" t="str">
        <f t="shared" si="0"/>
        <v>薬剤にMIBG（心筋）を選択、体重に7.4と入力して計算ボタンを押す</v>
      </c>
      <c r="K20" s="11" t="str">
        <f>("体重:")&amp;I20&amp;("kg、薬剤名:")&amp;Y20&amp;INDEX(簡易仕様書!$A$30:$A$61,MATCH(H20,簡易仕様書!$D$30:$D$61,0))&amp;("、投与量:")&amp;U20&amp;("MBqと表示されること")</f>
        <v>体重:7.4kg、薬剤名:I-123MIBG（心筋）、投与量:16.2MBqと表示されること</v>
      </c>
      <c r="L20" s="14" t="s">
        <v>337</v>
      </c>
      <c r="M20" s="14" t="s">
        <v>369</v>
      </c>
      <c r="N20" s="26">
        <v>45714.303819444445</v>
      </c>
      <c r="O20" s="11"/>
      <c r="P20" s="11"/>
      <c r="Q20" s="11"/>
      <c r="R20" s="11"/>
      <c r="U20">
        <f>IF(VLOOKUP(H20,簡易仕様書!$D$30:$J$61,7,FALSE)&gt;V20,VLOOKUP(H20,簡易仕様書!$D$30:$J$61,7,FALSE),V20)</f>
        <v>16.2</v>
      </c>
      <c r="V20">
        <f>ROUND(IF(W20="A",((-0.00000028)*I20^4+0.00004915*I20^3+(-0.00337375)*I20^2+0.1677306*I20+0.53976823)*X20,
IF(W20="B",((-0.00000023)*I20^4+0.00003846*I20^3-0.00262028*I20^2+0.27495836*I20+0.14075609)*X20,
(-0.00000001*I20^4-0.00001462*I20^3+0.00247677*I20^2+0.38073934*I20-0.24312323)*X20)),1)</f>
        <v>16.2</v>
      </c>
      <c r="W20" t="str">
        <f>VLOOKUP(H20,簡易仕様書!$D$30:$J$61,5,FALSE)</f>
        <v>B</v>
      </c>
      <c r="X20">
        <f>VLOOKUP(H20,簡易仕様書!$D$30:$J$61,6,FALSE)</f>
        <v>7.9</v>
      </c>
      <c r="Y20" t="str">
        <f>VLOOKUP(H20,簡易仕様書!$D$30:$M$61,10,FALSE)</f>
        <v>I-123</v>
      </c>
      <c r="Z20" t="str">
        <f t="shared" si="1"/>
        <v/>
      </c>
      <c r="AA20" t="str">
        <f t="shared" si="2"/>
        <v/>
      </c>
      <c r="AB20" t="str">
        <f>VLOOKUP(H20,簡易仕様書!$D$30:$F$61,3,FALSE)</f>
        <v>mibgh</v>
      </c>
      <c r="AC20" t="str">
        <f>INDEX(簡易仕様書!$A$30:$A$61,MATCH(H20,簡易仕様書!$D$30:$D$61,0))</f>
        <v>MIBG（心筋）</v>
      </c>
    </row>
    <row r="21" spans="1:29">
      <c r="A21" s="14">
        <v>18</v>
      </c>
      <c r="B21" s="44"/>
      <c r="C21" s="46"/>
      <c r="D21" s="40"/>
      <c r="E21" s="40"/>
      <c r="F21" s="14" t="s">
        <v>267</v>
      </c>
      <c r="G21" s="14" t="s">
        <v>269</v>
      </c>
      <c r="H21" s="14" t="s">
        <v>271</v>
      </c>
      <c r="I21" s="14">
        <v>0.1</v>
      </c>
      <c r="J21" s="11" t="str">
        <f t="shared" si="0"/>
        <v>薬剤にMIBG（心筋）を選択、体重に0.1と入力して計算ボタンを押す</v>
      </c>
      <c r="K21" s="11" t="str">
        <f>("体重:")&amp;I21&amp;("kg、薬剤名:")&amp;Y21&amp;INDEX(簡易仕様書!$A$30:$A$61,MATCH(H21,簡易仕様書!$D$30:$D$61,0))&amp;("、投与量:")&amp;U21&amp;("MBqと表示されること")</f>
        <v>体重:0.1kg、薬剤名:I-123MIBG（心筋）、投与量:16MBqと表示されること</v>
      </c>
      <c r="L21" s="14" t="s">
        <v>337</v>
      </c>
      <c r="M21" s="14" t="s">
        <v>369</v>
      </c>
      <c r="N21" s="26">
        <v>45714.303842592592</v>
      </c>
      <c r="O21" s="11"/>
      <c r="P21" s="11"/>
      <c r="Q21" s="11"/>
      <c r="R21" s="11"/>
      <c r="U21">
        <f>IF(VLOOKUP(H21,簡易仕様書!$D$30:$J$61,7,FALSE)&gt;V21,VLOOKUP(H21,簡易仕様書!$D$30:$J$61,7,FALSE),V21)</f>
        <v>16</v>
      </c>
      <c r="V21">
        <f t="shared" si="5"/>
        <v>1.3</v>
      </c>
      <c r="W21" t="str">
        <f>VLOOKUP(H21,簡易仕様書!$D$30:$J$61,5,FALSE)</f>
        <v>B</v>
      </c>
      <c r="X21">
        <f>VLOOKUP(H21,簡易仕様書!$D$30:$J$61,6,FALSE)</f>
        <v>7.9</v>
      </c>
      <c r="Y21" t="str">
        <f>VLOOKUP(H21,簡易仕様書!$D$30:$M$61,10,FALSE)</f>
        <v>I-123</v>
      </c>
      <c r="Z21" t="str">
        <f t="shared" si="1"/>
        <v/>
      </c>
      <c r="AA21" t="str">
        <f t="shared" si="2"/>
        <v/>
      </c>
      <c r="AB21" t="str">
        <f>VLOOKUP(H21,簡易仕様書!$D$30:$F$61,3,FALSE)</f>
        <v>mibgh</v>
      </c>
      <c r="AC21" t="str">
        <f>INDEX(簡易仕様書!$A$30:$A$61,MATCH(H21,簡易仕様書!$D$30:$D$61,0))</f>
        <v>MIBG（心筋）</v>
      </c>
    </row>
    <row r="22" spans="1:29">
      <c r="A22" s="14">
        <v>19</v>
      </c>
      <c r="B22" s="44"/>
      <c r="C22" s="46"/>
      <c r="D22" s="40"/>
      <c r="E22" s="40"/>
      <c r="F22" s="14" t="s">
        <v>267</v>
      </c>
      <c r="G22" s="14" t="s">
        <v>269</v>
      </c>
      <c r="H22" s="14" t="s">
        <v>271</v>
      </c>
      <c r="I22" s="14">
        <v>70</v>
      </c>
      <c r="J22" s="11" t="str">
        <f t="shared" ref="J22" si="17">("薬剤に")&amp;H22&amp;("を選択、体重に")&amp;I22&amp;("と入力して計算ボタンを押す")</f>
        <v>薬剤にMIBG（心筋）を選択、体重に70と入力して計算ボタンを押す</v>
      </c>
      <c r="K22" s="11" t="str">
        <f>("体重:")&amp;I22&amp;("kg、薬剤名:")&amp;Y22&amp;INDEX(簡易仕様書!$A$30:$A$61,MATCH(H22,簡易仕様書!$D$30:$D$61,0))&amp;("、投与量:")&amp;U22&amp;("MBqと表示されること")</f>
        <v>体重:70kg、薬剤名:I-123MIBG（心筋）、投与量:112.3MBqと表示されること</v>
      </c>
      <c r="L22" s="14" t="s">
        <v>337</v>
      </c>
      <c r="M22" s="14" t="s">
        <v>369</v>
      </c>
      <c r="N22" s="26">
        <v>45714.303865740738</v>
      </c>
      <c r="O22" s="11"/>
      <c r="P22" s="11"/>
      <c r="Q22" s="11"/>
      <c r="R22" s="11"/>
      <c r="U22">
        <f>IF(VLOOKUP(H22,簡易仕様書!$D$30:$J$61,7,FALSE)&gt;V22,VLOOKUP(H22,簡易仕様書!$D$30:$J$61,7,FALSE),V22)</f>
        <v>112.3</v>
      </c>
      <c r="V22">
        <f t="shared" ref="V22" si="18">ROUND(IF(W22="A",((-0.00000028)*I22^4+0.00004915*I22^3+(-0.00337375)*I22^2+0.1677306*I22+0.53976823)*X22,
IF(W22="B",((-0.00000023)*I22^4+0.00003846*I22^3-0.00262028*I22^2+0.27495836*I22+0.14075609)*X22,
(-0.00000001*I22^4-0.00001462*I22^3+0.00247677*I22^2+0.38073934*I22-0.24312323)*X22)),1)</f>
        <v>112.3</v>
      </c>
      <c r="W22" t="str">
        <f>VLOOKUP(H22,簡易仕様書!$D$30:$J$61,5,FALSE)</f>
        <v>B</v>
      </c>
      <c r="X22">
        <f>VLOOKUP(H22,簡易仕様書!$D$30:$J$61,6,FALSE)</f>
        <v>7.9</v>
      </c>
      <c r="Y22" t="str">
        <f>VLOOKUP(H22,簡易仕様書!$D$30:$M$61,10,FALSE)</f>
        <v>I-123</v>
      </c>
      <c r="Z22" t="str">
        <f t="shared" si="1"/>
        <v/>
      </c>
      <c r="AA22" t="str">
        <f t="shared" si="2"/>
        <v/>
      </c>
      <c r="AB22" t="str">
        <f>VLOOKUP(H22,簡易仕様書!$D$30:$F$61,3,FALSE)</f>
        <v>mibgh</v>
      </c>
      <c r="AC22" t="str">
        <f>INDEX(簡易仕様書!$A$30:$A$61,MATCH(H22,簡易仕様書!$D$30:$D$61,0))</f>
        <v>MIBG（心筋）</v>
      </c>
    </row>
    <row r="23" spans="1:29">
      <c r="A23" s="14">
        <v>20</v>
      </c>
      <c r="B23" s="44"/>
      <c r="C23" s="46"/>
      <c r="D23" s="40"/>
      <c r="E23" s="40"/>
      <c r="F23" s="14" t="s">
        <v>267</v>
      </c>
      <c r="G23" s="14" t="s">
        <v>269</v>
      </c>
      <c r="H23" s="14" t="s">
        <v>158</v>
      </c>
      <c r="I23" s="14">
        <f>IF((ROUND(VLOOKUP(H23,簡易仕様書!$D$30:$L$61,8,FALSE),1))&gt;VLOOKUP(H23,簡易仕様書!$D$30:$L$61,7,FALSE),
VLOOKUP(H23,簡易仕様書!$D$30:$L$61,9,FALSE)-0.1,VLOOKUP(H23,簡易仕様書!$D$30:$L$61,9,FALSE))</f>
        <v>11.8</v>
      </c>
      <c r="J23" s="11" t="str">
        <f t="shared" si="0"/>
        <v>薬剤にイオマゼニルを選択、体重に11.8と入力して計算ボタンを押す</v>
      </c>
      <c r="K23" s="11" t="str">
        <f>("体重:")&amp;I23&amp;("kg、薬剤名:")&amp;Y23&amp;INDEX(簡易仕様書!$A$30:$A$61,MATCH(H23,簡易仕様書!$D$30:$D$61,0))&amp;("、投与量:")&amp;U23&amp;("MBqと表示されること")</f>
        <v>体重:11.8kg、薬剤名:I-123イオマゼニル、投与量:40MBqと表示されること</v>
      </c>
      <c r="L23" s="14" t="s">
        <v>337</v>
      </c>
      <c r="M23" s="14" t="s">
        <v>369</v>
      </c>
      <c r="N23" s="26">
        <v>45714.303888888891</v>
      </c>
      <c r="O23" s="11"/>
      <c r="P23" s="11"/>
      <c r="Q23" s="11"/>
      <c r="R23" s="11"/>
      <c r="U23">
        <f>IF(VLOOKUP(H23,簡易仕様書!$D$30:$J$61,7,FALSE)&gt;V23,VLOOKUP(H23,簡易仕様書!$D$30:$J$61,7,FALSE),V23)</f>
        <v>40</v>
      </c>
      <c r="V23">
        <f t="shared" si="5"/>
        <v>40</v>
      </c>
      <c r="W23" t="str">
        <f>VLOOKUP(H23,簡易仕様書!$D$30:$J$61,5,FALSE)</f>
        <v>B</v>
      </c>
      <c r="X23">
        <f>VLOOKUP(H23,簡易仕様書!$D$30:$J$61,6,FALSE)</f>
        <v>13</v>
      </c>
      <c r="Y23" t="str">
        <f>VLOOKUP(H23,簡易仕様書!$D$30:$M$61,10,FALSE)</f>
        <v>I-123</v>
      </c>
      <c r="Z23" t="str">
        <f t="shared" si="1"/>
        <v/>
      </c>
      <c r="AA23" t="str">
        <f t="shared" si="2"/>
        <v/>
      </c>
      <c r="AB23" t="str">
        <f>VLOOKUP(H23,簡易仕様書!$D$30:$F$61,3,FALSE)</f>
        <v>bz</v>
      </c>
      <c r="AC23" t="str">
        <f>INDEX(簡易仕様書!$A$30:$A$61,MATCH(H23,簡易仕様書!$D$30:$D$61,0))</f>
        <v>イオマゼニル</v>
      </c>
    </row>
    <row r="24" spans="1:29">
      <c r="A24" s="14">
        <v>21</v>
      </c>
      <c r="B24" s="44"/>
      <c r="C24" s="46"/>
      <c r="D24" s="40"/>
      <c r="E24" s="40"/>
      <c r="F24" s="14" t="s">
        <v>267</v>
      </c>
      <c r="G24" s="14" t="s">
        <v>269</v>
      </c>
      <c r="H24" s="14" t="s">
        <v>158</v>
      </c>
      <c r="I24" s="14">
        <f t="shared" ref="I24" si="19">I23+0.1</f>
        <v>11.9</v>
      </c>
      <c r="J24" s="11" t="str">
        <f t="shared" si="0"/>
        <v>薬剤にイオマゼニルを選択、体重に11.9と入力して計算ボタンを押す</v>
      </c>
      <c r="K24" s="11" t="str">
        <f>("体重:")&amp;I24&amp;("kg、薬剤名:")&amp;Y24&amp;INDEX(簡易仕様書!$A$30:$A$61,MATCH(H24,簡易仕様書!$D$30:$D$61,0))&amp;("、投与量:")&amp;U24&amp;("MBqと表示されること")</f>
        <v>体重:11.9kg、薬剤名:I-123イオマゼニル、投与量:40.3MBqと表示されること</v>
      </c>
      <c r="L24" s="14" t="s">
        <v>337</v>
      </c>
      <c r="M24" s="14" t="s">
        <v>369</v>
      </c>
      <c r="N24" s="26">
        <v>45714.303912037038</v>
      </c>
      <c r="O24" s="11"/>
      <c r="P24" s="11"/>
      <c r="Q24" s="11"/>
      <c r="R24" s="11"/>
      <c r="U24">
        <f>IF(VLOOKUP(H24,簡易仕様書!$D$30:$J$61,7,FALSE)&gt;V24,VLOOKUP(H24,簡易仕様書!$D$30:$J$61,7,FALSE),V24)</f>
        <v>40.299999999999997</v>
      </c>
      <c r="V24">
        <f t="shared" si="5"/>
        <v>40.299999999999997</v>
      </c>
      <c r="W24" t="str">
        <f>VLOOKUP(H24,簡易仕様書!$D$30:$J$61,5,FALSE)</f>
        <v>B</v>
      </c>
      <c r="X24">
        <f>VLOOKUP(H24,簡易仕様書!$D$30:$J$61,6,FALSE)</f>
        <v>13</v>
      </c>
      <c r="Y24" t="str">
        <f>VLOOKUP(H24,簡易仕様書!$D$30:$M$61,10,FALSE)</f>
        <v>I-123</v>
      </c>
      <c r="Z24" t="str">
        <f t="shared" si="1"/>
        <v/>
      </c>
      <c r="AA24" t="str">
        <f t="shared" si="2"/>
        <v/>
      </c>
      <c r="AB24" t="str">
        <f>VLOOKUP(H24,簡易仕様書!$D$30:$F$61,3,FALSE)</f>
        <v>bz</v>
      </c>
      <c r="AC24" t="str">
        <f>INDEX(簡易仕様書!$A$30:$A$61,MATCH(H24,簡易仕様書!$D$30:$D$61,0))</f>
        <v>イオマゼニル</v>
      </c>
    </row>
    <row r="25" spans="1:29">
      <c r="A25" s="14">
        <v>22</v>
      </c>
      <c r="B25" s="44"/>
      <c r="C25" s="46"/>
      <c r="D25" s="40"/>
      <c r="E25" s="40"/>
      <c r="F25" s="14" t="s">
        <v>267</v>
      </c>
      <c r="G25" s="14" t="s">
        <v>269</v>
      </c>
      <c r="H25" s="14" t="s">
        <v>158</v>
      </c>
      <c r="I25" s="14">
        <v>0.1</v>
      </c>
      <c r="J25" s="11" t="str">
        <f t="shared" si="0"/>
        <v>薬剤にイオマゼニルを選択、体重に0.1と入力して計算ボタンを押す</v>
      </c>
      <c r="K25" s="11" t="str">
        <f>("体重:")&amp;I25&amp;("kg、薬剤名:")&amp;Y25&amp;INDEX(簡易仕様書!$A$30:$A$61,MATCH(H25,簡易仕様書!$D$30:$D$61,0))&amp;("、投与量:")&amp;U25&amp;("MBqと表示されること")</f>
        <v>体重:0.1kg、薬剤名:I-123イオマゼニル、投与量:40MBqと表示されること</v>
      </c>
      <c r="L25" s="14" t="s">
        <v>337</v>
      </c>
      <c r="M25" s="14" t="s">
        <v>369</v>
      </c>
      <c r="N25" s="26">
        <v>45714.303923611114</v>
      </c>
      <c r="O25" s="11"/>
      <c r="P25" s="11"/>
      <c r="Q25" s="11"/>
      <c r="R25" s="11"/>
      <c r="U25">
        <f>IF(VLOOKUP(H25,簡易仕様書!$D$30:$J$61,7,FALSE)&gt;V25,VLOOKUP(H25,簡易仕様書!$D$30:$J$61,7,FALSE),V25)</f>
        <v>40</v>
      </c>
      <c r="V25">
        <f t="shared" si="5"/>
        <v>2.2000000000000002</v>
      </c>
      <c r="W25" t="str">
        <f>VLOOKUP(H25,簡易仕様書!$D$30:$J$61,5,FALSE)</f>
        <v>B</v>
      </c>
      <c r="X25">
        <f>VLOOKUP(H25,簡易仕様書!$D$30:$J$61,6,FALSE)</f>
        <v>13</v>
      </c>
      <c r="Y25" t="str">
        <f>VLOOKUP(H25,簡易仕様書!$D$30:$M$61,10,FALSE)</f>
        <v>I-123</v>
      </c>
      <c r="Z25" t="str">
        <f t="shared" si="1"/>
        <v/>
      </c>
      <c r="AA25" t="str">
        <f t="shared" si="2"/>
        <v/>
      </c>
      <c r="AB25" t="str">
        <f>VLOOKUP(H25,簡易仕様書!$D$30:$F$61,3,FALSE)</f>
        <v>bz</v>
      </c>
      <c r="AC25" t="str">
        <f>INDEX(簡易仕様書!$A$30:$A$61,MATCH(H25,簡易仕様書!$D$30:$D$61,0))</f>
        <v>イオマゼニル</v>
      </c>
    </row>
    <row r="26" spans="1:29">
      <c r="A26" s="14">
        <v>23</v>
      </c>
      <c r="B26" s="44"/>
      <c r="C26" s="46"/>
      <c r="D26" s="40"/>
      <c r="E26" s="40"/>
      <c r="F26" s="14" t="s">
        <v>267</v>
      </c>
      <c r="G26" s="14" t="s">
        <v>269</v>
      </c>
      <c r="H26" s="14" t="s">
        <v>158</v>
      </c>
      <c r="I26" s="14">
        <v>70</v>
      </c>
      <c r="J26" s="11" t="str">
        <f t="shared" ref="J26" si="20">("薬剤に")&amp;H26&amp;("を選択、体重に")&amp;I26&amp;("と入力して計算ボタンを押す")</f>
        <v>薬剤にイオマゼニルを選択、体重に70と入力して計算ボタンを押す</v>
      </c>
      <c r="K26" s="11" t="str">
        <f>("体重:")&amp;I26&amp;("kg、薬剤名:")&amp;Y26&amp;INDEX(簡易仕様書!$A$30:$A$61,MATCH(H26,簡易仕様書!$D$30:$D$61,0))&amp;("、投与量:")&amp;U26&amp;("MBqと表示されること")</f>
        <v>体重:70kg、薬剤名:I-123イオマゼニル、投与量:184.8MBqと表示されること</v>
      </c>
      <c r="L26" s="14" t="s">
        <v>337</v>
      </c>
      <c r="M26" s="14" t="s">
        <v>369</v>
      </c>
      <c r="N26" s="26">
        <v>45714.303946759261</v>
      </c>
      <c r="O26" s="11"/>
      <c r="P26" s="11"/>
      <c r="Q26" s="11"/>
      <c r="R26" s="11"/>
      <c r="U26">
        <f>IF(VLOOKUP(H26,簡易仕様書!$D$30:$J$61,7,FALSE)&gt;V26,VLOOKUP(H26,簡易仕様書!$D$30:$J$61,7,FALSE),V26)</f>
        <v>184.8</v>
      </c>
      <c r="V26">
        <f t="shared" ref="V26" si="21">ROUND(IF(W26="A",((-0.00000028)*I26^4+0.00004915*I26^3+(-0.00337375)*I26^2+0.1677306*I26+0.53976823)*X26,
IF(W26="B",((-0.00000023)*I26^4+0.00003846*I26^3-0.00262028*I26^2+0.27495836*I26+0.14075609)*X26,
(-0.00000001*I26^4-0.00001462*I26^3+0.00247677*I26^2+0.38073934*I26-0.24312323)*X26)),1)</f>
        <v>184.8</v>
      </c>
      <c r="W26" t="str">
        <f>VLOOKUP(H26,簡易仕様書!$D$30:$J$61,5,FALSE)</f>
        <v>B</v>
      </c>
      <c r="X26">
        <f>VLOOKUP(H26,簡易仕様書!$D$30:$J$61,6,FALSE)</f>
        <v>13</v>
      </c>
      <c r="Y26" t="str">
        <f>VLOOKUP(H26,簡易仕様書!$D$30:$M$61,10,FALSE)</f>
        <v>I-123</v>
      </c>
      <c r="Z26" t="str">
        <f t="shared" si="1"/>
        <v/>
      </c>
      <c r="AA26" t="str">
        <f t="shared" si="2"/>
        <v/>
      </c>
      <c r="AB26" t="str">
        <f>VLOOKUP(H26,簡易仕様書!$D$30:$F$61,3,FALSE)</f>
        <v>bz</v>
      </c>
      <c r="AC26" t="str">
        <f>INDEX(簡易仕様書!$A$30:$A$61,MATCH(H26,簡易仕様書!$D$30:$D$61,0))</f>
        <v>イオマゼニル</v>
      </c>
    </row>
    <row r="27" spans="1:29">
      <c r="A27" s="14">
        <v>24</v>
      </c>
      <c r="B27" s="44"/>
      <c r="C27" s="46"/>
      <c r="D27" s="40"/>
      <c r="E27" s="40"/>
      <c r="F27" s="14" t="s">
        <v>267</v>
      </c>
      <c r="G27" s="14" t="s">
        <v>269</v>
      </c>
      <c r="H27" s="14" t="s">
        <v>159</v>
      </c>
      <c r="I27" s="14">
        <f>IF((ROUND(VLOOKUP(H27,簡易仕様書!$D$30:$L$61,8,FALSE),1))&gt;VLOOKUP(H27,簡易仕様書!$D$30:$L$61,7,FALSE),
VLOOKUP(H27,簡易仕様書!$D$30:$L$61,9,FALSE)-0.1,VLOOKUP(H27,簡易仕様書!$D$30:$L$61,9,FALSE))</f>
        <v>7.3</v>
      </c>
      <c r="J27" s="11" t="str">
        <f t="shared" si="0"/>
        <v>薬剤にBMIPPを選択、体重に7.3と入力して計算ボタンを押す</v>
      </c>
      <c r="K27" s="11" t="str">
        <f>("体重:")&amp;I27&amp;("kg、薬剤名:")&amp;Y27&amp;INDEX(簡易仕様書!$A$30:$A$61,MATCH(H27,簡易仕様書!$D$30:$D$61,0))&amp;("、投与量:")&amp;U27&amp;("MBqと表示されること")</f>
        <v>体重:7.3kg、薬剤名:I-123BMIPP、投与量:16MBqと表示されること</v>
      </c>
      <c r="L27" s="14" t="s">
        <v>337</v>
      </c>
      <c r="M27" s="14" t="s">
        <v>369</v>
      </c>
      <c r="N27" s="26">
        <v>45714.303969907407</v>
      </c>
      <c r="O27" s="11"/>
      <c r="P27" s="11"/>
      <c r="Q27" s="11"/>
      <c r="R27" s="11"/>
      <c r="U27">
        <f>IF(VLOOKUP(H27,簡易仕様書!$D$30:$J$61,7,FALSE)&gt;V27,VLOOKUP(H27,簡易仕様書!$D$30:$J$61,7,FALSE),V27)</f>
        <v>16</v>
      </c>
      <c r="V27">
        <f t="shared" si="5"/>
        <v>16</v>
      </c>
      <c r="W27" t="str">
        <f>VLOOKUP(H27,簡易仕様書!$D$30:$J$61,5,FALSE)</f>
        <v>B</v>
      </c>
      <c r="X27">
        <f>VLOOKUP(H27,簡易仕様書!$D$30:$J$61,6,FALSE)</f>
        <v>7.9</v>
      </c>
      <c r="Y27" t="str">
        <f>VLOOKUP(H27,簡易仕様書!$D$30:$M$61,10,FALSE)</f>
        <v>I-123</v>
      </c>
      <c r="Z27" t="str">
        <f t="shared" si="1"/>
        <v/>
      </c>
      <c r="AA27" t="str">
        <f t="shared" si="2"/>
        <v/>
      </c>
      <c r="AB27" t="str">
        <f>VLOOKUP(H27,簡易仕様書!$D$30:$F$61,3,FALSE)</f>
        <v>bmipp</v>
      </c>
      <c r="AC27" t="str">
        <f>INDEX(簡易仕様書!$A$30:$A$61,MATCH(H27,簡易仕様書!$D$30:$D$61,0))</f>
        <v>BMIPP</v>
      </c>
    </row>
    <row r="28" spans="1:29">
      <c r="A28" s="14">
        <v>25</v>
      </c>
      <c r="B28" s="44"/>
      <c r="C28" s="46"/>
      <c r="D28" s="40"/>
      <c r="E28" s="40"/>
      <c r="F28" s="14" t="s">
        <v>267</v>
      </c>
      <c r="G28" s="14" t="s">
        <v>269</v>
      </c>
      <c r="H28" s="14" t="s">
        <v>159</v>
      </c>
      <c r="I28" s="14">
        <f t="shared" ref="I28" si="22">I27+0.1</f>
        <v>7.3999999999999995</v>
      </c>
      <c r="J28" s="11" t="str">
        <f t="shared" si="0"/>
        <v>薬剤にBMIPPを選択、体重に7.4と入力して計算ボタンを押す</v>
      </c>
      <c r="K28" s="11" t="str">
        <f>("体重:")&amp;I28&amp;("kg、薬剤名:")&amp;Y28&amp;INDEX(簡易仕様書!$A$30:$A$61,MATCH(H28,簡易仕様書!$D$30:$D$61,0))&amp;("、投与量:")&amp;U28&amp;("MBqと表示されること")</f>
        <v>体重:7.4kg、薬剤名:I-123BMIPP、投与量:16.2MBqと表示されること</v>
      </c>
      <c r="L28" s="14" t="s">
        <v>337</v>
      </c>
      <c r="M28" s="14" t="s">
        <v>369</v>
      </c>
      <c r="N28" s="26">
        <v>45714.303993055553</v>
      </c>
      <c r="O28" s="11"/>
      <c r="P28" s="11"/>
      <c r="Q28" s="11"/>
      <c r="R28" s="11"/>
      <c r="U28">
        <f>IF(VLOOKUP(H28,簡易仕様書!$D$30:$J$61,7,FALSE)&gt;V28,VLOOKUP(H28,簡易仕様書!$D$30:$J$61,7,FALSE),V28)</f>
        <v>16.2</v>
      </c>
      <c r="V28">
        <f t="shared" si="5"/>
        <v>16.2</v>
      </c>
      <c r="W28" t="str">
        <f>VLOOKUP(H28,簡易仕様書!$D$30:$J$61,5,FALSE)</f>
        <v>B</v>
      </c>
      <c r="X28">
        <f>VLOOKUP(H28,簡易仕様書!$D$30:$J$61,6,FALSE)</f>
        <v>7.9</v>
      </c>
      <c r="Y28" t="str">
        <f>VLOOKUP(H28,簡易仕様書!$D$30:$M$61,10,FALSE)</f>
        <v>I-123</v>
      </c>
      <c r="Z28" t="str">
        <f t="shared" si="1"/>
        <v/>
      </c>
      <c r="AA28" t="str">
        <f t="shared" si="2"/>
        <v/>
      </c>
      <c r="AB28" t="str">
        <f>VLOOKUP(H28,簡易仕様書!$D$30:$F$61,3,FALSE)</f>
        <v>bmipp</v>
      </c>
      <c r="AC28" t="str">
        <f>INDEX(簡易仕様書!$A$30:$A$61,MATCH(H28,簡易仕様書!$D$30:$D$61,0))</f>
        <v>BMIPP</v>
      </c>
    </row>
    <row r="29" spans="1:29">
      <c r="A29" s="14">
        <v>26</v>
      </c>
      <c r="B29" s="44"/>
      <c r="C29" s="46"/>
      <c r="D29" s="40"/>
      <c r="E29" s="40"/>
      <c r="F29" s="14" t="s">
        <v>267</v>
      </c>
      <c r="G29" s="14" t="s">
        <v>269</v>
      </c>
      <c r="H29" s="14" t="s">
        <v>159</v>
      </c>
      <c r="I29" s="14">
        <v>0.1</v>
      </c>
      <c r="J29" s="11" t="str">
        <f t="shared" si="0"/>
        <v>薬剤にBMIPPを選択、体重に0.1と入力して計算ボタンを押す</v>
      </c>
      <c r="K29" s="11" t="str">
        <f>("体重:")&amp;I29&amp;("kg、薬剤名:")&amp;Y29&amp;INDEX(簡易仕様書!$A$30:$A$61,MATCH(H29,簡易仕様書!$D$30:$D$61,0))&amp;("、投与量:")&amp;U29&amp;("MBqと表示されること")</f>
        <v>体重:0.1kg、薬剤名:I-123BMIPP、投与量:16MBqと表示されること</v>
      </c>
      <c r="L29" s="14" t="s">
        <v>337</v>
      </c>
      <c r="M29" s="14" t="s">
        <v>369</v>
      </c>
      <c r="N29" s="26">
        <v>45714.304016203707</v>
      </c>
      <c r="O29" s="11"/>
      <c r="P29" s="11"/>
      <c r="Q29" s="11"/>
      <c r="R29" s="11"/>
      <c r="U29">
        <f>IF(VLOOKUP(H29,簡易仕様書!$D$30:$J$61,7,FALSE)&gt;V29,VLOOKUP(H29,簡易仕様書!$D$30:$J$61,7,FALSE),V29)</f>
        <v>16</v>
      </c>
      <c r="V29">
        <f>ROUND(IF(W29="A",((-0.00000028)*I29^4+0.00004915*I29^3+(-0.00337375)*I29^2+0.1677306*I29+0.53976823)*X29,
IF(W29="B",((-0.00000023)*I29^4+0.00003846*I29^3-0.00262028*I29^2+0.27495836*I29+0.14075609)*X29,
(-0.00000001*I29^4-0.00001462*I29^3+0.00247677*I29^2+0.38073934*I29-0.24312323)*X29)),1)</f>
        <v>1.3</v>
      </c>
      <c r="W29" t="str">
        <f>VLOOKUP(H29,簡易仕様書!$D$30:$J$61,5,FALSE)</f>
        <v>B</v>
      </c>
      <c r="X29">
        <f>VLOOKUP(H29,簡易仕様書!$D$30:$J$61,6,FALSE)</f>
        <v>7.9</v>
      </c>
      <c r="Y29" t="str">
        <f>VLOOKUP(H29,簡易仕様書!$D$30:$M$61,10,FALSE)</f>
        <v>I-123</v>
      </c>
      <c r="Z29" t="str">
        <f t="shared" si="1"/>
        <v/>
      </c>
      <c r="AA29" t="str">
        <f t="shared" si="2"/>
        <v/>
      </c>
      <c r="AB29" t="str">
        <f>VLOOKUP(H29,簡易仕様書!$D$30:$F$61,3,FALSE)</f>
        <v>bmipp</v>
      </c>
      <c r="AC29" t="str">
        <f>INDEX(簡易仕様書!$A$30:$A$61,MATCH(H29,簡易仕様書!$D$30:$D$61,0))</f>
        <v>BMIPP</v>
      </c>
    </row>
    <row r="30" spans="1:29">
      <c r="A30" s="14">
        <v>27</v>
      </c>
      <c r="B30" s="44"/>
      <c r="C30" s="46"/>
      <c r="D30" s="40"/>
      <c r="E30" s="40"/>
      <c r="F30" s="14" t="s">
        <v>267</v>
      </c>
      <c r="G30" s="14" t="s">
        <v>269</v>
      </c>
      <c r="H30" s="14" t="s">
        <v>159</v>
      </c>
      <c r="I30" s="14">
        <v>70</v>
      </c>
      <c r="J30" s="11" t="str">
        <f t="shared" ref="J30" si="23">("薬剤に")&amp;H30&amp;("を選択、体重に")&amp;I30&amp;("と入力して計算ボタンを押す")</f>
        <v>薬剤にBMIPPを選択、体重に70と入力して計算ボタンを押す</v>
      </c>
      <c r="K30" s="11" t="str">
        <f>("体重:")&amp;I30&amp;("kg、薬剤名:")&amp;Y30&amp;INDEX(簡易仕様書!$A$30:$A$61,MATCH(H30,簡易仕様書!$D$30:$D$61,0))&amp;("、投与量:")&amp;U30&amp;("MBqと表示されること")</f>
        <v>体重:70kg、薬剤名:I-123BMIPP、投与量:112.3MBqと表示されること</v>
      </c>
      <c r="L30" s="14" t="s">
        <v>337</v>
      </c>
      <c r="M30" s="14" t="s">
        <v>369</v>
      </c>
      <c r="N30" s="26">
        <v>45714.304039351853</v>
      </c>
      <c r="O30" s="11"/>
      <c r="P30" s="11"/>
      <c r="Q30" s="11"/>
      <c r="R30" s="11"/>
      <c r="U30">
        <f>IF(VLOOKUP(H30,簡易仕様書!$D$30:$J$61,7,FALSE)&gt;V30,VLOOKUP(H30,簡易仕様書!$D$30:$J$61,7,FALSE),V30)</f>
        <v>112.3</v>
      </c>
      <c r="V30">
        <f>ROUND(IF(W30="A",((-0.00000028)*I30^4+0.00004915*I30^3+(-0.00337375)*I30^2+0.1677306*I30+0.53976823)*X30,
IF(W30="B",((-0.00000023)*I30^4+0.00003846*I30^3-0.00262028*I30^2+0.27495836*I30+0.14075609)*X30,
(-0.00000001*I30^4-0.00001462*I30^3+0.00247677*I30^2+0.38073934*I30-0.24312323)*X30)),1)</f>
        <v>112.3</v>
      </c>
      <c r="W30" t="str">
        <f>VLOOKUP(H30,簡易仕様書!$D$30:$J$61,5,FALSE)</f>
        <v>B</v>
      </c>
      <c r="X30">
        <f>VLOOKUP(H30,簡易仕様書!$D$30:$J$61,6,FALSE)</f>
        <v>7.9</v>
      </c>
      <c r="Y30" t="str">
        <f>VLOOKUP(H30,簡易仕様書!$D$30:$M$61,10,FALSE)</f>
        <v>I-123</v>
      </c>
      <c r="Z30" t="str">
        <f t="shared" si="1"/>
        <v/>
      </c>
      <c r="AA30" t="str">
        <f t="shared" si="2"/>
        <v/>
      </c>
      <c r="AB30" t="str">
        <f>VLOOKUP(H30,簡易仕様書!$D$30:$F$61,3,FALSE)</f>
        <v>bmipp</v>
      </c>
      <c r="AC30" t="str">
        <f>INDEX(簡易仕様書!$A$30:$A$61,MATCH(H30,簡易仕様書!$D$30:$D$61,0))</f>
        <v>BMIPP</v>
      </c>
    </row>
    <row r="31" spans="1:29">
      <c r="A31" s="14">
        <v>28</v>
      </c>
      <c r="B31" s="44"/>
      <c r="C31" s="46"/>
      <c r="D31" s="40"/>
      <c r="E31" s="40"/>
      <c r="F31" s="14" t="s">
        <v>267</v>
      </c>
      <c r="G31" s="14" t="s">
        <v>269</v>
      </c>
      <c r="H31" s="14" t="s">
        <v>272</v>
      </c>
      <c r="I31" s="14">
        <f>IF((ROUND(VLOOKUP(H31,簡易仕様書!$D$30:$L$61,8,FALSE),1))&gt;VLOOKUP(H31,簡易仕様書!$D$30:$L$61,7,FALSE),
VLOOKUP(H31,簡易仕様書!$D$30:$L$61,9,FALSE)-0.1,VLOOKUP(H31,簡易仕様書!$D$30:$L$61,9,FALSE))</f>
        <v>4.9000000000000004</v>
      </c>
      <c r="J31" s="11" t="str">
        <f t="shared" si="0"/>
        <v>薬剤にFDG（体幹）を選択、体重に4.9と入力して計算ボタンを押す</v>
      </c>
      <c r="K31" s="11" t="str">
        <f>("体重:")&amp;I31&amp;("kg、薬剤名:")&amp;Y31&amp;INDEX(簡易仕様書!$A$30:$A$61,MATCH(H31,簡易仕様書!$D$30:$D$61,0))&amp;("、投与量:")&amp;U31&amp;("MBqと表示されること")</f>
        <v>体重:4.9kg、薬剤名:F-18FDG（体幹）、投与量:26MBqと表示されること</v>
      </c>
      <c r="L31" s="14" t="s">
        <v>337</v>
      </c>
      <c r="M31" s="14" t="s">
        <v>369</v>
      </c>
      <c r="N31" s="26">
        <v>45714.304062499999</v>
      </c>
      <c r="O31" s="11"/>
      <c r="P31" s="11"/>
      <c r="Q31" s="11"/>
      <c r="R31" s="11"/>
      <c r="U31">
        <f>IF(VLOOKUP(H31,簡易仕様書!$D$30:$J$61,7,FALSE)&gt;V31,VLOOKUP(H31,簡易仕様書!$D$30:$J$61,7,FALSE),V31)</f>
        <v>26</v>
      </c>
      <c r="V31">
        <f t="shared" si="5"/>
        <v>25.7</v>
      </c>
      <c r="W31" t="str">
        <f>VLOOKUP(H31,簡易仕様書!$D$30:$J$61,5,FALSE)</f>
        <v>B</v>
      </c>
      <c r="X31">
        <f>VLOOKUP(H31,簡易仕様書!$D$30:$J$61,6,FALSE)</f>
        <v>18</v>
      </c>
      <c r="Y31" t="str">
        <f>VLOOKUP(H31,簡易仕様書!$D$30:$M$61,10,FALSE)</f>
        <v>F-18</v>
      </c>
      <c r="Z31" t="str">
        <f t="shared" si="1"/>
        <v/>
      </c>
      <c r="AA31" t="str">
        <f t="shared" si="2"/>
        <v/>
      </c>
      <c r="AB31" t="str">
        <f>VLOOKUP(H31,簡易仕様書!$D$30:$F$61,3,FALSE)</f>
        <v>fdg</v>
      </c>
      <c r="AC31" t="str">
        <f>INDEX(簡易仕様書!$A$30:$A$61,MATCH(H31,簡易仕様書!$D$30:$D$61,0))</f>
        <v>FDG（体幹）</v>
      </c>
    </row>
    <row r="32" spans="1:29">
      <c r="A32" s="14">
        <v>29</v>
      </c>
      <c r="B32" s="44"/>
      <c r="C32" s="46"/>
      <c r="D32" s="40"/>
      <c r="E32" s="40"/>
      <c r="F32" s="14" t="s">
        <v>267</v>
      </c>
      <c r="G32" s="14" t="s">
        <v>269</v>
      </c>
      <c r="H32" s="14" t="s">
        <v>272</v>
      </c>
      <c r="I32" s="14">
        <f>I31+0.1</f>
        <v>5</v>
      </c>
      <c r="J32" s="11" t="str">
        <f t="shared" si="0"/>
        <v>薬剤にFDG（体幹）を選択、体重に5と入力して計算ボタンを押す</v>
      </c>
      <c r="K32" s="11" t="str">
        <f>("体重:")&amp;I32&amp;("kg、薬剤名:")&amp;Y32&amp;INDEX(簡易仕様書!$A$30:$A$61,MATCH(H32,簡易仕様書!$D$30:$D$61,0))&amp;("、投与量:")&amp;U32&amp;("MBqと表示されること")</f>
        <v>体重:5kg、薬剤名:F-18FDG（体幹）、投与量:26.2MBqと表示されること</v>
      </c>
      <c r="L32" s="14" t="s">
        <v>337</v>
      </c>
      <c r="M32" s="14" t="s">
        <v>369</v>
      </c>
      <c r="N32" s="26">
        <v>45714.304085648146</v>
      </c>
      <c r="O32" s="11"/>
      <c r="P32" s="11"/>
      <c r="Q32" s="11"/>
      <c r="R32" s="11"/>
      <c r="U32">
        <f>IF(VLOOKUP(H32,簡易仕様書!$D$30:$J$61,7,FALSE)&gt;V32,VLOOKUP(H32,簡易仕様書!$D$30:$J$61,7,FALSE),V32)</f>
        <v>26.2</v>
      </c>
      <c r="V32">
        <f t="shared" si="5"/>
        <v>26.2</v>
      </c>
      <c r="W32" t="str">
        <f>VLOOKUP(H32,簡易仕様書!$D$30:$J$61,5,FALSE)</f>
        <v>B</v>
      </c>
      <c r="X32">
        <f>VLOOKUP(H32,簡易仕様書!$D$30:$J$61,6,FALSE)</f>
        <v>18</v>
      </c>
      <c r="Y32" t="str">
        <f>VLOOKUP(H32,簡易仕様書!$D$30:$M$61,10,FALSE)</f>
        <v>F-18</v>
      </c>
      <c r="Z32" t="str">
        <f t="shared" si="1"/>
        <v/>
      </c>
      <c r="AA32" t="str">
        <f t="shared" si="2"/>
        <v/>
      </c>
      <c r="AB32" t="str">
        <f>VLOOKUP(H32,簡易仕様書!$D$30:$F$61,3,FALSE)</f>
        <v>fdg</v>
      </c>
      <c r="AC32" t="str">
        <f>INDEX(簡易仕様書!$A$30:$A$61,MATCH(H32,簡易仕様書!$D$30:$D$61,0))</f>
        <v>FDG（体幹）</v>
      </c>
    </row>
    <row r="33" spans="1:29">
      <c r="A33" s="14">
        <v>30</v>
      </c>
      <c r="B33" s="44"/>
      <c r="C33" s="46"/>
      <c r="D33" s="40"/>
      <c r="E33" s="40"/>
      <c r="F33" s="14" t="s">
        <v>267</v>
      </c>
      <c r="G33" s="14" t="s">
        <v>269</v>
      </c>
      <c r="H33" s="14" t="s">
        <v>272</v>
      </c>
      <c r="I33" s="14">
        <v>0.1</v>
      </c>
      <c r="J33" s="11" t="str">
        <f t="shared" si="0"/>
        <v>薬剤にFDG（体幹）を選択、体重に0.1と入力して計算ボタンを押す</v>
      </c>
      <c r="K33" s="11" t="str">
        <f>("体重:")&amp;I33&amp;("kg、薬剤名:")&amp;Y33&amp;INDEX(簡易仕様書!$A$30:$A$61,MATCH(H33,簡易仕様書!$D$30:$D$61,0))&amp;("、投与量:")&amp;U33&amp;("MBqと表示されること")</f>
        <v>体重:0.1kg、薬剤名:F-18FDG（体幹）、投与量:26MBqと表示されること</v>
      </c>
      <c r="L33" s="14" t="s">
        <v>337</v>
      </c>
      <c r="M33" s="14" t="s">
        <v>369</v>
      </c>
      <c r="N33" s="26">
        <v>45714.304108796299</v>
      </c>
      <c r="O33" s="11"/>
      <c r="P33" s="11"/>
      <c r="Q33" s="11"/>
      <c r="R33" s="11"/>
      <c r="U33">
        <f>IF(VLOOKUP(H33,簡易仕様書!$D$30:$J$61,7,FALSE)&gt;V33,VLOOKUP(H33,簡易仕様書!$D$30:$J$61,7,FALSE),V33)</f>
        <v>26</v>
      </c>
      <c r="V33">
        <f t="shared" si="5"/>
        <v>3</v>
      </c>
      <c r="W33" t="str">
        <f>VLOOKUP(H33,簡易仕様書!$D$30:$J$61,5,FALSE)</f>
        <v>B</v>
      </c>
      <c r="X33">
        <f>VLOOKUP(H33,簡易仕様書!$D$30:$J$61,6,FALSE)</f>
        <v>18</v>
      </c>
      <c r="Y33" t="str">
        <f>VLOOKUP(H33,簡易仕様書!$D$30:$M$61,10,FALSE)</f>
        <v>F-18</v>
      </c>
      <c r="Z33" t="str">
        <f t="shared" si="1"/>
        <v/>
      </c>
      <c r="AA33" t="str">
        <f t="shared" si="2"/>
        <v/>
      </c>
      <c r="AB33" t="str">
        <f>VLOOKUP(H33,簡易仕様書!$D$30:$F$61,3,FALSE)</f>
        <v>fdg</v>
      </c>
      <c r="AC33" t="str">
        <f>INDEX(簡易仕様書!$A$30:$A$61,MATCH(H33,簡易仕様書!$D$30:$D$61,0))</f>
        <v>FDG（体幹）</v>
      </c>
    </row>
    <row r="34" spans="1:29">
      <c r="A34" s="14">
        <v>31</v>
      </c>
      <c r="B34" s="44"/>
      <c r="C34" s="46"/>
      <c r="D34" s="40"/>
      <c r="E34" s="40"/>
      <c r="F34" s="14" t="s">
        <v>267</v>
      </c>
      <c r="G34" s="14" t="s">
        <v>269</v>
      </c>
      <c r="H34" s="14" t="s">
        <v>272</v>
      </c>
      <c r="I34" s="14">
        <v>70</v>
      </c>
      <c r="J34" s="11" t="str">
        <f t="shared" ref="J34" si="24">("薬剤に")&amp;H34&amp;("を選択、体重に")&amp;I34&amp;("と入力して計算ボタンを押す")</f>
        <v>薬剤にFDG（体幹）を選択、体重に70と入力して計算ボタンを押す</v>
      </c>
      <c r="K34" s="11" t="str">
        <f>("体重:")&amp;I34&amp;("kg、薬剤名:")&amp;Y34&amp;INDEX(簡易仕様書!$A$30:$A$61,MATCH(H34,簡易仕様書!$D$30:$D$61,0))&amp;("、投与量:")&amp;U34&amp;("MBqと表示されること")</f>
        <v>体重:70kg、薬剤名:F-18FDG（体幹）、投与量:255.9MBqと表示されること</v>
      </c>
      <c r="L34" s="14" t="s">
        <v>337</v>
      </c>
      <c r="M34" s="14" t="s">
        <v>369</v>
      </c>
      <c r="N34" s="26">
        <v>45714.304131944446</v>
      </c>
      <c r="O34" s="11"/>
      <c r="P34" s="11"/>
      <c r="Q34" s="11"/>
      <c r="R34" s="11"/>
      <c r="U34">
        <f>IF(VLOOKUP(H34,簡易仕様書!$D$30:$J$61,7,FALSE)&gt;V34,VLOOKUP(H34,簡易仕様書!$D$30:$J$61,7,FALSE),V34)</f>
        <v>255.9</v>
      </c>
      <c r="V34">
        <f t="shared" ref="V34" si="25">ROUND(IF(W34="A",((-0.00000028)*I34^4+0.00004915*I34^3+(-0.00337375)*I34^2+0.1677306*I34+0.53976823)*X34,
IF(W34="B",((-0.00000023)*I34^4+0.00003846*I34^3-0.00262028*I34^2+0.27495836*I34+0.14075609)*X34,
(-0.00000001*I34^4-0.00001462*I34^3+0.00247677*I34^2+0.38073934*I34-0.24312323)*X34)),1)</f>
        <v>255.9</v>
      </c>
      <c r="W34" t="str">
        <f>VLOOKUP(H34,簡易仕様書!$D$30:$J$61,5,FALSE)</f>
        <v>B</v>
      </c>
      <c r="X34">
        <f>VLOOKUP(H34,簡易仕様書!$D$30:$J$61,6,FALSE)</f>
        <v>18</v>
      </c>
      <c r="Y34" t="str">
        <f>VLOOKUP(H34,簡易仕様書!$D$30:$M$61,10,FALSE)</f>
        <v>F-18</v>
      </c>
      <c r="Z34" t="str">
        <f t="shared" si="1"/>
        <v/>
      </c>
      <c r="AA34" t="str">
        <f t="shared" si="2"/>
        <v/>
      </c>
      <c r="AB34" t="str">
        <f>VLOOKUP(H34,簡易仕様書!$D$30:$F$61,3,FALSE)</f>
        <v>fdg</v>
      </c>
      <c r="AC34" t="str">
        <f>INDEX(簡易仕様書!$A$30:$A$61,MATCH(H34,簡易仕様書!$D$30:$D$61,0))</f>
        <v>FDG（体幹）</v>
      </c>
    </row>
    <row r="35" spans="1:29">
      <c r="A35" s="14">
        <v>32</v>
      </c>
      <c r="B35" s="44"/>
      <c r="C35" s="46"/>
      <c r="D35" s="40"/>
      <c r="E35" s="40"/>
      <c r="F35" s="14" t="s">
        <v>267</v>
      </c>
      <c r="G35" s="14" t="s">
        <v>269</v>
      </c>
      <c r="H35" s="14" t="s">
        <v>273</v>
      </c>
      <c r="I35" s="14">
        <f>IF((ROUND(VLOOKUP(H35,簡易仕様書!$D$30:$L$61,8,FALSE),1))&gt;VLOOKUP(H35,簡易仕様書!$D$30:$L$61,7,FALSE),
VLOOKUP(H35,簡易仕様書!$D$30:$L$61,9,FALSE)-0.1,VLOOKUP(H35,簡易仕様書!$D$30:$L$61,9,FALSE))</f>
        <v>3.2</v>
      </c>
      <c r="J35" s="11" t="str">
        <f t="shared" si="0"/>
        <v>薬剤にFDG（脳）を選択、体重に3.2と入力して計算ボタンを押す</v>
      </c>
      <c r="K35" s="11" t="str">
        <f>("体重:")&amp;I35&amp;("kg、薬剤名:")&amp;Y35&amp;INDEX(簡易仕様書!$A$30:$A$61,MATCH(H35,簡易仕様書!$D$30:$D$61,0))&amp;("、投与量:")&amp;U35&amp;("MBqと表示されること")</f>
        <v>体重:3.2kg、薬剤名:F-18FDG（脳）、投与量:14MBqと表示されること</v>
      </c>
      <c r="L35" s="14" t="s">
        <v>337</v>
      </c>
      <c r="M35" s="14" t="s">
        <v>369</v>
      </c>
      <c r="N35" s="26">
        <v>45714.304155092592</v>
      </c>
      <c r="O35" s="11"/>
      <c r="P35" s="11"/>
      <c r="Q35" s="11"/>
      <c r="R35" s="11"/>
      <c r="U35">
        <f>IF(VLOOKUP(H35,簡易仕様書!$D$30:$J$61,7,FALSE)&gt;V35,VLOOKUP(H35,簡易仕様書!$D$30:$J$61,7,FALSE),V35)</f>
        <v>14</v>
      </c>
      <c r="V35">
        <f t="shared" si="5"/>
        <v>13.9</v>
      </c>
      <c r="W35" t="str">
        <f>VLOOKUP(H35,簡易仕様書!$D$30:$J$61,5,FALSE)</f>
        <v>B</v>
      </c>
      <c r="X35">
        <f>VLOOKUP(H35,簡易仕様書!$D$30:$J$61,6,FALSE)</f>
        <v>14</v>
      </c>
      <c r="Y35" t="str">
        <f>VLOOKUP(H35,簡易仕様書!$D$30:$M$61,10,FALSE)</f>
        <v>F-18</v>
      </c>
      <c r="Z35" t="str">
        <f t="shared" si="1"/>
        <v/>
      </c>
      <c r="AA35" t="str">
        <f t="shared" si="2"/>
        <v/>
      </c>
      <c r="AB35" t="str">
        <f>VLOOKUP(H35,簡易仕様書!$D$30:$F$61,3,FALSE)</f>
        <v>fdgbrain</v>
      </c>
      <c r="AC35" t="str">
        <f>INDEX(簡易仕様書!$A$30:$A$61,MATCH(H35,簡易仕様書!$D$30:$D$61,0))</f>
        <v>FDG（脳）</v>
      </c>
    </row>
    <row r="36" spans="1:29">
      <c r="A36" s="14">
        <v>33</v>
      </c>
      <c r="B36" s="44"/>
      <c r="C36" s="46"/>
      <c r="D36" s="40"/>
      <c r="E36" s="40"/>
      <c r="F36" s="14" t="s">
        <v>267</v>
      </c>
      <c r="G36" s="14" t="s">
        <v>269</v>
      </c>
      <c r="H36" s="14" t="s">
        <v>273</v>
      </c>
      <c r="I36" s="14">
        <f>I35+0.1</f>
        <v>3.3000000000000003</v>
      </c>
      <c r="J36" s="11" t="str">
        <f t="shared" si="0"/>
        <v>薬剤にFDG（脳）を選択、体重に3.3と入力して計算ボタンを押す</v>
      </c>
      <c r="K36" s="11" t="str">
        <f>("体重:")&amp;I36&amp;("kg、薬剤名:")&amp;Y36&amp;INDEX(簡易仕様書!$A$30:$A$61,MATCH(H36,簡易仕様書!$D$30:$D$61,0))&amp;("、投与量:")&amp;U36&amp;("MBqと表示されること")</f>
        <v>体重:3.3kg、薬剤名:F-18FDG（脳）、投与量:14.3MBqと表示されること</v>
      </c>
      <c r="L36" s="14" t="s">
        <v>337</v>
      </c>
      <c r="M36" s="14" t="s">
        <v>369</v>
      </c>
      <c r="N36" s="26">
        <v>45714.304178240738</v>
      </c>
      <c r="O36" s="11"/>
      <c r="P36" s="11"/>
      <c r="Q36" s="11"/>
      <c r="R36" s="11"/>
      <c r="U36">
        <f>IF(VLOOKUP(H36,簡易仕様書!$D$30:$J$61,7,FALSE)&gt;V36,VLOOKUP(H36,簡易仕様書!$D$30:$J$61,7,FALSE),V36)</f>
        <v>14.3</v>
      </c>
      <c r="V36">
        <f t="shared" si="5"/>
        <v>14.3</v>
      </c>
      <c r="W36" t="str">
        <f>VLOOKUP(H36,簡易仕様書!$D$30:$J$61,5,FALSE)</f>
        <v>B</v>
      </c>
      <c r="X36">
        <f>VLOOKUP(H36,簡易仕様書!$D$30:$J$61,6,FALSE)</f>
        <v>14</v>
      </c>
      <c r="Y36" t="str">
        <f>VLOOKUP(H36,簡易仕様書!$D$30:$M$61,10,FALSE)</f>
        <v>F-18</v>
      </c>
      <c r="Z36" t="str">
        <f>IF(H36="IMP",IF(ROUND(I36*20,0)&gt;=1000,1000,ROUND(I36*20,0)),IF(H36="ECD",IF(ROUND(I36*20,0)&gt;=1000,1000,ROUND(I36*20,0)),IF(H36="MAG3",IF(ROUND(I36/10,1)&gt;=2,2,ROUND(I36/10,1)),"")))</f>
        <v/>
      </c>
      <c r="AA36" t="str">
        <f t="shared" si="2"/>
        <v/>
      </c>
      <c r="AB36" t="str">
        <f>VLOOKUP(H36,簡易仕様書!$D$30:$F$61,3,FALSE)</f>
        <v>fdgbrain</v>
      </c>
      <c r="AC36" t="str">
        <f>INDEX(簡易仕様書!$A$30:$A$61,MATCH(H36,簡易仕様書!$D$30:$D$61,0))</f>
        <v>FDG（脳）</v>
      </c>
    </row>
    <row r="37" spans="1:29">
      <c r="A37" s="14">
        <v>34</v>
      </c>
      <c r="B37" s="44"/>
      <c r="C37" s="46"/>
      <c r="D37" s="40"/>
      <c r="E37" s="40"/>
      <c r="F37" s="14" t="s">
        <v>267</v>
      </c>
      <c r="G37" s="14" t="s">
        <v>269</v>
      </c>
      <c r="H37" s="14" t="s">
        <v>273</v>
      </c>
      <c r="I37" s="14">
        <v>0.1</v>
      </c>
      <c r="J37" s="11" t="str">
        <f t="shared" si="0"/>
        <v>薬剤にFDG（脳）を選択、体重に0.1と入力して計算ボタンを押す</v>
      </c>
      <c r="K37" s="11" t="str">
        <f>("体重:")&amp;I37&amp;("kg、薬剤名:")&amp;Y37&amp;INDEX(簡易仕様書!$A$30:$A$61,MATCH(H37,簡易仕様書!$D$30:$D$61,0))&amp;("、投与量:")&amp;U37&amp;("MBqと表示されること")</f>
        <v>体重:0.1kg、薬剤名:F-18FDG（脳）、投与量:14MBqと表示されること</v>
      </c>
      <c r="L37" s="14" t="s">
        <v>337</v>
      </c>
      <c r="M37" s="14" t="s">
        <v>369</v>
      </c>
      <c r="N37" s="26">
        <v>45714.304201388892</v>
      </c>
      <c r="O37" s="11"/>
      <c r="P37" s="11"/>
      <c r="Q37" s="11"/>
      <c r="R37" s="11"/>
      <c r="U37">
        <f>IF(VLOOKUP(H37,簡易仕様書!$D$30:$J$61,7,FALSE)&gt;V37,VLOOKUP(H37,簡易仕様書!$D$30:$J$61,7,FALSE),V37)</f>
        <v>14</v>
      </c>
      <c r="V37">
        <f t="shared" si="5"/>
        <v>2.4</v>
      </c>
      <c r="W37" t="str">
        <f>VLOOKUP(H37,簡易仕様書!$D$30:$J$61,5,FALSE)</f>
        <v>B</v>
      </c>
      <c r="X37">
        <f>VLOOKUP(H37,簡易仕様書!$D$30:$J$61,6,FALSE)</f>
        <v>14</v>
      </c>
      <c r="Y37" t="str">
        <f>VLOOKUP(H37,簡易仕様書!$D$30:$M$61,10,FALSE)</f>
        <v>F-18</v>
      </c>
      <c r="Z37" t="str">
        <f t="shared" si="1"/>
        <v/>
      </c>
      <c r="AA37" t="str">
        <f t="shared" si="2"/>
        <v/>
      </c>
      <c r="AB37" t="str">
        <f>VLOOKUP(H37,簡易仕様書!$D$30:$F$61,3,FALSE)</f>
        <v>fdgbrain</v>
      </c>
      <c r="AC37" t="str">
        <f>INDEX(簡易仕様書!$A$30:$A$61,MATCH(H37,簡易仕様書!$D$30:$D$61,0))</f>
        <v>FDG（脳）</v>
      </c>
    </row>
    <row r="38" spans="1:29">
      <c r="A38" s="14">
        <v>35</v>
      </c>
      <c r="B38" s="44"/>
      <c r="C38" s="46"/>
      <c r="D38" s="40"/>
      <c r="E38" s="40"/>
      <c r="F38" s="14" t="s">
        <v>267</v>
      </c>
      <c r="G38" s="14" t="s">
        <v>269</v>
      </c>
      <c r="H38" s="14" t="s">
        <v>273</v>
      </c>
      <c r="I38" s="14">
        <v>70</v>
      </c>
      <c r="J38" s="11" t="str">
        <f t="shared" ref="J38" si="26">("薬剤に")&amp;H38&amp;("を選択、体重に")&amp;I38&amp;("と入力して計算ボタンを押す")</f>
        <v>薬剤にFDG（脳）を選択、体重に70と入力して計算ボタンを押す</v>
      </c>
      <c r="K38" s="11" t="str">
        <f>("体重:")&amp;I38&amp;("kg、薬剤名:")&amp;Y38&amp;INDEX(簡易仕様書!$A$30:$A$61,MATCH(H38,簡易仕様書!$D$30:$D$61,0))&amp;("、投与量:")&amp;U38&amp;("MBqと表示されること")</f>
        <v>体重:70kg、薬剤名:F-18FDG（脳）、投与量:199.1MBqと表示されること</v>
      </c>
      <c r="L38" s="14" t="s">
        <v>337</v>
      </c>
      <c r="M38" s="14" t="s">
        <v>369</v>
      </c>
      <c r="N38" s="26">
        <v>45714.304224537038</v>
      </c>
      <c r="O38" s="11"/>
      <c r="P38" s="11"/>
      <c r="Q38" s="11"/>
      <c r="R38" s="11"/>
      <c r="U38">
        <f>IF(VLOOKUP(H38,簡易仕様書!$D$30:$J$61,7,FALSE)&gt;V38,VLOOKUP(H38,簡易仕様書!$D$30:$J$61,7,FALSE),V38)</f>
        <v>199.1</v>
      </c>
      <c r="V38">
        <f t="shared" ref="V38" si="27">ROUND(IF(W38="A",((-0.00000028)*I38^4+0.00004915*I38^3+(-0.00337375)*I38^2+0.1677306*I38+0.53976823)*X38,
IF(W38="B",((-0.00000023)*I38^4+0.00003846*I38^3-0.00262028*I38^2+0.27495836*I38+0.14075609)*X38,
(-0.00000001*I38^4-0.00001462*I38^3+0.00247677*I38^2+0.38073934*I38-0.24312323)*X38)),1)</f>
        <v>199.1</v>
      </c>
      <c r="W38" t="str">
        <f>VLOOKUP(H38,簡易仕様書!$D$30:$J$61,5,FALSE)</f>
        <v>B</v>
      </c>
      <c r="X38">
        <f>VLOOKUP(H38,簡易仕様書!$D$30:$J$61,6,FALSE)</f>
        <v>14</v>
      </c>
      <c r="Y38" t="str">
        <f>VLOOKUP(H38,簡易仕様書!$D$30:$M$61,10,FALSE)</f>
        <v>F-18</v>
      </c>
      <c r="Z38" t="str">
        <f t="shared" si="1"/>
        <v/>
      </c>
      <c r="AA38" t="str">
        <f>IF(H38="IMP","負荷薬剤ダイアモックス（ACZ）",IF(H38="ECD","負荷薬剤ダイアモックス（ACZ）",IF(H38="MAG3","負荷薬剤フロセミド（ラシックス）","")))</f>
        <v/>
      </c>
      <c r="AB38" t="str">
        <f>VLOOKUP(H38,簡易仕様書!$D$30:$F$61,3,FALSE)</f>
        <v>fdgbrain</v>
      </c>
      <c r="AC38" t="str">
        <f>INDEX(簡易仕様書!$A$30:$A$61,MATCH(H38,簡易仕様書!$D$30:$D$61,0))</f>
        <v>FDG（脳）</v>
      </c>
    </row>
    <row r="39" spans="1:29">
      <c r="A39" s="14">
        <v>36</v>
      </c>
      <c r="B39" s="44"/>
      <c r="C39" s="46"/>
      <c r="D39" s="40"/>
      <c r="E39" s="40"/>
      <c r="F39" s="14" t="s">
        <v>267</v>
      </c>
      <c r="G39" s="14" t="s">
        <v>269</v>
      </c>
      <c r="H39" s="14" t="s">
        <v>274</v>
      </c>
      <c r="I39" s="14">
        <f>IF((ROUND(VLOOKUP(H39,簡易仕様書!$D$30:$L$61,8,FALSE),1))&gt;VLOOKUP(H39,簡易仕様書!$D$30:$L$61,7,FALSE),
VLOOKUP(H39,簡易仕様書!$D$30:$L$61,9,FALSE)-0.1,VLOOKUP(H39,簡易仕様書!$D$30:$L$61,9,FALSE))</f>
        <v>11.4</v>
      </c>
      <c r="J39" s="11" t="str">
        <f t="shared" si="0"/>
        <v>薬剤にクエン酸を選択、体重に11.4と入力して計算ボタンを押す</v>
      </c>
      <c r="K39" s="11" t="str">
        <f>("体重:")&amp;I39&amp;("kg、薬剤名:")&amp;Y39&amp;INDEX(簡易仕様書!$A$30:$A$61,MATCH(H39,簡易仕様書!$D$30:$D$61,0))&amp;("、投与量:")&amp;U39&amp;("MBqと表示されること")</f>
        <v>体重:11.4kg、薬剤名:Ga-67クエン酸、投与量:24MBqと表示されること</v>
      </c>
      <c r="L39" s="14" t="s">
        <v>337</v>
      </c>
      <c r="M39" s="14" t="s">
        <v>369</v>
      </c>
      <c r="N39" s="26">
        <v>45714.304236111115</v>
      </c>
      <c r="O39" s="11"/>
      <c r="P39" s="11"/>
      <c r="Q39" s="11"/>
      <c r="R39" s="11"/>
      <c r="U39">
        <f>IF(VLOOKUP(H39,簡易仕様書!$D$30:$J$61,7,FALSE)&gt;V39,VLOOKUP(H39,簡易仕様書!$D$30:$J$61,7,FALSE),V39)</f>
        <v>24</v>
      </c>
      <c r="V39">
        <f t="shared" si="5"/>
        <v>23.9</v>
      </c>
      <c r="W39" t="str">
        <f>VLOOKUP(H39,簡易仕様書!$D$30:$J$61,5,FALSE)</f>
        <v>B</v>
      </c>
      <c r="X39">
        <f>VLOOKUP(H39,簡易仕様書!$D$30:$J$61,6,FALSE)</f>
        <v>8</v>
      </c>
      <c r="Y39" t="str">
        <f>VLOOKUP(H39,簡易仕様書!$D$30:$M$61,10,FALSE)</f>
        <v>Ga-67</v>
      </c>
      <c r="Z39" t="str">
        <f t="shared" si="1"/>
        <v/>
      </c>
      <c r="AA39" t="str">
        <f t="shared" si="2"/>
        <v/>
      </c>
      <c r="AB39" t="str">
        <f>VLOOKUP(H39,簡易仕様書!$D$30:$F$61,3,FALSE)</f>
        <v>ga</v>
      </c>
      <c r="AC39" t="str">
        <f>INDEX(簡易仕様書!$A$30:$A$61,MATCH(H39,簡易仕様書!$D$30:$D$61,0))</f>
        <v>クエン酸</v>
      </c>
    </row>
    <row r="40" spans="1:29">
      <c r="A40" s="14">
        <v>37</v>
      </c>
      <c r="B40" s="44"/>
      <c r="C40" s="46"/>
      <c r="D40" s="40"/>
      <c r="E40" s="40"/>
      <c r="F40" s="14" t="s">
        <v>267</v>
      </c>
      <c r="G40" s="14" t="s">
        <v>269</v>
      </c>
      <c r="H40" s="14" t="s">
        <v>274</v>
      </c>
      <c r="I40" s="14">
        <f t="shared" ref="I40" si="28">I39+0.1</f>
        <v>11.5</v>
      </c>
      <c r="J40" s="11" t="str">
        <f t="shared" si="0"/>
        <v>薬剤にクエン酸を選択、体重に11.5と入力して計算ボタンを押す</v>
      </c>
      <c r="K40" s="11" t="str">
        <f>("体重:")&amp;I40&amp;("kg、薬剤名:")&amp;Y40&amp;INDEX(簡易仕様書!$A$30:$A$61,MATCH(H40,簡易仕様書!$D$30:$D$61,0))&amp;("、投与量:")&amp;U40&amp;("MBqと表示されること")</f>
        <v>体重:11.5kg、薬剤名:Ga-67クエン酸、投与量:24.1MBqと表示されること</v>
      </c>
      <c r="L40" s="14" t="s">
        <v>337</v>
      </c>
      <c r="M40" s="14" t="s">
        <v>369</v>
      </c>
      <c r="N40" s="26">
        <v>45714.304259259261</v>
      </c>
      <c r="O40" s="11"/>
      <c r="P40" s="11"/>
      <c r="Q40" s="11"/>
      <c r="R40" s="11"/>
      <c r="U40">
        <f>IF(VLOOKUP(H40,簡易仕様書!$D$30:$J$61,7,FALSE)&gt;V40,VLOOKUP(H40,簡易仕様書!$D$30:$J$61,7,FALSE),V40)</f>
        <v>24.1</v>
      </c>
      <c r="V40">
        <f t="shared" si="5"/>
        <v>24.1</v>
      </c>
      <c r="W40" t="str">
        <f>VLOOKUP(H40,簡易仕様書!$D$30:$J$61,5,FALSE)</f>
        <v>B</v>
      </c>
      <c r="X40">
        <f>VLOOKUP(H40,簡易仕様書!$D$30:$J$61,6,FALSE)</f>
        <v>8</v>
      </c>
      <c r="Y40" t="str">
        <f>VLOOKUP(H40,簡易仕様書!$D$30:$M$61,10,FALSE)</f>
        <v>Ga-67</v>
      </c>
      <c r="Z40" t="str">
        <f t="shared" si="1"/>
        <v/>
      </c>
      <c r="AA40" t="str">
        <f t="shared" si="2"/>
        <v/>
      </c>
      <c r="AB40" t="str">
        <f>VLOOKUP(H40,簡易仕様書!$D$30:$F$61,3,FALSE)</f>
        <v>ga</v>
      </c>
      <c r="AC40" t="str">
        <f>INDEX(簡易仕様書!$A$30:$A$61,MATCH(H40,簡易仕様書!$D$30:$D$61,0))</f>
        <v>クエン酸</v>
      </c>
    </row>
    <row r="41" spans="1:29">
      <c r="A41" s="14">
        <v>38</v>
      </c>
      <c r="B41" s="44"/>
      <c r="C41" s="46"/>
      <c r="D41" s="40"/>
      <c r="E41" s="40"/>
      <c r="F41" s="14" t="s">
        <v>267</v>
      </c>
      <c r="G41" s="14" t="s">
        <v>269</v>
      </c>
      <c r="H41" s="14" t="s">
        <v>274</v>
      </c>
      <c r="I41" s="14">
        <v>0.1</v>
      </c>
      <c r="J41" s="11" t="str">
        <f t="shared" si="0"/>
        <v>薬剤にクエン酸を選択、体重に0.1と入力して計算ボタンを押す</v>
      </c>
      <c r="K41" s="11" t="str">
        <f>("体重:")&amp;I41&amp;("kg、薬剤名:")&amp;Y41&amp;INDEX(簡易仕様書!$A$30:$A$61,MATCH(H41,簡易仕様書!$D$30:$D$61,0))&amp;("、投与量:")&amp;U41&amp;("MBqと表示されること")</f>
        <v>体重:0.1kg、薬剤名:Ga-67クエン酸、投与量:24MBqと表示されること</v>
      </c>
      <c r="L41" s="14" t="s">
        <v>337</v>
      </c>
      <c r="M41" s="14" t="s">
        <v>369</v>
      </c>
      <c r="N41" s="26">
        <v>45714.304282407407</v>
      </c>
      <c r="O41" s="11"/>
      <c r="P41" s="11"/>
      <c r="Q41" s="11"/>
      <c r="R41" s="11"/>
      <c r="U41">
        <f>IF(VLOOKUP(H41,簡易仕様書!$D$30:$J$61,7,FALSE)&gt;V41,VLOOKUP(H41,簡易仕様書!$D$30:$J$61,7,FALSE),V41)</f>
        <v>24</v>
      </c>
      <c r="V41">
        <f>ROUND(IF(W41="A",((-0.00000028)*I41^4+0.00004915*I41^3+(-0.00337375)*I41^2+0.1677306*I41+0.53976823)*X41,
IF(W41="B",((-0.00000023)*I41^4+0.00003846*I41^3-0.00262028*I41^2+0.27495836*I41+0.14075609)*X41,
(-0.00000001*I41^4-0.00001462*I41^3+0.00247677*I41^2+0.38073934*I41-0.24312323)*X41)),1)</f>
        <v>1.3</v>
      </c>
      <c r="W41" t="str">
        <f>VLOOKUP(H41,簡易仕様書!$D$30:$J$61,5,FALSE)</f>
        <v>B</v>
      </c>
      <c r="X41">
        <f>VLOOKUP(H41,簡易仕様書!$D$30:$J$61,6,FALSE)</f>
        <v>8</v>
      </c>
      <c r="Y41" t="str">
        <f>VLOOKUP(H41,簡易仕様書!$D$30:$M$61,10,FALSE)</f>
        <v>Ga-67</v>
      </c>
      <c r="Z41" t="str">
        <f t="shared" si="1"/>
        <v/>
      </c>
      <c r="AA41" t="str">
        <f t="shared" si="2"/>
        <v/>
      </c>
      <c r="AB41" t="str">
        <f>VLOOKUP(H41,簡易仕様書!$D$30:$F$61,3,FALSE)</f>
        <v>ga</v>
      </c>
      <c r="AC41" t="str">
        <f>INDEX(簡易仕様書!$A$30:$A$61,MATCH(H41,簡易仕様書!$D$30:$D$61,0))</f>
        <v>クエン酸</v>
      </c>
    </row>
    <row r="42" spans="1:29">
      <c r="A42" s="14">
        <v>39</v>
      </c>
      <c r="B42" s="44"/>
      <c r="C42" s="46"/>
      <c r="D42" s="40"/>
      <c r="E42" s="40"/>
      <c r="F42" s="14" t="s">
        <v>267</v>
      </c>
      <c r="G42" s="14" t="s">
        <v>269</v>
      </c>
      <c r="H42" s="14" t="s">
        <v>274</v>
      </c>
      <c r="I42" s="14">
        <v>70</v>
      </c>
      <c r="J42" s="11" t="str">
        <f t="shared" ref="J42" si="29">("薬剤に")&amp;H42&amp;("を選択、体重に")&amp;I42&amp;("と入力して計算ボタンを押す")</f>
        <v>薬剤にクエン酸を選択、体重に70と入力して計算ボタンを押す</v>
      </c>
      <c r="K42" s="11" t="str">
        <f>("体重:")&amp;I42&amp;("kg、薬剤名:")&amp;Y42&amp;INDEX(簡易仕様書!$A$30:$A$61,MATCH(H42,簡易仕様書!$D$30:$D$61,0))&amp;("、投与量:")&amp;U42&amp;("MBqと表示されること")</f>
        <v>体重:70kg、薬剤名:Ga-67クエン酸、投与量:113.7MBqと表示されること</v>
      </c>
      <c r="L42" s="14" t="s">
        <v>337</v>
      </c>
      <c r="M42" s="14" t="s">
        <v>369</v>
      </c>
      <c r="N42" s="26">
        <v>45714.304305555554</v>
      </c>
      <c r="O42" s="11"/>
      <c r="P42" s="11"/>
      <c r="Q42" s="11"/>
      <c r="R42" s="11"/>
      <c r="U42">
        <f>IF(VLOOKUP(H42,簡易仕様書!$D$30:$J$61,7,FALSE)&gt;V42,VLOOKUP(H42,簡易仕様書!$D$30:$J$61,7,FALSE),V42)</f>
        <v>113.7</v>
      </c>
      <c r="V42">
        <f>ROUND(IF(W42="A",((-0.00000028)*I42^4+0.00004915*I42^3+(-0.00337375)*I42^2+0.1677306*I42+0.53976823)*X42,
IF(W42="B",((-0.00000023)*I42^4+0.00003846*I42^3-0.00262028*I42^2+0.27495836*I42+0.14075609)*X42,
(-0.00000001*I42^4-0.00001462*I42^3+0.00247677*I42^2+0.38073934*I42-0.24312323)*X42)),1)</f>
        <v>113.7</v>
      </c>
      <c r="W42" t="str">
        <f>VLOOKUP(H42,簡易仕様書!$D$30:$J$61,5,FALSE)</f>
        <v>B</v>
      </c>
      <c r="X42">
        <f>VLOOKUP(H42,簡易仕様書!$D$30:$J$61,6,FALSE)</f>
        <v>8</v>
      </c>
      <c r="Y42" t="str">
        <f>VLOOKUP(H42,簡易仕様書!$D$30:$M$61,10,FALSE)</f>
        <v>Ga-67</v>
      </c>
      <c r="Z42" t="str">
        <f t="shared" si="1"/>
        <v/>
      </c>
      <c r="AA42" t="str">
        <f t="shared" si="2"/>
        <v/>
      </c>
      <c r="AB42" t="str">
        <f>VLOOKUP(H42,簡易仕様書!$D$30:$F$61,3,FALSE)</f>
        <v>ga</v>
      </c>
      <c r="AC42" t="str">
        <f>INDEX(簡易仕様書!$A$30:$A$61,MATCH(H42,簡易仕様書!$D$30:$D$61,0))</f>
        <v>クエン酸</v>
      </c>
    </row>
    <row r="43" spans="1:29">
      <c r="A43" s="14">
        <v>40</v>
      </c>
      <c r="B43" s="44"/>
      <c r="C43" s="46"/>
      <c r="D43" s="40"/>
      <c r="E43" s="40"/>
      <c r="F43" s="14" t="s">
        <v>267</v>
      </c>
      <c r="G43" s="14" t="s">
        <v>269</v>
      </c>
      <c r="H43" s="14" t="s">
        <v>275</v>
      </c>
      <c r="I43" s="14">
        <f>IF((ROUND(VLOOKUP(H43,簡易仕様書!$D$30:$L$61,8,FALSE),1))&gt;VLOOKUP(H43,簡易仕様書!$D$30:$L$61,7,FALSE),
VLOOKUP(H43,簡易仕様書!$D$30:$L$61,9,FALSE)-0.1,VLOOKUP(H43,簡易仕様書!$D$30:$L$61,9,FALSE))</f>
        <v>4.8000000000000007</v>
      </c>
      <c r="J43" s="11" t="str">
        <f t="shared" si="0"/>
        <v>薬剤にアルブミン（心プール）を選択、体重に4.8と入力して計算ボタンを押す</v>
      </c>
      <c r="K43" s="11" t="str">
        <f>("体重:")&amp;I43&amp;("kg、薬剤名:")&amp;Y43&amp;INDEX(簡易仕様書!$A$30:$A$61,MATCH(H43,簡易仕様書!$D$30:$D$61,0))&amp;("、投与量:")&amp;U43&amp;("MBqと表示されること")</f>
        <v>体重:4.8kg、薬剤名:Tc-99mアルブミン（心プール）、投与量:80MBqと表示されること</v>
      </c>
      <c r="L43" s="14" t="s">
        <v>337</v>
      </c>
      <c r="M43" s="14" t="s">
        <v>369</v>
      </c>
      <c r="N43" s="26">
        <v>45714.304328703707</v>
      </c>
      <c r="O43" s="11"/>
      <c r="P43" s="11"/>
      <c r="Q43" s="11"/>
      <c r="R43" s="11"/>
      <c r="U43">
        <f>IF(VLOOKUP(H43,簡易仕様書!$D$30:$J$61,7,FALSE)&gt;V43,VLOOKUP(H43,簡易仕様書!$D$30:$J$61,7,FALSE),V43)</f>
        <v>80</v>
      </c>
      <c r="V43">
        <f>ROUND(IF(W43="A",((-0.00000028)*I43^4+0.00004915*I43^3+(-0.00337375)*I43^2+0.1677306*I43+0.53976823)*X43,
IF(W43="B",((-0.00000023)*I43^4+0.00003846*I43^3-0.00262028*I43^2+0.27495836*I43+0.14075609)*X43,
(-0.00000001*I43^4-0.00001462*I43^3+0.00247677*I43^2+0.38073934*I43-0.24312323)*X43)),1)</f>
        <v>78.599999999999994</v>
      </c>
      <c r="W43" t="str">
        <f>VLOOKUP(H43,簡易仕様書!$D$30:$J$61,5,FALSE)</f>
        <v>B</v>
      </c>
      <c r="X43">
        <f>VLOOKUP(H43,簡易仕様書!$D$30:$J$61,6,FALSE)</f>
        <v>56</v>
      </c>
      <c r="Y43" t="str">
        <f>VLOOKUP(H43,簡易仕様書!$D$30:$M$61,10,FALSE)</f>
        <v>Tc-99m</v>
      </c>
      <c r="Z43" t="str">
        <f t="shared" si="1"/>
        <v/>
      </c>
      <c r="AA43" t="str">
        <f t="shared" si="2"/>
        <v/>
      </c>
      <c r="AB43" t="str">
        <f>VLOOKUP(H43,簡易仕様書!$D$30:$F$61,3,FALSE)</f>
        <v>arb</v>
      </c>
      <c r="AC43" t="str">
        <f>INDEX(簡易仕様書!$A$30:$A$61,MATCH(H43,簡易仕様書!$D$30:$D$61,0))</f>
        <v>アルブミン（心プール）</v>
      </c>
    </row>
    <row r="44" spans="1:29">
      <c r="A44" s="14">
        <v>41</v>
      </c>
      <c r="B44" s="44"/>
      <c r="C44" s="46"/>
      <c r="D44" s="40"/>
      <c r="E44" s="40"/>
      <c r="F44" s="14" t="s">
        <v>267</v>
      </c>
      <c r="G44" s="14" t="s">
        <v>269</v>
      </c>
      <c r="H44" s="14" t="s">
        <v>275</v>
      </c>
      <c r="I44" s="14">
        <f>I43+0.1</f>
        <v>4.9000000000000004</v>
      </c>
      <c r="J44" s="11" t="str">
        <f t="shared" si="0"/>
        <v>薬剤にアルブミン（心プール）を選択、体重に4.9と入力して計算ボタンを押す</v>
      </c>
      <c r="K44" s="11" t="str">
        <f>("体重:")&amp;I44&amp;("kg、薬剤名:")&amp;Y44&amp;INDEX(簡易仕様書!$A$30:$A$61,MATCH(H44,簡易仕様書!$D$30:$D$61,0))&amp;("、投与量:")&amp;U44&amp;("MBqと表示されること")</f>
        <v>体重:4.9kg、薬剤名:Tc-99mアルブミン（心プール）、投与量:80.1MBqと表示されること</v>
      </c>
      <c r="L44" s="14" t="s">
        <v>337</v>
      </c>
      <c r="M44" s="14" t="s">
        <v>369</v>
      </c>
      <c r="N44" s="26">
        <v>45714.304351851853</v>
      </c>
      <c r="O44" s="11"/>
      <c r="P44" s="11"/>
      <c r="Q44" s="11"/>
      <c r="R44" s="11"/>
      <c r="U44">
        <f>IF(VLOOKUP(H44,簡易仕様書!$D$30:$J$61,7,FALSE)&gt;V44,VLOOKUP(H44,簡易仕様書!$D$30:$J$61,7,FALSE),V44)</f>
        <v>80.099999999999994</v>
      </c>
      <c r="V44">
        <f t="shared" ref="V44:V60" si="30">ROUND(IF(W44="A",((-0.00000028)*I44^4+0.00004915*I44^3+(-0.00337375)*I44^2+0.1677306*I44+0.53976823)*X44,
IF(W44="B",((-0.00000023)*I44^4+0.00003846*I44^3-0.00262028*I44^2+0.27495836*I44+0.14075609)*X44,
(-0.00000001*I44^4-0.00001462*I44^3+0.00247677*I44^2+0.38073934*I44-0.24312323)*X44)),1)</f>
        <v>80.099999999999994</v>
      </c>
      <c r="W44" t="str">
        <f>VLOOKUP(H44,簡易仕様書!$D$30:$J$61,5,FALSE)</f>
        <v>B</v>
      </c>
      <c r="X44">
        <f>VLOOKUP(H44,簡易仕様書!$D$30:$J$61,6,FALSE)</f>
        <v>56</v>
      </c>
      <c r="Y44" t="str">
        <f>VLOOKUP(H44,簡易仕様書!$D$30:$M$61,10,FALSE)</f>
        <v>Tc-99m</v>
      </c>
      <c r="Z44" t="str">
        <f t="shared" si="1"/>
        <v/>
      </c>
      <c r="AA44" t="str">
        <f t="shared" si="2"/>
        <v/>
      </c>
      <c r="AB44" t="str">
        <f>VLOOKUP(H44,簡易仕様書!$D$30:$F$61,3,FALSE)</f>
        <v>arb</v>
      </c>
      <c r="AC44" t="str">
        <f>INDEX(簡易仕様書!$A$30:$A$61,MATCH(H44,簡易仕様書!$D$30:$D$61,0))</f>
        <v>アルブミン（心プール）</v>
      </c>
    </row>
    <row r="45" spans="1:29">
      <c r="A45" s="14">
        <v>42</v>
      </c>
      <c r="B45" s="44"/>
      <c r="C45" s="46"/>
      <c r="D45" s="40"/>
      <c r="E45" s="40"/>
      <c r="F45" s="14" t="s">
        <v>267</v>
      </c>
      <c r="G45" s="14" t="s">
        <v>269</v>
      </c>
      <c r="H45" s="14" t="s">
        <v>275</v>
      </c>
      <c r="I45" s="14">
        <v>0.1</v>
      </c>
      <c r="J45" s="11" t="str">
        <f>("薬剤に")&amp;H45&amp;("を選択、体重に")&amp;I45&amp;("と入力して計算ボタンを押す")</f>
        <v>薬剤にアルブミン（心プール）を選択、体重に0.1と入力して計算ボタンを押す</v>
      </c>
      <c r="K45" s="11" t="str">
        <f>("体重:")&amp;I45&amp;("kg、薬剤名:")&amp;Y45&amp;INDEX(簡易仕様書!$A$30:$A$61,MATCH(H45,簡易仕様書!$D$30:$D$61,0))&amp;("、投与量:")&amp;U45&amp;("MBqと表示されること")</f>
        <v>体重:0.1kg、薬剤名:Tc-99mアルブミン（心プール）、投与量:80MBqと表示されること</v>
      </c>
      <c r="L45" s="14" t="s">
        <v>337</v>
      </c>
      <c r="M45" s="14" t="s">
        <v>369</v>
      </c>
      <c r="N45" s="26">
        <v>45714.304375</v>
      </c>
      <c r="O45" s="11"/>
      <c r="P45" s="11"/>
      <c r="Q45" s="11"/>
      <c r="R45" s="11"/>
      <c r="U45">
        <f>IF(VLOOKUP(H45,簡易仕様書!$D$30:$J$61,7,FALSE)&gt;V45,VLOOKUP(H45,簡易仕様書!$D$30:$J$61,7,FALSE),V45)</f>
        <v>80</v>
      </c>
      <c r="V45">
        <f t="shared" si="30"/>
        <v>9.4</v>
      </c>
      <c r="W45" t="str">
        <f>VLOOKUP(H45,簡易仕様書!$D$30:$J$61,5,FALSE)</f>
        <v>B</v>
      </c>
      <c r="X45">
        <f>VLOOKUP(H45,簡易仕様書!$D$30:$J$61,6,FALSE)</f>
        <v>56</v>
      </c>
      <c r="Y45" t="str">
        <f>VLOOKUP(H45,簡易仕様書!$D$30:$M$61,10,FALSE)</f>
        <v>Tc-99m</v>
      </c>
      <c r="Z45" t="str">
        <f t="shared" si="1"/>
        <v/>
      </c>
      <c r="AA45" t="str">
        <f t="shared" si="2"/>
        <v/>
      </c>
      <c r="AB45" t="str">
        <f>VLOOKUP(H45,簡易仕様書!$D$30:$F$61,3,FALSE)</f>
        <v>arb</v>
      </c>
      <c r="AC45" t="str">
        <f>INDEX(簡易仕様書!$A$30:$A$61,MATCH(H45,簡易仕様書!$D$30:$D$61,0))</f>
        <v>アルブミン（心プール）</v>
      </c>
    </row>
    <row r="46" spans="1:29">
      <c r="A46" s="14">
        <v>43</v>
      </c>
      <c r="B46" s="44"/>
      <c r="C46" s="46"/>
      <c r="D46" s="40"/>
      <c r="E46" s="40"/>
      <c r="F46" s="14" t="s">
        <v>267</v>
      </c>
      <c r="G46" s="14" t="s">
        <v>269</v>
      </c>
      <c r="H46" s="14" t="s">
        <v>275</v>
      </c>
      <c r="I46" s="14">
        <v>70</v>
      </c>
      <c r="J46" s="11" t="str">
        <f>("薬剤に")&amp;H46&amp;("を選択、体重に")&amp;I46&amp;("と入力して計算ボタンを押す")</f>
        <v>薬剤にアルブミン（心プール）を選択、体重に70と入力して計算ボタンを押す</v>
      </c>
      <c r="K46" s="11" t="str">
        <f>("体重:")&amp;I46&amp;("kg、薬剤名:")&amp;Y46&amp;INDEX(簡易仕様書!$A$30:$A$61,MATCH(H46,簡易仕様書!$D$30:$D$61,0))&amp;("、投与量:")&amp;U46&amp;("MBqと表示されること")</f>
        <v>体重:70kg、薬剤名:Tc-99mアルブミン（心プール）、投与量:796.2MBqと表示されること</v>
      </c>
      <c r="L46" s="14" t="s">
        <v>337</v>
      </c>
      <c r="M46" s="14" t="s">
        <v>369</v>
      </c>
      <c r="N46" s="26">
        <v>45714.304398148146</v>
      </c>
      <c r="O46" s="11"/>
      <c r="P46" s="11"/>
      <c r="Q46" s="11"/>
      <c r="R46" s="11"/>
      <c r="U46">
        <f>IF(VLOOKUP(H46,簡易仕様書!$D$30:$J$61,7,FALSE)&gt;V46,VLOOKUP(H46,簡易仕様書!$D$30:$J$61,7,FALSE),V46)</f>
        <v>796.2</v>
      </c>
      <c r="V46">
        <f t="shared" ref="V46" si="31">ROUND(IF(W46="A",((-0.00000028)*I46^4+0.00004915*I46^3+(-0.00337375)*I46^2+0.1677306*I46+0.53976823)*X46,
IF(W46="B",((-0.00000023)*I46^4+0.00003846*I46^3-0.00262028*I46^2+0.27495836*I46+0.14075609)*X46,
(-0.00000001*I46^4-0.00001462*I46^3+0.00247677*I46^2+0.38073934*I46-0.24312323)*X46)),1)</f>
        <v>796.2</v>
      </c>
      <c r="W46" t="str">
        <f>VLOOKUP(H46,簡易仕様書!$D$30:$J$61,5,FALSE)</f>
        <v>B</v>
      </c>
      <c r="X46">
        <f>VLOOKUP(H46,簡易仕様書!$D$30:$J$61,6,FALSE)</f>
        <v>56</v>
      </c>
      <c r="Y46" t="str">
        <f>VLOOKUP(H46,簡易仕様書!$D$30:$M$61,10,FALSE)</f>
        <v>Tc-99m</v>
      </c>
      <c r="Z46" t="str">
        <f t="shared" si="1"/>
        <v/>
      </c>
      <c r="AA46" t="str">
        <f t="shared" si="2"/>
        <v/>
      </c>
      <c r="AB46" t="str">
        <f>VLOOKUP(H46,簡易仕様書!$D$30:$F$61,3,FALSE)</f>
        <v>arb</v>
      </c>
      <c r="AC46" t="str">
        <f>INDEX(簡易仕様書!$A$30:$A$61,MATCH(H46,簡易仕様書!$D$30:$D$61,0))</f>
        <v>アルブミン（心プール）</v>
      </c>
    </row>
    <row r="47" spans="1:29">
      <c r="A47" s="14">
        <v>44</v>
      </c>
      <c r="B47" s="44"/>
      <c r="C47" s="46"/>
      <c r="D47" s="40"/>
      <c r="E47" s="40"/>
      <c r="F47" s="14" t="s">
        <v>267</v>
      </c>
      <c r="G47" s="14" t="s">
        <v>269</v>
      </c>
      <c r="H47" s="14" t="s">
        <v>276</v>
      </c>
      <c r="I47" s="14">
        <f>IF((ROUND(VLOOKUP(H47,簡易仕様書!$D$30:$L$61,8,FALSE),1))&gt;VLOOKUP(H47,簡易仕様書!$D$30:$L$61,7,FALSE),
VLOOKUP(H47,簡易仕様書!$D$30:$L$61,9,FALSE)-0.1,VLOOKUP(H47,簡易仕様書!$D$30:$L$61,9,FALSE))</f>
        <v>10</v>
      </c>
      <c r="J47" s="11" t="str">
        <f t="shared" si="0"/>
        <v>薬剤にスズコロイド（肝脾）を選択、体重に10と入力して計算ボタンを押す</v>
      </c>
      <c r="K47" s="11" t="str">
        <f>("体重:")&amp;I47&amp;("kg、薬剤名:")&amp;Y47&amp;INDEX(簡易仕様書!$A$30:$A$61,MATCH(H47,簡易仕様書!$D$30:$D$61,0))&amp;("、投与量:")&amp;U47&amp;("MBqと表示されること")</f>
        <v>体重:10kg、薬剤名:Tc-99mスズコロイド（肝脾）、投与量:15MBqと表示されること</v>
      </c>
      <c r="L47" s="14" t="s">
        <v>337</v>
      </c>
      <c r="M47" s="14" t="s">
        <v>369</v>
      </c>
      <c r="N47" s="26">
        <v>45714.3044212963</v>
      </c>
      <c r="O47" s="11"/>
      <c r="P47" s="11"/>
      <c r="Q47" s="11"/>
      <c r="R47" s="11"/>
      <c r="U47">
        <f>IF(VLOOKUP(H47,簡易仕様書!$D$30:$J$61,7,FALSE)&gt;V47,VLOOKUP(H47,簡易仕様書!$D$30:$J$61,7,FALSE),V47)</f>
        <v>15</v>
      </c>
      <c r="V47">
        <f t="shared" si="30"/>
        <v>14.9</v>
      </c>
      <c r="W47" t="str">
        <f>VLOOKUP(H47,簡易仕様書!$D$30:$J$61,5,FALSE)</f>
        <v>B</v>
      </c>
      <c r="X47">
        <f>VLOOKUP(H47,簡易仕様書!$D$30:$J$61,6,FALSE)</f>
        <v>5.6</v>
      </c>
      <c r="Y47" t="str">
        <f>VLOOKUP(H47,簡易仕様書!$D$30:$M$61,10,FALSE)</f>
        <v>Tc-99m</v>
      </c>
      <c r="Z47" t="str">
        <f t="shared" si="1"/>
        <v/>
      </c>
      <c r="AA47" t="str">
        <f t="shared" si="2"/>
        <v/>
      </c>
      <c r="AB47" t="str">
        <f>VLOOKUP(H47,簡易仕様書!$D$30:$F$61,3,FALSE)</f>
        <v>snl</v>
      </c>
      <c r="AC47" t="str">
        <f>INDEX(簡易仕様書!$A$30:$A$61,MATCH(H47,簡易仕様書!$D$30:$D$61,0))</f>
        <v>スズコロイド（肝脾）</v>
      </c>
    </row>
    <row r="48" spans="1:29">
      <c r="A48" s="14">
        <v>45</v>
      </c>
      <c r="B48" s="44"/>
      <c r="C48" s="46"/>
      <c r="D48" s="40"/>
      <c r="E48" s="40"/>
      <c r="F48" s="14" t="s">
        <v>267</v>
      </c>
      <c r="G48" s="14" t="s">
        <v>269</v>
      </c>
      <c r="H48" s="14" t="s">
        <v>276</v>
      </c>
      <c r="I48" s="14">
        <f>I47+0.1</f>
        <v>10.1</v>
      </c>
      <c r="J48" s="11" t="str">
        <f t="shared" si="0"/>
        <v>薬剤にスズコロイド（肝脾）を選択、体重に10.1と入力して計算ボタンを押す</v>
      </c>
      <c r="K48" s="11" t="str">
        <f>("体重:")&amp;I48&amp;("kg、薬剤名:")&amp;Y48&amp;INDEX(簡易仕様書!$A$30:$A$61,MATCH(H48,簡易仕様書!$D$30:$D$61,0))&amp;("、投与量:")&amp;U48&amp;("MBqと表示されること")</f>
        <v>体重:10.1kg、薬剤名:Tc-99mスズコロイド（肝脾）、投与量:15.1MBqと表示されること</v>
      </c>
      <c r="L48" s="14" t="s">
        <v>337</v>
      </c>
      <c r="M48" s="14" t="s">
        <v>369</v>
      </c>
      <c r="N48" s="26">
        <v>45714.304444444446</v>
      </c>
      <c r="O48" s="11"/>
      <c r="P48" s="11"/>
      <c r="Q48" s="11"/>
      <c r="R48" s="11"/>
      <c r="U48">
        <f>IF(VLOOKUP(H48,簡易仕様書!$D$30:$J$61,7,FALSE)&gt;V48,VLOOKUP(H48,簡易仕様書!$D$30:$J$61,7,FALSE),V48)</f>
        <v>15.1</v>
      </c>
      <c r="V48">
        <f t="shared" si="30"/>
        <v>15.1</v>
      </c>
      <c r="W48" t="str">
        <f>VLOOKUP(H48,簡易仕様書!$D$30:$J$61,5,FALSE)</f>
        <v>B</v>
      </c>
      <c r="X48">
        <f>VLOOKUP(H48,簡易仕様書!$D$30:$J$61,6,FALSE)</f>
        <v>5.6</v>
      </c>
      <c r="Y48" t="str">
        <f>VLOOKUP(H48,簡易仕様書!$D$30:$M$61,10,FALSE)</f>
        <v>Tc-99m</v>
      </c>
      <c r="Z48" t="str">
        <f t="shared" si="1"/>
        <v/>
      </c>
      <c r="AA48" t="str">
        <f t="shared" si="2"/>
        <v/>
      </c>
      <c r="AB48" t="str">
        <f>VLOOKUP(H48,簡易仕様書!$D$30:$F$61,3,FALSE)</f>
        <v>snl</v>
      </c>
      <c r="AC48" t="str">
        <f>INDEX(簡易仕様書!$A$30:$A$61,MATCH(H48,簡易仕様書!$D$30:$D$61,0))</f>
        <v>スズコロイド（肝脾）</v>
      </c>
    </row>
    <row r="49" spans="1:29">
      <c r="A49" s="14">
        <v>46</v>
      </c>
      <c r="B49" s="44"/>
      <c r="C49" s="46"/>
      <c r="D49" s="40"/>
      <c r="E49" s="40"/>
      <c r="F49" s="14" t="s">
        <v>267</v>
      </c>
      <c r="G49" s="14" t="s">
        <v>269</v>
      </c>
      <c r="H49" s="14" t="s">
        <v>276</v>
      </c>
      <c r="I49" s="14">
        <v>0.1</v>
      </c>
      <c r="J49" s="11" t="str">
        <f t="shared" si="0"/>
        <v>薬剤にスズコロイド（肝脾）を選択、体重に0.1と入力して計算ボタンを押す</v>
      </c>
      <c r="K49" s="11" t="str">
        <f>("体重:")&amp;I49&amp;("kg、薬剤名:")&amp;Y49&amp;INDEX(簡易仕様書!$A$30:$A$61,MATCH(H49,簡易仕様書!$D$30:$D$61,0))&amp;("、投与量:")&amp;U49&amp;("MBqと表示されること")</f>
        <v>体重:0.1kg、薬剤名:Tc-99mスズコロイド（肝脾）、投与量:15MBqと表示されること</v>
      </c>
      <c r="L49" s="14" t="s">
        <v>337</v>
      </c>
      <c r="M49" s="14" t="s">
        <v>369</v>
      </c>
      <c r="N49" s="26">
        <v>45714.304467592592</v>
      </c>
      <c r="O49" s="11"/>
      <c r="P49" s="11"/>
      <c r="Q49" s="11"/>
      <c r="R49" s="11"/>
      <c r="U49">
        <f>IF(VLOOKUP(H49,簡易仕様書!$D$30:$J$61,7,FALSE)&gt;V49,VLOOKUP(H49,簡易仕様書!$D$30:$J$61,7,FALSE),V49)</f>
        <v>15</v>
      </c>
      <c r="V49">
        <f t="shared" si="30"/>
        <v>0.9</v>
      </c>
      <c r="W49" t="str">
        <f>VLOOKUP(H49,簡易仕様書!$D$30:$J$61,5,FALSE)</f>
        <v>B</v>
      </c>
      <c r="X49">
        <f>VLOOKUP(H49,簡易仕様書!$D$30:$J$61,6,FALSE)</f>
        <v>5.6</v>
      </c>
      <c r="Y49" t="str">
        <f>VLOOKUP(H49,簡易仕様書!$D$30:$M$61,10,FALSE)</f>
        <v>Tc-99m</v>
      </c>
      <c r="Z49" t="str">
        <f t="shared" si="1"/>
        <v/>
      </c>
      <c r="AA49" t="str">
        <f t="shared" si="2"/>
        <v/>
      </c>
      <c r="AB49" t="str">
        <f>VLOOKUP(H49,簡易仕様書!$D$30:$F$61,3,FALSE)</f>
        <v>snl</v>
      </c>
      <c r="AC49" t="str">
        <f>INDEX(簡易仕様書!$A$30:$A$61,MATCH(H49,簡易仕様書!$D$30:$D$61,0))</f>
        <v>スズコロイド（肝脾）</v>
      </c>
    </row>
    <row r="50" spans="1:29">
      <c r="A50" s="14">
        <v>47</v>
      </c>
      <c r="B50" s="44"/>
      <c r="C50" s="46"/>
      <c r="D50" s="40"/>
      <c r="E50" s="40"/>
      <c r="F50" s="14" t="s">
        <v>267</v>
      </c>
      <c r="G50" s="14" t="s">
        <v>269</v>
      </c>
      <c r="H50" s="14" t="s">
        <v>276</v>
      </c>
      <c r="I50" s="14">
        <v>70</v>
      </c>
      <c r="J50" s="11" t="str">
        <f t="shared" ref="J50" si="32">("薬剤に")&amp;H50&amp;("を選択、体重に")&amp;I50&amp;("と入力して計算ボタンを押す")</f>
        <v>薬剤にスズコロイド（肝脾）を選択、体重に70と入力して計算ボタンを押す</v>
      </c>
      <c r="K50" s="11" t="str">
        <f>("体重:")&amp;I50&amp;("kg、薬剤名:")&amp;Y50&amp;INDEX(簡易仕様書!$A$30:$A$61,MATCH(H50,簡易仕様書!$D$30:$D$61,0))&amp;("、投与量:")&amp;U50&amp;("MBqと表示されること")</f>
        <v>体重:70kg、薬剤名:Tc-99mスズコロイド（肝脾）、投与量:79.6MBqと表示されること</v>
      </c>
      <c r="L50" s="14" t="s">
        <v>337</v>
      </c>
      <c r="M50" s="14" t="s">
        <v>369</v>
      </c>
      <c r="N50" s="26">
        <v>45714.304490740738</v>
      </c>
      <c r="O50" s="11"/>
      <c r="P50" s="11"/>
      <c r="Q50" s="11"/>
      <c r="R50" s="11"/>
      <c r="U50">
        <f>IF(VLOOKUP(H50,簡易仕様書!$D$30:$J$61,7,FALSE)&gt;V50,VLOOKUP(H50,簡易仕様書!$D$30:$J$61,7,FALSE),V50)</f>
        <v>79.599999999999994</v>
      </c>
      <c r="V50">
        <f t="shared" ref="V50" si="33">ROUND(IF(W50="A",((-0.00000028)*I50^4+0.00004915*I50^3+(-0.00337375)*I50^2+0.1677306*I50+0.53976823)*X50,
IF(W50="B",((-0.00000023)*I50^4+0.00003846*I50^3-0.00262028*I50^2+0.27495836*I50+0.14075609)*X50,
(-0.00000001*I50^4-0.00001462*I50^3+0.00247677*I50^2+0.38073934*I50-0.24312323)*X50)),1)</f>
        <v>79.599999999999994</v>
      </c>
      <c r="W50" t="str">
        <f>VLOOKUP(H50,簡易仕様書!$D$30:$J$61,5,FALSE)</f>
        <v>B</v>
      </c>
      <c r="X50">
        <f>VLOOKUP(H50,簡易仕様書!$D$30:$J$61,6,FALSE)</f>
        <v>5.6</v>
      </c>
      <c r="Y50" t="str">
        <f>VLOOKUP(H50,簡易仕様書!$D$30:$M$61,10,FALSE)</f>
        <v>Tc-99m</v>
      </c>
      <c r="Z50" t="str">
        <f t="shared" si="1"/>
        <v/>
      </c>
      <c r="AA50" t="str">
        <f t="shared" si="2"/>
        <v/>
      </c>
      <c r="AB50" t="str">
        <f>VLOOKUP(H50,簡易仕様書!$D$30:$F$61,3,FALSE)</f>
        <v>snl</v>
      </c>
      <c r="AC50" t="str">
        <f>INDEX(簡易仕様書!$A$30:$A$61,MATCH(H50,簡易仕様書!$D$30:$D$61,0))</f>
        <v>スズコロイド（肝脾）</v>
      </c>
    </row>
    <row r="51" spans="1:29">
      <c r="A51" s="14">
        <v>48</v>
      </c>
      <c r="B51" s="44"/>
      <c r="C51" s="46"/>
      <c r="D51" s="40"/>
      <c r="E51" s="40"/>
      <c r="F51" s="14" t="s">
        <v>267</v>
      </c>
      <c r="G51" s="14" t="s">
        <v>269</v>
      </c>
      <c r="H51" s="14" t="s">
        <v>277</v>
      </c>
      <c r="I51" s="14">
        <f>IF((ROUND(VLOOKUP(H51,簡易仕様書!$D$30:$L$61,8,FALSE),1))&gt;VLOOKUP(H51,簡易仕様書!$D$30:$L$61,7,FALSE),
VLOOKUP(H51,簡易仕様書!$D$30:$L$61,9,FALSE)-0.1,VLOOKUP(H51,簡易仕様書!$D$30:$L$61,9,FALSE))</f>
        <v>3.2</v>
      </c>
      <c r="J51" s="11" t="str">
        <f t="shared" si="0"/>
        <v>薬剤にスズコロイド（骨髄）を選択、体重に3.2と入力して計算ボタンを押す</v>
      </c>
      <c r="K51" s="11" t="str">
        <f>("体重:")&amp;I51&amp;("kg、薬剤名:")&amp;Y51&amp;INDEX(簡易仕様書!$A$30:$A$61,MATCH(H51,簡易仕様書!$D$30:$D$61,0))&amp;("、投与量:")&amp;U51&amp;("MBqと表示されること")</f>
        <v>体重:3.2kg、薬剤名:Tc-99mスズコロイド（骨髄）、投与量:21MBqと表示されること</v>
      </c>
      <c r="L51" s="14" t="s">
        <v>337</v>
      </c>
      <c r="M51" s="14" t="s">
        <v>369</v>
      </c>
      <c r="N51" s="26">
        <v>45714.304513888892</v>
      </c>
      <c r="O51" s="11"/>
      <c r="P51" s="11"/>
      <c r="Q51" s="11"/>
      <c r="R51" s="11"/>
      <c r="U51">
        <f>IF(VLOOKUP(H51,簡易仕様書!$D$30:$J$61,7,FALSE)&gt;V51,VLOOKUP(H51,簡易仕様書!$D$30:$J$61,7,FALSE),V51)</f>
        <v>21</v>
      </c>
      <c r="V51">
        <f t="shared" si="30"/>
        <v>20.9</v>
      </c>
      <c r="W51" t="str">
        <f>VLOOKUP(H51,簡易仕様書!$D$30:$J$61,5,FALSE)</f>
        <v>B</v>
      </c>
      <c r="X51">
        <f>VLOOKUP(H51,簡易仕様書!$D$30:$J$61,6,FALSE)</f>
        <v>21</v>
      </c>
      <c r="Y51" t="str">
        <f>VLOOKUP(H51,簡易仕様書!$D$30:$M$61,10,FALSE)</f>
        <v>Tc-99m</v>
      </c>
      <c r="Z51" t="str">
        <f t="shared" si="1"/>
        <v/>
      </c>
      <c r="AA51" t="str">
        <f>IF(H51="IMP","負荷薬剤ダイアモックス（ACZ）",IF(H51="ECD","負荷薬剤ダイアモックス（ACZ）",IF(H51="MAG3","負荷薬剤フロセミド（ラシックス）","")))</f>
        <v/>
      </c>
      <c r="AB51" t="str">
        <f>VLOOKUP(H51,簡易仕様書!$D$30:$F$61,3,FALSE)</f>
        <v>snma</v>
      </c>
      <c r="AC51" t="str">
        <f>INDEX(簡易仕様書!$A$30:$A$61,MATCH(H51,簡易仕様書!$D$30:$D$61,0))</f>
        <v>スズコロイド（骨髄）</v>
      </c>
    </row>
    <row r="52" spans="1:29">
      <c r="A52" s="14">
        <v>49</v>
      </c>
      <c r="B52" s="44"/>
      <c r="C52" s="46"/>
      <c r="D52" s="40"/>
      <c r="E52" s="40"/>
      <c r="F52" s="14" t="s">
        <v>267</v>
      </c>
      <c r="G52" s="14" t="s">
        <v>269</v>
      </c>
      <c r="H52" s="14" t="s">
        <v>277</v>
      </c>
      <c r="I52" s="14">
        <f t="shared" ref="I52" si="34">I51+0.1</f>
        <v>3.3000000000000003</v>
      </c>
      <c r="J52" s="11" t="str">
        <f t="shared" si="0"/>
        <v>薬剤にスズコロイド（骨髄）を選択、体重に3.3と入力して計算ボタンを押す</v>
      </c>
      <c r="K52" s="11" t="str">
        <f>("体重:")&amp;I52&amp;("kg、薬剤名:")&amp;Y52&amp;INDEX(簡易仕様書!$A$30:$A$61,MATCH(H52,簡易仕様書!$D$30:$D$61,0))&amp;("、投与量:")&amp;U52&amp;("MBqと表示されること")</f>
        <v>体重:3.3kg、薬剤名:Tc-99mスズコロイド（骨髄）、投与量:21.4MBqと表示されること</v>
      </c>
      <c r="L52" s="14" t="s">
        <v>337</v>
      </c>
      <c r="M52" s="14" t="s">
        <v>369</v>
      </c>
      <c r="N52" s="26">
        <v>45714.304537037038</v>
      </c>
      <c r="O52" s="11"/>
      <c r="P52" s="11"/>
      <c r="Q52" s="11"/>
      <c r="R52" s="11"/>
      <c r="U52">
        <f>IF(VLOOKUP(H52,簡易仕様書!$D$30:$J$61,7,FALSE)&gt;V52,VLOOKUP(H52,簡易仕様書!$D$30:$J$61,7,FALSE),V52)</f>
        <v>21.4</v>
      </c>
      <c r="V52">
        <f t="shared" si="30"/>
        <v>21.4</v>
      </c>
      <c r="W52" t="str">
        <f>VLOOKUP(H52,簡易仕様書!$D$30:$J$61,5,FALSE)</f>
        <v>B</v>
      </c>
      <c r="X52">
        <f>VLOOKUP(H52,簡易仕様書!$D$30:$J$61,6,FALSE)</f>
        <v>21</v>
      </c>
      <c r="Y52" t="str">
        <f>VLOOKUP(H52,簡易仕様書!$D$30:$M$61,10,FALSE)</f>
        <v>Tc-99m</v>
      </c>
      <c r="Z52" t="str">
        <f t="shared" si="1"/>
        <v/>
      </c>
      <c r="AA52" t="str">
        <f t="shared" si="2"/>
        <v/>
      </c>
      <c r="AB52" t="str">
        <f>VLOOKUP(H52,簡易仕様書!$D$30:$F$61,3,FALSE)</f>
        <v>snma</v>
      </c>
      <c r="AC52" t="str">
        <f>INDEX(簡易仕様書!$A$30:$A$61,MATCH(H52,簡易仕様書!$D$30:$D$61,0))</f>
        <v>スズコロイド（骨髄）</v>
      </c>
    </row>
    <row r="53" spans="1:29">
      <c r="A53" s="14">
        <v>50</v>
      </c>
      <c r="B53" s="44"/>
      <c r="C53" s="46"/>
      <c r="D53" s="40"/>
      <c r="E53" s="40"/>
      <c r="F53" s="14" t="s">
        <v>267</v>
      </c>
      <c r="G53" s="14" t="s">
        <v>269</v>
      </c>
      <c r="H53" s="14" t="s">
        <v>277</v>
      </c>
      <c r="I53" s="14">
        <v>0.1</v>
      </c>
      <c r="J53" s="11" t="str">
        <f t="shared" si="0"/>
        <v>薬剤にスズコロイド（骨髄）を選択、体重に0.1と入力して計算ボタンを押す</v>
      </c>
      <c r="K53" s="11" t="str">
        <f>("体重:")&amp;I53&amp;("kg、薬剤名:")&amp;Y53&amp;INDEX(簡易仕様書!$A$30:$A$61,MATCH(H53,簡易仕様書!$D$30:$D$61,0))&amp;("、投与量:")&amp;U53&amp;("MBqと表示されること")</f>
        <v>体重:0.1kg、薬剤名:Tc-99mスズコロイド（骨髄）、投与量:21MBqと表示されること</v>
      </c>
      <c r="L53" s="14" t="s">
        <v>337</v>
      </c>
      <c r="M53" s="14" t="s">
        <v>369</v>
      </c>
      <c r="N53" s="26">
        <v>45714.304560185185</v>
      </c>
      <c r="O53" s="11"/>
      <c r="P53" s="11"/>
      <c r="Q53" s="11"/>
      <c r="R53" s="11"/>
      <c r="U53">
        <f>IF(VLOOKUP(H53,簡易仕様書!$D$30:$J$61,7,FALSE)&gt;V53,VLOOKUP(H53,簡易仕様書!$D$30:$J$61,7,FALSE),V53)</f>
        <v>21</v>
      </c>
      <c r="V53">
        <f t="shared" si="30"/>
        <v>3.5</v>
      </c>
      <c r="W53" t="str">
        <f>VLOOKUP(H53,簡易仕様書!$D$30:$J$61,5,FALSE)</f>
        <v>B</v>
      </c>
      <c r="X53">
        <f>VLOOKUP(H53,簡易仕様書!$D$30:$J$61,6,FALSE)</f>
        <v>21</v>
      </c>
      <c r="Y53" t="str">
        <f>VLOOKUP(H53,簡易仕様書!$D$30:$M$61,10,FALSE)</f>
        <v>Tc-99m</v>
      </c>
      <c r="Z53" t="str">
        <f t="shared" si="1"/>
        <v/>
      </c>
      <c r="AA53" t="str">
        <f t="shared" si="2"/>
        <v/>
      </c>
      <c r="AB53" t="str">
        <f>VLOOKUP(H53,簡易仕様書!$D$30:$F$61,3,FALSE)</f>
        <v>snma</v>
      </c>
      <c r="AC53" t="str">
        <f>INDEX(簡易仕様書!$A$30:$A$61,MATCH(H53,簡易仕様書!$D$30:$D$61,0))</f>
        <v>スズコロイド（骨髄）</v>
      </c>
    </row>
    <row r="54" spans="1:29">
      <c r="A54" s="14">
        <v>51</v>
      </c>
      <c r="B54" s="44"/>
      <c r="C54" s="46"/>
      <c r="D54" s="40"/>
      <c r="E54" s="40"/>
      <c r="F54" s="14" t="s">
        <v>267</v>
      </c>
      <c r="G54" s="14" t="s">
        <v>269</v>
      </c>
      <c r="H54" s="14" t="s">
        <v>277</v>
      </c>
      <c r="I54" s="14">
        <v>70</v>
      </c>
      <c r="J54" s="11" t="str">
        <f t="shared" ref="J54" si="35">("薬剤に")&amp;H54&amp;("を選択、体重に")&amp;I54&amp;("と入力して計算ボタンを押す")</f>
        <v>薬剤にスズコロイド（骨髄）を選択、体重に70と入力して計算ボタンを押す</v>
      </c>
      <c r="K54" s="11" t="str">
        <f>("体重:")&amp;I54&amp;("kg、薬剤名:")&amp;Y54&amp;INDEX(簡易仕様書!$A$30:$A$61,MATCH(H54,簡易仕様書!$D$30:$D$61,0))&amp;("、投与量:")&amp;U54&amp;("MBqと表示されること")</f>
        <v>体重:70kg、薬剤名:Tc-99mスズコロイド（骨髄）、投与量:298.6MBqと表示されること</v>
      </c>
      <c r="L54" s="14" t="s">
        <v>337</v>
      </c>
      <c r="M54" s="14" t="s">
        <v>369</v>
      </c>
      <c r="N54" s="26">
        <v>45714.304583333331</v>
      </c>
      <c r="O54" s="11"/>
      <c r="P54" s="11"/>
      <c r="Q54" s="11"/>
      <c r="R54" s="11"/>
      <c r="U54">
        <f>IF(VLOOKUP(H54,簡易仕様書!$D$30:$J$61,7,FALSE)&gt;V54,VLOOKUP(H54,簡易仕様書!$D$30:$J$61,7,FALSE),V54)</f>
        <v>298.60000000000002</v>
      </c>
      <c r="V54">
        <f t="shared" ref="V54" si="36">ROUND(IF(W54="A",((-0.00000028)*I54^4+0.00004915*I54^3+(-0.00337375)*I54^2+0.1677306*I54+0.53976823)*X54,
IF(W54="B",((-0.00000023)*I54^4+0.00003846*I54^3-0.00262028*I54^2+0.27495836*I54+0.14075609)*X54,
(-0.00000001*I54^4-0.00001462*I54^3+0.00247677*I54^2+0.38073934*I54-0.24312323)*X54)),1)</f>
        <v>298.60000000000002</v>
      </c>
      <c r="W54" t="str">
        <f>VLOOKUP(H54,簡易仕様書!$D$30:$J$61,5,FALSE)</f>
        <v>B</v>
      </c>
      <c r="X54">
        <f>VLOOKUP(H54,簡易仕様書!$D$30:$J$61,6,FALSE)</f>
        <v>21</v>
      </c>
      <c r="Y54" t="str">
        <f>VLOOKUP(H54,簡易仕様書!$D$30:$M$61,10,FALSE)</f>
        <v>Tc-99m</v>
      </c>
      <c r="Z54" t="str">
        <f t="shared" si="1"/>
        <v/>
      </c>
      <c r="AA54" t="str">
        <f t="shared" si="2"/>
        <v/>
      </c>
      <c r="AB54" t="str">
        <f>VLOOKUP(H54,簡易仕様書!$D$30:$F$61,3,FALSE)</f>
        <v>snma</v>
      </c>
      <c r="AC54" t="str">
        <f>INDEX(簡易仕様書!$A$30:$A$61,MATCH(H54,簡易仕様書!$D$30:$D$61,0))</f>
        <v>スズコロイド（骨髄）</v>
      </c>
    </row>
    <row r="55" spans="1:29">
      <c r="A55" s="14">
        <v>52</v>
      </c>
      <c r="B55" s="44"/>
      <c r="C55" s="46"/>
      <c r="D55" s="40"/>
      <c r="E55" s="40"/>
      <c r="F55" s="14" t="s">
        <v>267</v>
      </c>
      <c r="G55" s="14" t="s">
        <v>269</v>
      </c>
      <c r="H55" s="14" t="s">
        <v>278</v>
      </c>
      <c r="I55" s="14">
        <f>IF((ROUND(VLOOKUP(H55,簡易仕様書!$D$30:$L$61,8,FALSE),1))&gt;VLOOKUP(H55,簡易仕様書!$D$30:$L$61,7,FALSE),
VLOOKUP(H55,簡易仕様書!$D$30:$L$61,9,FALSE)-0.1,VLOOKUP(H55,簡易仕様書!$D$30:$L$61,9,FALSE))</f>
        <v>10</v>
      </c>
      <c r="J55" s="11" t="str">
        <f t="shared" si="0"/>
        <v>薬剤にフィチン酸（肝脾）を選択、体重に10と入力して計算ボタンを押す</v>
      </c>
      <c r="K55" s="11" t="str">
        <f>("体重:")&amp;I55&amp;("kg、薬剤名:")&amp;Y55&amp;INDEX(簡易仕様書!$A$30:$A$61,MATCH(H55,簡易仕様書!$D$30:$D$61,0))&amp;("、投与量:")&amp;U55&amp;("MBqと表示されること")</f>
        <v>体重:10kg、薬剤名:Tc-99mフィチン酸（肝脾）、投与量:15MBqと表示されること</v>
      </c>
      <c r="L55" s="14" t="s">
        <v>337</v>
      </c>
      <c r="M55" s="14" t="s">
        <v>369</v>
      </c>
      <c r="N55" s="26">
        <v>45714.304606481484</v>
      </c>
      <c r="O55" s="11"/>
      <c r="P55" s="11"/>
      <c r="Q55" s="11"/>
      <c r="R55" s="11"/>
      <c r="U55">
        <f>IF(VLOOKUP(H55,簡易仕様書!$D$30:$J$61,7,FALSE)&gt;V55,VLOOKUP(H55,簡易仕様書!$D$30:$J$61,7,FALSE),V55)</f>
        <v>15</v>
      </c>
      <c r="V55">
        <f>ROUND(IF(W55="A",((-0.00000028)*I55^4+0.00004915*I55^3+(-0.00337375)*I55^2+0.1677306*I55+0.53976823)*X55,
IF(W55="B",((-0.00000023)*I55^4+0.00003846*I55^3-0.00262028*I55^2+0.27495836*I55+0.14075609)*X55,
(-0.00000001*I55^4-0.00001462*I55^3+0.00247677*I55^2+0.38073934*I55-0.24312323)*X55)),1)</f>
        <v>14.9</v>
      </c>
      <c r="W55" t="str">
        <f>VLOOKUP(H55,簡易仕様書!$D$30:$J$61,5,FALSE)</f>
        <v>B</v>
      </c>
      <c r="X55">
        <f>VLOOKUP(H55,簡易仕様書!$D$30:$J$61,6,FALSE)</f>
        <v>5.6</v>
      </c>
      <c r="Y55" t="str">
        <f>VLOOKUP(H55,簡易仕様書!$D$30:$M$61,10,FALSE)</f>
        <v>Tc-99m</v>
      </c>
      <c r="Z55" t="str">
        <f t="shared" si="1"/>
        <v/>
      </c>
      <c r="AA55" t="str">
        <f t="shared" si="2"/>
        <v/>
      </c>
      <c r="AB55" t="str">
        <f>VLOOKUP(H55,簡易仕様書!$D$30:$F$61,3,FALSE)</f>
        <v>phyticl</v>
      </c>
      <c r="AC55" t="str">
        <f>INDEX(簡易仕様書!$A$30:$A$61,MATCH(H55,簡易仕様書!$D$30:$D$61,0))</f>
        <v>フィチン酸（肝脾）</v>
      </c>
    </row>
    <row r="56" spans="1:29">
      <c r="A56" s="14">
        <v>53</v>
      </c>
      <c r="B56" s="44"/>
      <c r="C56" s="46"/>
      <c r="D56" s="40"/>
      <c r="E56" s="40"/>
      <c r="F56" s="14" t="s">
        <v>267</v>
      </c>
      <c r="G56" s="14" t="s">
        <v>269</v>
      </c>
      <c r="H56" s="14" t="s">
        <v>278</v>
      </c>
      <c r="I56" s="14">
        <f t="shared" ref="I56" si="37">I55+0.1</f>
        <v>10.1</v>
      </c>
      <c r="J56" s="11" t="str">
        <f t="shared" si="0"/>
        <v>薬剤にフィチン酸（肝脾）を選択、体重に10.1と入力して計算ボタンを押す</v>
      </c>
      <c r="K56" s="11" t="str">
        <f>("体重:")&amp;I56&amp;("kg、薬剤名:")&amp;Y56&amp;INDEX(簡易仕様書!$A$30:$A$61,MATCH(H56,簡易仕様書!$D$30:$D$61,0))&amp;("、投与量:")&amp;U56&amp;("MBqと表示されること")</f>
        <v>体重:10.1kg、薬剤名:Tc-99mフィチン酸（肝脾）、投与量:15.1MBqと表示されること</v>
      </c>
      <c r="L56" s="14" t="s">
        <v>337</v>
      </c>
      <c r="M56" s="14" t="s">
        <v>369</v>
      </c>
      <c r="N56" s="26">
        <v>45714.304618055554</v>
      </c>
      <c r="O56" s="11"/>
      <c r="P56" s="11"/>
      <c r="Q56" s="11"/>
      <c r="R56" s="11"/>
      <c r="U56">
        <f>IF(VLOOKUP(H56,簡易仕様書!$D$30:$J$61,7,FALSE)&gt;V56,VLOOKUP(H56,簡易仕様書!$D$30:$J$61,7,FALSE),V56)</f>
        <v>15.1</v>
      </c>
      <c r="V56">
        <f t="shared" si="30"/>
        <v>15.1</v>
      </c>
      <c r="W56" t="str">
        <f>VLOOKUP(H56,簡易仕様書!$D$30:$J$61,5,FALSE)</f>
        <v>B</v>
      </c>
      <c r="X56">
        <f>VLOOKUP(H56,簡易仕様書!$D$30:$J$61,6,FALSE)</f>
        <v>5.6</v>
      </c>
      <c r="Y56" t="str">
        <f>VLOOKUP(H56,簡易仕様書!$D$30:$M$61,10,FALSE)</f>
        <v>Tc-99m</v>
      </c>
      <c r="Z56" t="str">
        <f t="shared" si="1"/>
        <v/>
      </c>
      <c r="AA56" t="str">
        <f t="shared" si="2"/>
        <v/>
      </c>
      <c r="AB56" t="str">
        <f>VLOOKUP(H56,簡易仕様書!$D$30:$F$61,3,FALSE)</f>
        <v>phyticl</v>
      </c>
      <c r="AC56" t="str">
        <f>INDEX(簡易仕様書!$A$30:$A$61,MATCH(H56,簡易仕様書!$D$30:$D$61,0))</f>
        <v>フィチン酸（肝脾）</v>
      </c>
    </row>
    <row r="57" spans="1:29">
      <c r="A57" s="14">
        <v>54</v>
      </c>
      <c r="B57" s="44"/>
      <c r="C57" s="46"/>
      <c r="D57" s="40"/>
      <c r="E57" s="40"/>
      <c r="F57" s="14" t="s">
        <v>267</v>
      </c>
      <c r="G57" s="14" t="s">
        <v>269</v>
      </c>
      <c r="H57" s="14" t="s">
        <v>278</v>
      </c>
      <c r="I57" s="14">
        <v>0.1</v>
      </c>
      <c r="J57" s="11" t="str">
        <f t="shared" si="0"/>
        <v>薬剤にフィチン酸（肝脾）を選択、体重に0.1と入力して計算ボタンを押す</v>
      </c>
      <c r="K57" s="11" t="str">
        <f>("体重:")&amp;I57&amp;("kg、薬剤名:")&amp;Y57&amp;INDEX(簡易仕様書!$A$30:$A$61,MATCH(H57,簡易仕様書!$D$30:$D$61,0))&amp;("、投与量:")&amp;U57&amp;("MBqと表示されること")</f>
        <v>体重:0.1kg、薬剤名:Tc-99mフィチン酸（肝脾）、投与量:15MBqと表示されること</v>
      </c>
      <c r="L57" s="14" t="s">
        <v>337</v>
      </c>
      <c r="M57" s="14" t="s">
        <v>369</v>
      </c>
      <c r="N57" s="26">
        <v>45714.3046412037</v>
      </c>
      <c r="O57" s="11"/>
      <c r="P57" s="11"/>
      <c r="Q57" s="11"/>
      <c r="R57" s="11"/>
      <c r="U57">
        <f>IF(VLOOKUP(H57,簡易仕様書!$D$30:$J$61,7,FALSE)&gt;V57,VLOOKUP(H57,簡易仕様書!$D$30:$J$61,7,FALSE),V57)</f>
        <v>15</v>
      </c>
      <c r="V57">
        <f t="shared" si="30"/>
        <v>0.9</v>
      </c>
      <c r="W57" t="str">
        <f>VLOOKUP(H57,簡易仕様書!$D$30:$J$61,5,FALSE)</f>
        <v>B</v>
      </c>
      <c r="X57">
        <f>VLOOKUP(H57,簡易仕様書!$D$30:$J$61,6,FALSE)</f>
        <v>5.6</v>
      </c>
      <c r="Y57" t="str">
        <f>VLOOKUP(H57,簡易仕様書!$D$30:$M$61,10,FALSE)</f>
        <v>Tc-99m</v>
      </c>
      <c r="Z57" t="str">
        <f t="shared" si="1"/>
        <v/>
      </c>
      <c r="AA57" t="str">
        <f t="shared" si="2"/>
        <v/>
      </c>
      <c r="AB57" t="str">
        <f>VLOOKUP(H57,簡易仕様書!$D$30:$F$61,3,FALSE)</f>
        <v>phyticl</v>
      </c>
      <c r="AC57" t="str">
        <f>INDEX(簡易仕様書!$A$30:$A$61,MATCH(H57,簡易仕様書!$D$30:$D$61,0))</f>
        <v>フィチン酸（肝脾）</v>
      </c>
    </row>
    <row r="58" spans="1:29">
      <c r="A58" s="14">
        <v>55</v>
      </c>
      <c r="B58" s="44"/>
      <c r="C58" s="46"/>
      <c r="D58" s="40"/>
      <c r="E58" s="40"/>
      <c r="F58" s="14" t="s">
        <v>267</v>
      </c>
      <c r="G58" s="14" t="s">
        <v>269</v>
      </c>
      <c r="H58" s="14" t="s">
        <v>278</v>
      </c>
      <c r="I58" s="14">
        <v>70</v>
      </c>
      <c r="J58" s="11" t="str">
        <f t="shared" ref="J58" si="38">("薬剤に")&amp;H58&amp;("を選択、体重に")&amp;I58&amp;("と入力して計算ボタンを押す")</f>
        <v>薬剤にフィチン酸（肝脾）を選択、体重に70と入力して計算ボタンを押す</v>
      </c>
      <c r="K58" s="11" t="str">
        <f>("体重:")&amp;I58&amp;("kg、薬剤名:")&amp;Y58&amp;INDEX(簡易仕様書!$A$30:$A$61,MATCH(H58,簡易仕様書!$D$30:$D$61,0))&amp;("、投与量:")&amp;U58&amp;("MBqと表示されること")</f>
        <v>体重:70kg、薬剤名:Tc-99mフィチン酸（肝脾）、投与量:79.6MBqと表示されること</v>
      </c>
      <c r="L58" s="14" t="s">
        <v>337</v>
      </c>
      <c r="M58" s="14" t="s">
        <v>369</v>
      </c>
      <c r="N58" s="26">
        <v>45714.304664351854</v>
      </c>
      <c r="O58" s="11"/>
      <c r="P58" s="11"/>
      <c r="Q58" s="11"/>
      <c r="R58" s="11"/>
      <c r="U58">
        <f>IF(VLOOKUP(H58,簡易仕様書!$D$30:$J$61,7,FALSE)&gt;V58,VLOOKUP(H58,簡易仕様書!$D$30:$J$61,7,FALSE),V58)</f>
        <v>79.599999999999994</v>
      </c>
      <c r="V58">
        <f t="shared" ref="V58" si="39">ROUND(IF(W58="A",((-0.00000028)*I58^4+0.00004915*I58^3+(-0.00337375)*I58^2+0.1677306*I58+0.53976823)*X58,
IF(W58="B",((-0.00000023)*I58^4+0.00003846*I58^3-0.00262028*I58^2+0.27495836*I58+0.14075609)*X58,
(-0.00000001*I58^4-0.00001462*I58^3+0.00247677*I58^2+0.38073934*I58-0.24312323)*X58)),1)</f>
        <v>79.599999999999994</v>
      </c>
      <c r="W58" t="str">
        <f>VLOOKUP(H58,簡易仕様書!$D$30:$J$61,5,FALSE)</f>
        <v>B</v>
      </c>
      <c r="X58">
        <f>VLOOKUP(H58,簡易仕様書!$D$30:$J$61,6,FALSE)</f>
        <v>5.6</v>
      </c>
      <c r="Y58" t="str">
        <f>VLOOKUP(H58,簡易仕様書!$D$30:$M$61,10,FALSE)</f>
        <v>Tc-99m</v>
      </c>
      <c r="Z58" t="str">
        <f>IF(H58="IMP",IF(ROUND(I58*20,0)&gt;=1000,1000,ROUND(I58*20,0)),IF(H58="ECD",IF(ROUND(I58*20,0)&gt;=1000,1000,ROUND(I58*20,0)),IF(H58="MAG3",IF(ROUND(I58/10,1)&gt;=2,2,ROUND(I58/10,1)),"")))</f>
        <v/>
      </c>
      <c r="AA58" t="str">
        <f t="shared" si="2"/>
        <v/>
      </c>
      <c r="AB58" t="str">
        <f>VLOOKUP(H58,簡易仕様書!$D$30:$F$61,3,FALSE)</f>
        <v>phyticl</v>
      </c>
      <c r="AC58" t="str">
        <f>INDEX(簡易仕様書!$A$30:$A$61,MATCH(H58,簡易仕様書!$D$30:$D$61,0))</f>
        <v>フィチン酸（肝脾）</v>
      </c>
    </row>
    <row r="59" spans="1:29">
      <c r="A59" s="14">
        <v>56</v>
      </c>
      <c r="B59" s="44"/>
      <c r="C59" s="46"/>
      <c r="D59" s="40"/>
      <c r="E59" s="40"/>
      <c r="F59" s="14" t="s">
        <v>267</v>
      </c>
      <c r="G59" s="14" t="s">
        <v>269</v>
      </c>
      <c r="H59" s="27" t="s">
        <v>179</v>
      </c>
      <c r="I59" s="14">
        <f>IF((ROUND(VLOOKUP(H59,簡易仕様書!$D$30:$L$61,8,FALSE),1))&gt;VLOOKUP(H59,簡易仕様書!$D$30:$L$61,7,FALSE),
VLOOKUP(H59,簡易仕様書!$D$30:$L$61,9,FALSE)-0.1,VLOOKUP(H59,簡易仕様書!$D$30:$L$61,9,FALSE))</f>
        <v>14</v>
      </c>
      <c r="J59" s="11" t="str">
        <f t="shared" si="0"/>
        <v>薬剤にスズコロイド/DTPA（胃排出）を選択、体重に14と入力して計算ボタンを押す</v>
      </c>
      <c r="K59" s="11" t="str">
        <f>("体重:")&amp;I59&amp;("kg、薬剤名:")&amp;Y59&amp;INDEX(簡易仕様書!$A$30:$A$61,MATCH(H59,簡易仕様書!$D$30:$D$61,0))&amp;("、投与量:")&amp;U59&amp;("MBqと表示されること")</f>
        <v>体重:14kg、薬剤名:Tc-99mスズコロイド/DTPA（胃食道逆流、胃排出）、投与量:10MBqと表示されること</v>
      </c>
      <c r="L59" s="14" t="s">
        <v>337</v>
      </c>
      <c r="M59" s="14" t="s">
        <v>369</v>
      </c>
      <c r="N59" s="26">
        <v>45714.3046875</v>
      </c>
      <c r="O59" s="11"/>
      <c r="P59" s="11"/>
      <c r="Q59" s="11"/>
      <c r="R59" s="11"/>
      <c r="U59">
        <f>IF(VLOOKUP(H59,簡易仕様書!$D$30:$J$61,7,FALSE)&gt;V59,VLOOKUP(H59,簡易仕様書!$D$30:$J$61,7,FALSE),V59)</f>
        <v>10</v>
      </c>
      <c r="V59">
        <f t="shared" si="30"/>
        <v>10</v>
      </c>
      <c r="W59" t="str">
        <f>VLOOKUP(H59,簡易仕様書!$D$30:$J$61,5,FALSE)</f>
        <v>B</v>
      </c>
      <c r="X59">
        <f>VLOOKUP(H59,簡易仕様書!$D$30:$J$61,6,FALSE)</f>
        <v>2.8</v>
      </c>
      <c r="Y59" t="str">
        <f>VLOOKUP(H59,簡易仕様書!$D$30:$M$61,10,FALSE)</f>
        <v>Tc-99m</v>
      </c>
      <c r="Z59" t="str">
        <f t="shared" si="1"/>
        <v/>
      </c>
      <c r="AA59" t="str">
        <f t="shared" si="2"/>
        <v/>
      </c>
      <c r="AB59" t="str">
        <f>VLOOKUP(H59,簡易仕様書!$D$30:$F$61,3,FALSE)</f>
        <v>sndtpa</v>
      </c>
      <c r="AC59" t="str">
        <f>INDEX(簡易仕様書!$A$30:$A$61,MATCH(H59,簡易仕様書!$D$30:$D$61,0))</f>
        <v>スズコロイド/DTPA（胃食道逆流、胃排出）</v>
      </c>
    </row>
    <row r="60" spans="1:29">
      <c r="A60" s="14">
        <v>57</v>
      </c>
      <c r="B60" s="44"/>
      <c r="C60" s="46"/>
      <c r="D60" s="40"/>
      <c r="E60" s="40"/>
      <c r="F60" s="14" t="s">
        <v>267</v>
      </c>
      <c r="G60" s="14" t="s">
        <v>269</v>
      </c>
      <c r="H60" s="27" t="s">
        <v>179</v>
      </c>
      <c r="I60" s="14">
        <f>I59+0.1</f>
        <v>14.1</v>
      </c>
      <c r="J60" s="11" t="str">
        <f t="shared" si="0"/>
        <v>薬剤にスズコロイド/DTPA（胃排出）を選択、体重に14.1と入力して計算ボタンを押す</v>
      </c>
      <c r="K60" s="11" t="str">
        <f>("体重:")&amp;I60&amp;("kg、薬剤名:")&amp;Y60&amp;INDEX(簡易仕様書!$A$30:$A$61,MATCH(H60,簡易仕様書!$D$30:$D$61,0))&amp;("、投与量:")&amp;U60&amp;("MBqと表示されること")</f>
        <v>体重:14.1kg、薬剤名:Tc-99mスズコロイド/DTPA（胃食道逆流、胃排出）、投与量:10.1MBqと表示されること</v>
      </c>
      <c r="L60" s="14" t="s">
        <v>337</v>
      </c>
      <c r="M60" s="14" t="s">
        <v>369</v>
      </c>
      <c r="N60" s="26">
        <v>45714.304710648146</v>
      </c>
      <c r="O60" s="11"/>
      <c r="P60" s="11"/>
      <c r="Q60" s="11"/>
      <c r="R60" s="11"/>
      <c r="U60">
        <f>IF(VLOOKUP(H60,簡易仕様書!$D$30:$J$61,7,FALSE)&gt;V60,VLOOKUP(H60,簡易仕様書!$D$30:$J$61,7,FALSE),V60)</f>
        <v>10.1</v>
      </c>
      <c r="V60">
        <f t="shared" si="30"/>
        <v>10.1</v>
      </c>
      <c r="W60" t="str">
        <f>VLOOKUP(H60,簡易仕様書!$D$30:$J$61,5,FALSE)</f>
        <v>B</v>
      </c>
      <c r="X60">
        <f>VLOOKUP(H60,簡易仕様書!$D$30:$J$61,6,FALSE)</f>
        <v>2.8</v>
      </c>
      <c r="Y60" t="str">
        <f>VLOOKUP(H60,簡易仕様書!$D$30:$M$61,10,FALSE)</f>
        <v>Tc-99m</v>
      </c>
      <c r="Z60" t="str">
        <f t="shared" si="1"/>
        <v/>
      </c>
      <c r="AA60" t="str">
        <f t="shared" si="2"/>
        <v/>
      </c>
      <c r="AB60" t="str">
        <f>VLOOKUP(H60,簡易仕様書!$D$30:$F$61,3,FALSE)</f>
        <v>sndtpa</v>
      </c>
      <c r="AC60" t="str">
        <f>INDEX(簡易仕様書!$A$30:$A$61,MATCH(H60,簡易仕様書!$D$30:$D$61,0))</f>
        <v>スズコロイド/DTPA（胃食道逆流、胃排出）</v>
      </c>
    </row>
    <row r="61" spans="1:29">
      <c r="A61" s="14">
        <v>58</v>
      </c>
      <c r="B61" s="44"/>
      <c r="C61" s="46"/>
      <c r="D61" s="40"/>
      <c r="E61" s="40"/>
      <c r="F61" s="14" t="s">
        <v>267</v>
      </c>
      <c r="G61" s="14" t="s">
        <v>269</v>
      </c>
      <c r="H61" s="27" t="s">
        <v>179</v>
      </c>
      <c r="I61" s="14">
        <v>0.1</v>
      </c>
      <c r="J61" s="11" t="str">
        <f t="shared" si="0"/>
        <v>薬剤にスズコロイド/DTPA（胃排出）を選択、体重に0.1と入力して計算ボタンを押す</v>
      </c>
      <c r="K61" s="11" t="str">
        <f>("体重:")&amp;I61&amp;("kg、薬剤名:")&amp;Y61&amp;INDEX(簡易仕様書!$A$30:$A$61,MATCH(H61,簡易仕様書!$D$30:$D$61,0))&amp;("、投与量:")&amp;U61&amp;("MBqと表示されること")</f>
        <v>体重:0.1kg、薬剤名:Tc-99mスズコロイド/DTPA（胃食道逆流、胃排出）、投与量:10MBqと表示されること</v>
      </c>
      <c r="L61" s="14" t="s">
        <v>337</v>
      </c>
      <c r="M61" s="14" t="s">
        <v>369</v>
      </c>
      <c r="N61" s="26">
        <v>45714.3047337963</v>
      </c>
      <c r="O61" s="11"/>
      <c r="P61" s="11"/>
      <c r="Q61" s="11"/>
      <c r="R61" s="11"/>
      <c r="U61">
        <f>IF(VLOOKUP(H61,簡易仕様書!$D$30:$J$61,7,FALSE)&gt;V61,VLOOKUP(H61,簡易仕様書!$D$30:$J$61,7,FALSE),V61)</f>
        <v>10</v>
      </c>
      <c r="V61">
        <f>ROUND(IF(W61="A",((-0.00000028)*I61^4+0.00004915*I61^3+(-0.00337375)*I61^2+0.1677306*I61+0.53976823)*X61,
IF(W61="B",((-0.00000023)*I61^4+0.00003846*I61^3-0.00262028*I61^2+0.27495836*I61+0.14075609)*X61,
(-0.00000001*I61^4-0.00001462*I61^3+0.00247677*I61^2+0.38073934*I61-0.24312323)*X61)),1)</f>
        <v>0.5</v>
      </c>
      <c r="W61" t="str">
        <f>VLOOKUP(H61,簡易仕様書!$D$30:$J$61,5,FALSE)</f>
        <v>B</v>
      </c>
      <c r="X61">
        <f>VLOOKUP(H61,簡易仕様書!$D$30:$J$61,6,FALSE)</f>
        <v>2.8</v>
      </c>
      <c r="Y61" t="str">
        <f>VLOOKUP(H61,簡易仕様書!$D$30:$M$61,10,FALSE)</f>
        <v>Tc-99m</v>
      </c>
      <c r="Z61" t="str">
        <f t="shared" si="1"/>
        <v/>
      </c>
      <c r="AA61" t="str">
        <f t="shared" si="2"/>
        <v/>
      </c>
      <c r="AB61" t="str">
        <f>VLOOKUP(H61,簡易仕様書!$D$30:$F$61,3,FALSE)</f>
        <v>sndtpa</v>
      </c>
      <c r="AC61" t="str">
        <f>INDEX(簡易仕様書!$A$30:$A$61,MATCH(H61,簡易仕様書!$D$30:$D$61,0))</f>
        <v>スズコロイド/DTPA（胃食道逆流、胃排出）</v>
      </c>
    </row>
    <row r="62" spans="1:29">
      <c r="A62" s="14">
        <v>59</v>
      </c>
      <c r="B62" s="44"/>
      <c r="C62" s="46"/>
      <c r="D62" s="40"/>
      <c r="E62" s="40"/>
      <c r="F62" s="14" t="s">
        <v>267</v>
      </c>
      <c r="G62" s="14" t="s">
        <v>269</v>
      </c>
      <c r="H62" s="27" t="s">
        <v>179</v>
      </c>
      <c r="I62" s="14">
        <v>70</v>
      </c>
      <c r="J62" s="11" t="str">
        <f t="shared" ref="J62" si="40">("薬剤に")&amp;H62&amp;("を選択、体重に")&amp;I62&amp;("と入力して計算ボタンを押す")</f>
        <v>薬剤にスズコロイド/DTPA（胃排出）を選択、体重に70と入力して計算ボタンを押す</v>
      </c>
      <c r="K62" s="11" t="str">
        <f>("体重:")&amp;I62&amp;("kg、薬剤名:")&amp;Y62&amp;INDEX(簡易仕様書!$A$30:$A$61,MATCH(H62,簡易仕様書!$D$30:$D$61,0))&amp;("、投与量:")&amp;U62&amp;("MBqと表示されること")</f>
        <v>体重:70kg、薬剤名:Tc-99mスズコロイド/DTPA（胃食道逆流、胃排出）、投与量:39.8MBqと表示されること</v>
      </c>
      <c r="L62" s="14" t="s">
        <v>337</v>
      </c>
      <c r="M62" s="14" t="s">
        <v>369</v>
      </c>
      <c r="N62" s="26">
        <v>45714.304756944446</v>
      </c>
      <c r="O62" s="11"/>
      <c r="P62" s="11"/>
      <c r="Q62" s="11"/>
      <c r="R62" s="11"/>
      <c r="U62">
        <f>IF(VLOOKUP(H62,簡易仕様書!$D$30:$J$61,7,FALSE)&gt;V62,VLOOKUP(H62,簡易仕様書!$D$30:$J$61,7,FALSE),V62)</f>
        <v>39.799999999999997</v>
      </c>
      <c r="V62">
        <f>ROUND(IF(W62="A",((-0.00000028)*I62^4+0.00004915*I62^3+(-0.00337375)*I62^2+0.1677306*I62+0.53976823)*X62,
IF(W62="B",((-0.00000023)*I62^4+0.00003846*I62^3-0.00262028*I62^2+0.27495836*I62+0.14075609)*X62,
(-0.00000001*I62^4-0.00001462*I62^3+0.00247677*I62^2+0.38073934*I62-0.24312323)*X62)),1)</f>
        <v>39.799999999999997</v>
      </c>
      <c r="W62" t="str">
        <f>VLOOKUP(H62,簡易仕様書!$D$30:$J$61,5,FALSE)</f>
        <v>B</v>
      </c>
      <c r="X62">
        <f>VLOOKUP(H62,簡易仕様書!$D$30:$J$61,6,FALSE)</f>
        <v>2.8</v>
      </c>
      <c r="Y62" t="str">
        <f>VLOOKUP(H62,簡易仕様書!$D$30:$M$61,10,FALSE)</f>
        <v>Tc-99m</v>
      </c>
      <c r="Z62" t="str">
        <f t="shared" si="1"/>
        <v/>
      </c>
      <c r="AA62" t="str">
        <f t="shared" si="2"/>
        <v/>
      </c>
      <c r="AB62" t="str">
        <f>VLOOKUP(H62,簡易仕様書!$D$30:$F$61,3,FALSE)</f>
        <v>sndtpa</v>
      </c>
      <c r="AC62" t="str">
        <f>INDEX(簡易仕様書!$A$30:$A$61,MATCH(H62,簡易仕様書!$D$30:$D$61,0))</f>
        <v>スズコロイド/DTPA（胃食道逆流、胃排出）</v>
      </c>
    </row>
    <row r="63" spans="1:29">
      <c r="A63" s="14">
        <v>60</v>
      </c>
      <c r="B63" s="44"/>
      <c r="C63" s="46"/>
      <c r="D63" s="40"/>
      <c r="E63" s="40"/>
      <c r="F63" s="14" t="s">
        <v>267</v>
      </c>
      <c r="G63" s="14" t="s">
        <v>269</v>
      </c>
      <c r="H63" s="14" t="s">
        <v>168</v>
      </c>
      <c r="I63" s="14">
        <f>IF((ROUND(VLOOKUP(H63,簡易仕様書!$D$30:$L$61,8,FALSE),1))&gt;VLOOKUP(H63,簡易仕様書!$D$30:$L$61,7,FALSE),
VLOOKUP(H63,簡易仕様書!$D$30:$L$61,9,FALSE)-0.1,VLOOKUP(H63,簡易仕様書!$D$30:$L$61,9,FALSE))</f>
        <v>3.6999999999999997</v>
      </c>
      <c r="J63" s="11" t="str">
        <f t="shared" si="0"/>
        <v>薬剤にMDP/HMDPを選択、体重に3.7と入力して計算ボタンを押す</v>
      </c>
      <c r="K63" s="11" t="str">
        <f>("体重:")&amp;I63&amp;("kg、薬剤名:")&amp;Y63&amp;INDEX(簡易仕様書!$A$30:$A$61,MATCH(H63,簡易仕様書!$D$30:$D$61,0))&amp;("、投与量:")&amp;U63&amp;("MBqと表示されること")</f>
        <v>体重:3.7kg、薬剤名:Tc-99mMDP/HMDP、投与量:40MBqと表示されること</v>
      </c>
      <c r="L63" s="14" t="s">
        <v>337</v>
      </c>
      <c r="M63" s="14" t="s">
        <v>369</v>
      </c>
      <c r="N63" s="26">
        <v>45714.304780092592</v>
      </c>
      <c r="O63" s="11"/>
      <c r="P63" s="11"/>
      <c r="Q63" s="11"/>
      <c r="R63" s="11"/>
      <c r="U63">
        <f>IF(VLOOKUP(H63,簡易仕様書!$D$30:$J$61,7,FALSE)&gt;V63,VLOOKUP(H63,簡易仕様書!$D$30:$J$61,7,FALSE),V63)</f>
        <v>40</v>
      </c>
      <c r="V63">
        <f t="shared" ref="V63:V79" si="41">ROUND(IF(W63="A",((-0.00000028)*I63^4+0.00004915*I63^3+(-0.00337375)*I63^2+0.1677306*I63+0.53976823)*X63,
IF(W63="B",((-0.00000023)*I63^4+0.00003846*I63^3-0.00262028*I63^2+0.27495836*I63+0.14075609)*X63,
(-0.00000001*I63^4-0.00001462*I63^3+0.00247677*I63^2+0.38073934*I63-0.24312323)*X63)),1)</f>
        <v>39.299999999999997</v>
      </c>
      <c r="W63" t="str">
        <f>VLOOKUP(H63,簡易仕様書!$D$30:$J$61,5,FALSE)</f>
        <v>B</v>
      </c>
      <c r="X63">
        <f>VLOOKUP(H63,簡易仕様書!$D$30:$J$61,6,FALSE)</f>
        <v>35</v>
      </c>
      <c r="Y63" t="str">
        <f>VLOOKUP(H63,簡易仕様書!$D$30:$M$61,10,FALSE)</f>
        <v>Tc-99m</v>
      </c>
      <c r="Z63" t="str">
        <f t="shared" si="1"/>
        <v/>
      </c>
      <c r="AA63" t="str">
        <f>IF(H63="IMP","負荷薬剤ダイアモックス（ACZ）",IF(H63="ECD","負荷薬剤ダイアモックス（ACZ）",IF(H63="MAG3","負荷薬剤フロセミド（ラシックス）","")))</f>
        <v/>
      </c>
      <c r="AB63" t="str">
        <f>VLOOKUP(H63,簡易仕様書!$D$30:$F$61,3,FALSE)</f>
        <v>mdp</v>
      </c>
      <c r="AC63" t="str">
        <f>INDEX(簡易仕様書!$A$30:$A$61,MATCH(H63,簡易仕様書!$D$30:$D$61,0))</f>
        <v>MDP/HMDP</v>
      </c>
    </row>
    <row r="64" spans="1:29">
      <c r="A64" s="14">
        <v>61</v>
      </c>
      <c r="B64" s="44"/>
      <c r="C64" s="46"/>
      <c r="D64" s="40"/>
      <c r="E64" s="40"/>
      <c r="F64" s="14" t="s">
        <v>267</v>
      </c>
      <c r="G64" s="14" t="s">
        <v>269</v>
      </c>
      <c r="H64" s="14" t="s">
        <v>168</v>
      </c>
      <c r="I64" s="14">
        <f>I63+0.1</f>
        <v>3.8</v>
      </c>
      <c r="J64" s="11" t="str">
        <f t="shared" si="0"/>
        <v>薬剤にMDP/HMDPを選択、体重に3.8と入力して計算ボタンを押す</v>
      </c>
      <c r="K64" s="11" t="str">
        <f>("体重:")&amp;I64&amp;("kg、薬剤名:")&amp;Y64&amp;INDEX(簡易仕様書!$A$30:$A$61,MATCH(H64,簡易仕様書!$D$30:$D$61,0))&amp;("、投与量:")&amp;U64&amp;("MBqと表示されること")</f>
        <v>体重:3.8kg、薬剤名:Tc-99mMDP/HMDP、投与量:40.2MBqと表示されること</v>
      </c>
      <c r="L64" s="14" t="s">
        <v>337</v>
      </c>
      <c r="M64" s="14" t="s">
        <v>369</v>
      </c>
      <c r="N64" s="26">
        <v>45714.304803240739</v>
      </c>
      <c r="O64" s="11"/>
      <c r="P64" s="11"/>
      <c r="Q64" s="11"/>
      <c r="R64" s="11"/>
      <c r="U64">
        <f>IF(VLOOKUP(H64,簡易仕様書!$D$30:$J$61,7,FALSE)&gt;V64,VLOOKUP(H64,簡易仕様書!$D$30:$J$61,7,FALSE),V64)</f>
        <v>40.200000000000003</v>
      </c>
      <c r="V64">
        <f t="shared" si="41"/>
        <v>40.200000000000003</v>
      </c>
      <c r="W64" t="str">
        <f>VLOOKUP(H64,簡易仕様書!$D$30:$J$61,5,FALSE)</f>
        <v>B</v>
      </c>
      <c r="X64">
        <f>VLOOKUP(H64,簡易仕様書!$D$30:$J$61,6,FALSE)</f>
        <v>35</v>
      </c>
      <c r="Y64" t="str">
        <f>VLOOKUP(H64,簡易仕様書!$D$30:$M$61,10,FALSE)</f>
        <v>Tc-99m</v>
      </c>
      <c r="Z64" t="str">
        <f t="shared" si="1"/>
        <v/>
      </c>
      <c r="AA64" t="str">
        <f t="shared" si="2"/>
        <v/>
      </c>
      <c r="AB64" t="str">
        <f>VLOOKUP(H64,簡易仕様書!$D$30:$F$61,3,FALSE)</f>
        <v>mdp</v>
      </c>
      <c r="AC64" t="str">
        <f>INDEX(簡易仕様書!$A$30:$A$61,MATCH(H64,簡易仕様書!$D$30:$D$61,0))</f>
        <v>MDP/HMDP</v>
      </c>
    </row>
    <row r="65" spans="1:29">
      <c r="A65" s="14">
        <v>62</v>
      </c>
      <c r="B65" s="44"/>
      <c r="C65" s="46"/>
      <c r="D65" s="40"/>
      <c r="E65" s="40"/>
      <c r="F65" s="14" t="s">
        <v>267</v>
      </c>
      <c r="G65" s="14" t="s">
        <v>269</v>
      </c>
      <c r="H65" s="14" t="s">
        <v>168</v>
      </c>
      <c r="I65" s="14">
        <v>0.1</v>
      </c>
      <c r="J65" s="11" t="str">
        <f t="shared" si="0"/>
        <v>薬剤にMDP/HMDPを選択、体重に0.1と入力して計算ボタンを押す</v>
      </c>
      <c r="K65" s="11" t="str">
        <f>("体重:")&amp;I65&amp;("kg、薬剤名:")&amp;Y65&amp;INDEX(簡易仕様書!$A$30:$A$61,MATCH(H65,簡易仕様書!$D$30:$D$61,0))&amp;("、投与量:")&amp;U65&amp;("MBqと表示されること")</f>
        <v>体重:0.1kg、薬剤名:Tc-99mMDP/HMDP、投与量:40MBqと表示されること</v>
      </c>
      <c r="L65" s="14" t="s">
        <v>337</v>
      </c>
      <c r="M65" s="14" t="s">
        <v>369</v>
      </c>
      <c r="N65" s="26">
        <v>45714.304826388892</v>
      </c>
      <c r="O65" s="11"/>
      <c r="P65" s="11"/>
      <c r="Q65" s="11"/>
      <c r="R65" s="11"/>
      <c r="U65">
        <f>IF(VLOOKUP(H65,簡易仕様書!$D$30:$J$61,7,FALSE)&gt;V65,VLOOKUP(H65,簡易仕様書!$D$30:$J$61,7,FALSE),V65)</f>
        <v>40</v>
      </c>
      <c r="V65">
        <f t="shared" si="41"/>
        <v>5.9</v>
      </c>
      <c r="W65" t="str">
        <f>VLOOKUP(H65,簡易仕様書!$D$30:$J$61,5,FALSE)</f>
        <v>B</v>
      </c>
      <c r="X65">
        <f>VLOOKUP(H65,簡易仕様書!$D$30:$J$61,6,FALSE)</f>
        <v>35</v>
      </c>
      <c r="Y65" t="str">
        <f>VLOOKUP(H65,簡易仕様書!$D$30:$M$61,10,FALSE)</f>
        <v>Tc-99m</v>
      </c>
      <c r="Z65" t="str">
        <f t="shared" si="1"/>
        <v/>
      </c>
      <c r="AA65" t="str">
        <f t="shared" si="2"/>
        <v/>
      </c>
      <c r="AB65" t="str">
        <f>VLOOKUP(H65,簡易仕様書!$D$30:$F$61,3,FALSE)</f>
        <v>mdp</v>
      </c>
      <c r="AC65" t="str">
        <f>INDEX(簡易仕様書!$A$30:$A$61,MATCH(H65,簡易仕様書!$D$30:$D$61,0))</f>
        <v>MDP/HMDP</v>
      </c>
    </row>
    <row r="66" spans="1:29">
      <c r="A66" s="14">
        <v>63</v>
      </c>
      <c r="B66" s="44"/>
      <c r="C66" s="46"/>
      <c r="D66" s="40"/>
      <c r="E66" s="40"/>
      <c r="F66" s="14" t="s">
        <v>267</v>
      </c>
      <c r="G66" s="14" t="s">
        <v>269</v>
      </c>
      <c r="H66" s="14" t="s">
        <v>168</v>
      </c>
      <c r="I66" s="14">
        <v>70</v>
      </c>
      <c r="J66" s="11" t="str">
        <f t="shared" ref="J66" si="42">("薬剤に")&amp;H66&amp;("を選択、体重に")&amp;I66&amp;("と入力して計算ボタンを押す")</f>
        <v>薬剤にMDP/HMDPを選択、体重に70と入力して計算ボタンを押す</v>
      </c>
      <c r="K66" s="11" t="str">
        <f>("体重:")&amp;I66&amp;("kg、薬剤名:")&amp;Y66&amp;INDEX(簡易仕様書!$A$30:$A$61,MATCH(H66,簡易仕様書!$D$30:$D$61,0))&amp;("、投与量:")&amp;U66&amp;("MBqと表示されること")</f>
        <v>体重:70kg、薬剤名:Tc-99mMDP/HMDP、投与量:497.6MBqと表示されること</v>
      </c>
      <c r="L66" s="14" t="s">
        <v>337</v>
      </c>
      <c r="M66" s="14" t="s">
        <v>369</v>
      </c>
      <c r="N66" s="26">
        <v>45714.304849537039</v>
      </c>
      <c r="O66" s="11"/>
      <c r="P66" s="11"/>
      <c r="Q66" s="11"/>
      <c r="R66" s="11"/>
      <c r="U66">
        <f>IF(VLOOKUP(H66,簡易仕様書!$D$30:$J$61,7,FALSE)&gt;V66,VLOOKUP(H66,簡易仕様書!$D$30:$J$61,7,FALSE),V66)</f>
        <v>497.6</v>
      </c>
      <c r="V66">
        <f t="shared" ref="V66" si="43">ROUND(IF(W66="A",((-0.00000028)*I66^4+0.00004915*I66^3+(-0.00337375)*I66^2+0.1677306*I66+0.53976823)*X66,
IF(W66="B",((-0.00000023)*I66^4+0.00003846*I66^3-0.00262028*I66^2+0.27495836*I66+0.14075609)*X66,
(-0.00000001*I66^4-0.00001462*I66^3+0.00247677*I66^2+0.38073934*I66-0.24312323)*X66)),1)</f>
        <v>497.6</v>
      </c>
      <c r="W66" t="str">
        <f>VLOOKUP(H66,簡易仕様書!$D$30:$J$61,5,FALSE)</f>
        <v>B</v>
      </c>
      <c r="X66">
        <f>VLOOKUP(H66,簡易仕様書!$D$30:$J$61,6,FALSE)</f>
        <v>35</v>
      </c>
      <c r="Y66" t="str">
        <f>VLOOKUP(H66,簡易仕様書!$D$30:$M$61,10,FALSE)</f>
        <v>Tc-99m</v>
      </c>
      <c r="Z66" t="str">
        <f t="shared" si="1"/>
        <v/>
      </c>
      <c r="AA66" t="str">
        <f t="shared" si="2"/>
        <v/>
      </c>
      <c r="AB66" t="str">
        <f>VLOOKUP(H66,簡易仕様書!$D$30:$F$61,3,FALSE)</f>
        <v>mdp</v>
      </c>
      <c r="AC66" t="str">
        <f>INDEX(簡易仕様書!$A$30:$A$61,MATCH(H66,簡易仕様書!$D$30:$D$61,0))</f>
        <v>MDP/HMDP</v>
      </c>
    </row>
    <row r="67" spans="1:29">
      <c r="A67" s="14">
        <v>64</v>
      </c>
      <c r="B67" s="44"/>
      <c r="C67" s="46"/>
      <c r="D67" s="40"/>
      <c r="E67" s="40"/>
      <c r="F67" s="14" t="s">
        <v>267</v>
      </c>
      <c r="G67" s="14" t="s">
        <v>269</v>
      </c>
      <c r="H67" s="14" t="s">
        <v>169</v>
      </c>
      <c r="I67" s="14">
        <f>IF((ROUND(VLOOKUP(H67,簡易仕様書!$D$30:$L$61,8,FALSE),1))&gt;VLOOKUP(H67,簡易仕様書!$D$30:$L$61,7,FALSE),
VLOOKUP(H67,簡易仕様書!$D$30:$L$61,9,FALSE)-0.1,VLOOKUP(H67,簡易仕様書!$D$30:$L$61,9,FALSE))</f>
        <v>2.9</v>
      </c>
      <c r="J67" s="11" t="str">
        <f t="shared" si="0"/>
        <v>薬剤にDMSAを選択、体重に2.9と入力して計算ボタンを押す</v>
      </c>
      <c r="K67" s="11" t="str">
        <f>("体重:")&amp;I67&amp;("kg、薬剤名:")&amp;Y67&amp;INDEX(簡易仕様書!$A$30:$A$61,MATCH(H67,簡易仕様書!$D$30:$D$61,0))&amp;("、投与量:")&amp;U67&amp;("MBqと表示されること")</f>
        <v>体重:2.9kg、薬剤名:Tc-99mDMSA、投与量:20MBqと表示されること</v>
      </c>
      <c r="L67" s="14" t="s">
        <v>337</v>
      </c>
      <c r="M67" s="14" t="s">
        <v>369</v>
      </c>
      <c r="N67" s="26">
        <v>45714.304872685185</v>
      </c>
      <c r="O67" s="11"/>
      <c r="P67" s="11"/>
      <c r="Q67" s="11"/>
      <c r="R67" s="11"/>
      <c r="U67">
        <f>IF(VLOOKUP(H67,簡易仕様書!$D$30:$J$61,7,FALSE)&gt;V67,VLOOKUP(H67,簡易仕様書!$D$30:$J$61,7,FALSE),V67)</f>
        <v>20</v>
      </c>
      <c r="V67">
        <f t="shared" si="41"/>
        <v>20</v>
      </c>
      <c r="W67" t="str">
        <f>VLOOKUP(H67,簡易仕様書!$D$30:$J$61,5,FALSE)</f>
        <v>A</v>
      </c>
      <c r="X67">
        <f>VLOOKUP(H67,簡易仕様書!$D$30:$J$61,6,FALSE)</f>
        <v>20</v>
      </c>
      <c r="Y67" t="str">
        <f>VLOOKUP(H67,簡易仕様書!$D$30:$M$61,10,FALSE)</f>
        <v>Tc-99m</v>
      </c>
      <c r="Z67" t="str">
        <f t="shared" si="1"/>
        <v/>
      </c>
      <c r="AA67" t="str">
        <f t="shared" si="2"/>
        <v/>
      </c>
      <c r="AB67" t="str">
        <f>VLOOKUP(H67,簡易仕様書!$D$30:$F$61,3,FALSE)</f>
        <v>dmsa</v>
      </c>
      <c r="AC67" t="str">
        <f>INDEX(簡易仕様書!$A$30:$A$61,MATCH(H67,簡易仕様書!$D$30:$D$61,0))</f>
        <v>DMSA</v>
      </c>
    </row>
    <row r="68" spans="1:29">
      <c r="A68" s="14">
        <v>65</v>
      </c>
      <c r="B68" s="44"/>
      <c r="C68" s="46"/>
      <c r="D68" s="40"/>
      <c r="E68" s="40"/>
      <c r="F68" s="14" t="s">
        <v>267</v>
      </c>
      <c r="G68" s="14" t="s">
        <v>269</v>
      </c>
      <c r="H68" s="14" t="s">
        <v>169</v>
      </c>
      <c r="I68" s="14">
        <f t="shared" ref="I68:I140" si="44">I67+0.1</f>
        <v>3</v>
      </c>
      <c r="J68" s="11" t="str">
        <f t="shared" si="0"/>
        <v>薬剤にDMSAを選択、体重に3と入力して計算ボタンを押す</v>
      </c>
      <c r="K68" s="11" t="str">
        <f>("体重:")&amp;I68&amp;("kg、薬剤名:")&amp;Y68&amp;INDEX(簡易仕様書!$A$30:$A$61,MATCH(H68,簡易仕様書!$D$30:$D$61,0))&amp;("、投与量:")&amp;U68&amp;("MBqと表示されること")</f>
        <v>体重:3kg、薬剤名:Tc-99mDMSA、投与量:20.3MBqと表示されること</v>
      </c>
      <c r="L68" s="14" t="s">
        <v>337</v>
      </c>
      <c r="M68" s="14" t="s">
        <v>369</v>
      </c>
      <c r="N68" s="26">
        <v>45714.304895833331</v>
      </c>
      <c r="O68" s="11"/>
      <c r="P68" s="11"/>
      <c r="Q68" s="11"/>
      <c r="R68" s="11"/>
      <c r="U68">
        <f>IF(VLOOKUP(H68,簡易仕様書!$D$30:$J$61,7,FALSE)&gt;V68,VLOOKUP(H68,簡易仕様書!$D$30:$J$61,7,FALSE),V68)</f>
        <v>20.3</v>
      </c>
      <c r="V68">
        <f t="shared" si="41"/>
        <v>20.3</v>
      </c>
      <c r="W68" t="str">
        <f>VLOOKUP(H68,簡易仕様書!$D$30:$J$61,5,FALSE)</f>
        <v>A</v>
      </c>
      <c r="X68">
        <f>VLOOKUP(H68,簡易仕様書!$D$30:$J$61,6,FALSE)</f>
        <v>20</v>
      </c>
      <c r="Y68" t="str">
        <f>VLOOKUP(H68,簡易仕様書!$D$30:$M$61,10,FALSE)</f>
        <v>Tc-99m</v>
      </c>
      <c r="Z68" t="str">
        <f t="shared" si="1"/>
        <v/>
      </c>
      <c r="AA68" t="str">
        <f t="shared" si="2"/>
        <v/>
      </c>
      <c r="AB68" t="str">
        <f>VLOOKUP(H68,簡易仕様書!$D$30:$F$61,3,FALSE)</f>
        <v>dmsa</v>
      </c>
      <c r="AC68" t="str">
        <f>INDEX(簡易仕様書!$A$30:$A$61,MATCH(H68,簡易仕様書!$D$30:$D$61,0))</f>
        <v>DMSA</v>
      </c>
    </row>
    <row r="69" spans="1:29">
      <c r="A69" s="14">
        <v>66</v>
      </c>
      <c r="B69" s="44"/>
      <c r="C69" s="46"/>
      <c r="D69" s="40"/>
      <c r="E69" s="40"/>
      <c r="F69" s="14" t="s">
        <v>267</v>
      </c>
      <c r="G69" s="14" t="s">
        <v>269</v>
      </c>
      <c r="H69" s="14" t="s">
        <v>169</v>
      </c>
      <c r="I69" s="14">
        <v>0.1</v>
      </c>
      <c r="J69" s="11" t="str">
        <f t="shared" si="0"/>
        <v>薬剤にDMSAを選択、体重に0.1と入力して計算ボタンを押す</v>
      </c>
      <c r="K69" s="11" t="str">
        <f>("体重:")&amp;I69&amp;("kg、薬剤名:")&amp;Y69&amp;INDEX(簡易仕様書!$A$30:$A$61,MATCH(H69,簡易仕様書!$D$30:$D$61,0))&amp;("、投与量:")&amp;U69&amp;("MBqと表示されること")</f>
        <v>体重:0.1kg、薬剤名:Tc-99mDMSA、投与量:20MBqと表示されること</v>
      </c>
      <c r="L69" s="14" t="s">
        <v>337</v>
      </c>
      <c r="M69" s="14" t="s">
        <v>369</v>
      </c>
      <c r="N69" s="26">
        <v>45714.304918981485</v>
      </c>
      <c r="O69" s="11"/>
      <c r="P69" s="11"/>
      <c r="Q69" s="11"/>
      <c r="R69" s="11"/>
      <c r="U69">
        <f>IF(VLOOKUP(H69,簡易仕様書!$D$30:$J$61,7,FALSE)&gt;V69,VLOOKUP(H69,簡易仕様書!$D$30:$J$61,7,FALSE),V69)</f>
        <v>20</v>
      </c>
      <c r="V69">
        <f t="shared" si="41"/>
        <v>11.1</v>
      </c>
      <c r="W69" t="str">
        <f>VLOOKUP(H69,簡易仕様書!$D$30:$J$61,5,FALSE)</f>
        <v>A</v>
      </c>
      <c r="X69">
        <f>VLOOKUP(H69,簡易仕様書!$D$30:$J$61,6,FALSE)</f>
        <v>20</v>
      </c>
      <c r="Y69" t="str">
        <f>VLOOKUP(H69,簡易仕様書!$D$30:$M$61,10,FALSE)</f>
        <v>Tc-99m</v>
      </c>
      <c r="Z69" t="str">
        <f t="shared" si="1"/>
        <v/>
      </c>
      <c r="AA69" t="str">
        <f t="shared" si="2"/>
        <v/>
      </c>
      <c r="AB69" t="str">
        <f>VLOOKUP(H69,簡易仕様書!$D$30:$F$61,3,FALSE)</f>
        <v>dmsa</v>
      </c>
      <c r="AC69" t="str">
        <f>INDEX(簡易仕様書!$A$30:$A$61,MATCH(H69,簡易仕様書!$D$30:$D$61,0))</f>
        <v>DMSA</v>
      </c>
    </row>
    <row r="70" spans="1:29">
      <c r="A70" s="14">
        <v>67</v>
      </c>
      <c r="B70" s="44"/>
      <c r="C70" s="46"/>
      <c r="D70" s="40"/>
      <c r="E70" s="40"/>
      <c r="F70" s="14" t="s">
        <v>267</v>
      </c>
      <c r="G70" s="14" t="s">
        <v>269</v>
      </c>
      <c r="H70" s="14" t="s">
        <v>169</v>
      </c>
      <c r="I70" s="14">
        <v>70</v>
      </c>
      <c r="J70" s="11" t="str">
        <f t="shared" ref="J70" si="45">("薬剤に")&amp;H70&amp;("を選択、体重に")&amp;I70&amp;("と入力して計算ボタンを押す")</f>
        <v>薬剤にDMSAを選択、体重に70と入力して計算ボタンを押す</v>
      </c>
      <c r="K70" s="11" t="str">
        <f>("体重:")&amp;I70&amp;("kg、薬剤名:")&amp;Y70&amp;INDEX(簡易仕様書!$A$30:$A$61,MATCH(H70,簡易仕様書!$D$30:$D$61,0))&amp;("、投与量:")&amp;U70&amp;("MBqと表示されること")</f>
        <v>体重:70kg、薬剤名:Tc-99mDMSA、投与量:117.7MBqと表示されること</v>
      </c>
      <c r="L70" s="14" t="s">
        <v>337</v>
      </c>
      <c r="M70" s="14" t="s">
        <v>369</v>
      </c>
      <c r="N70" s="26">
        <v>45714.304942129631</v>
      </c>
      <c r="O70" s="11"/>
      <c r="P70" s="11"/>
      <c r="Q70" s="11"/>
      <c r="R70" s="11"/>
      <c r="U70">
        <f>IF(VLOOKUP(H70,簡易仕様書!$D$30:$J$61,7,FALSE)&gt;V70,VLOOKUP(H70,簡易仕様書!$D$30:$J$61,7,FALSE),V70)</f>
        <v>117.7</v>
      </c>
      <c r="V70">
        <f t="shared" ref="V70" si="46">ROUND(IF(W70="A",((-0.00000028)*I70^4+0.00004915*I70^3+(-0.00337375)*I70^2+0.1677306*I70+0.53976823)*X70,
IF(W70="B",((-0.00000023)*I70^4+0.00003846*I70^3-0.00262028*I70^2+0.27495836*I70+0.14075609)*X70,
(-0.00000001*I70^4-0.00001462*I70^3+0.00247677*I70^2+0.38073934*I70-0.24312323)*X70)),1)</f>
        <v>117.7</v>
      </c>
      <c r="W70" t="str">
        <f>VLOOKUP(H70,簡易仕様書!$D$30:$J$61,5,FALSE)</f>
        <v>A</v>
      </c>
      <c r="X70">
        <f>VLOOKUP(H70,簡易仕様書!$D$30:$J$61,6,FALSE)</f>
        <v>20</v>
      </c>
      <c r="Y70" t="str">
        <f>VLOOKUP(H70,簡易仕様書!$D$30:$M$61,10,FALSE)</f>
        <v>Tc-99m</v>
      </c>
      <c r="Z70" t="str">
        <f t="shared" ref="Z70:Z72" si="47">IF(H70="IMP",IF(ROUND(I70*20,0)&gt;=1000,1000,ROUND(I70*20,0)),IF(H70="ECD",IF(ROUND(I70*20,0)&gt;=1000,1000,ROUND(I70*20,0)),IF(H70="MAG3",IF(ROUND(I70/10,1)&gt;=2,2,ROUND(I70/10,1)),"")))</f>
        <v/>
      </c>
      <c r="AA70" t="str">
        <f t="shared" ref="AA70:AA77" si="48">IF(H70="IMP","負荷薬剤ダイアモックス（ACZ）",IF(H70="ECD","負荷薬剤ダイアモックス（ACZ）",IF(H70="MAG3","負荷薬剤フロセミド（ラシックス）","")))</f>
        <v/>
      </c>
      <c r="AB70" t="str">
        <f>VLOOKUP(H70,簡易仕様書!$D$30:$F$61,3,FALSE)</f>
        <v>dmsa</v>
      </c>
      <c r="AC70" t="str">
        <f>INDEX(簡易仕様書!$A$30:$A$61,MATCH(H70,簡易仕様書!$D$30:$D$61,0))</f>
        <v>DMSA</v>
      </c>
    </row>
    <row r="71" spans="1:29">
      <c r="A71" s="14">
        <v>68</v>
      </c>
      <c r="B71" s="44"/>
      <c r="C71" s="46"/>
      <c r="D71" s="40"/>
      <c r="E71" s="40"/>
      <c r="F71" s="14" t="s">
        <v>267</v>
      </c>
      <c r="G71" s="14" t="s">
        <v>269</v>
      </c>
      <c r="H71" s="14" t="s">
        <v>170</v>
      </c>
      <c r="I71" s="14">
        <f>IF((ROUND(VLOOKUP(H71,簡易仕様書!$D$30:$L$61,8,FALSE),1))&gt;VLOOKUP(H71,簡易仕様書!$D$30:$L$61,7,FALSE),
VLOOKUP(H71,簡易仕様書!$D$30:$L$61,9,FALSE)-0.1,VLOOKUP(H71,簡易仕様書!$D$30:$L$61,9,FALSE))</f>
        <v>0.19999999999999998</v>
      </c>
      <c r="J71" s="11" t="str">
        <f>("薬剤に")&amp;H71&amp;("を選択、体重に")&amp;I71&amp;("と入力して計算ボタンを押す")</f>
        <v>薬剤にDTPAを選択、体重に0.2と入力して計算ボタンを押す</v>
      </c>
      <c r="K71" s="11" t="str">
        <f>("体重:")&amp;I71&amp;("kg、薬剤名:")&amp;Y71&amp;INDEX(簡易仕様書!$A$30:$A$61,MATCH(H71,簡易仕様書!$D$30:$D$61,0))&amp;("、投与量:")&amp;U71&amp;("MBqと表示されること")</f>
        <v>体重:0.2kg、薬剤名:Tc-99mDTPA、投与量:20MBqと表示されること</v>
      </c>
      <c r="L71" s="14" t="s">
        <v>337</v>
      </c>
      <c r="M71" s="14" t="s">
        <v>369</v>
      </c>
      <c r="N71" s="26">
        <v>45714.304965277777</v>
      </c>
      <c r="O71" s="11"/>
      <c r="P71" s="11"/>
      <c r="Q71" s="11"/>
      <c r="R71" s="11"/>
      <c r="U71">
        <f>IF(VLOOKUP(H71,簡易仕様書!$D$30:$J$61,7,FALSE)&gt;V71,VLOOKUP(H71,簡易仕様書!$D$30:$J$61,7,FALSE),V71)</f>
        <v>20</v>
      </c>
      <c r="V71">
        <f t="shared" si="41"/>
        <v>19.5</v>
      </c>
      <c r="W71" t="str">
        <f>VLOOKUP(H71,簡易仕様書!$D$30:$J$61,5,FALSE)</f>
        <v>A</v>
      </c>
      <c r="X71">
        <f>VLOOKUP(H71,簡易仕様書!$D$30:$J$61,6,FALSE)</f>
        <v>34</v>
      </c>
      <c r="Y71" t="str">
        <f>VLOOKUP(H71,簡易仕様書!$D$30:$M$61,10,FALSE)</f>
        <v>Tc-99m</v>
      </c>
      <c r="Z71" t="str">
        <f t="shared" si="47"/>
        <v/>
      </c>
      <c r="AA71" t="str">
        <f t="shared" si="48"/>
        <v/>
      </c>
      <c r="AB71" t="str">
        <f>VLOOKUP(H71,簡易仕様書!$D$30:$F$61,3,FALSE)</f>
        <v>dtpa</v>
      </c>
      <c r="AC71" t="str">
        <f>INDEX(簡易仕様書!$A$30:$A$61,MATCH(H71,簡易仕様書!$D$30:$D$61,0))</f>
        <v>DTPA</v>
      </c>
    </row>
    <row r="72" spans="1:29">
      <c r="A72" s="14">
        <v>69</v>
      </c>
      <c r="B72" s="44"/>
      <c r="C72" s="46"/>
      <c r="D72" s="40"/>
      <c r="E72" s="40"/>
      <c r="F72" s="14" t="s">
        <v>267</v>
      </c>
      <c r="G72" s="14" t="s">
        <v>269</v>
      </c>
      <c r="H72" s="14" t="s">
        <v>170</v>
      </c>
      <c r="I72" s="14">
        <f t="shared" ref="I72:I128" si="49">I71+0.1</f>
        <v>0.3</v>
      </c>
      <c r="J72" s="11" t="str">
        <f t="shared" si="0"/>
        <v>薬剤にDTPAを選択、体重に0.3と入力して計算ボタンを押す</v>
      </c>
      <c r="K72" s="11" t="str">
        <f>("体重:")&amp;I72&amp;("kg、薬剤名:")&amp;Y72&amp;INDEX(簡易仕様書!$A$30:$A$61,MATCH(H72,簡易仕様書!$D$30:$D$61,0))&amp;("、投与量:")&amp;U72&amp;("MBqと表示されること")</f>
        <v>体重:0.3kg、薬剤名:Tc-99mDTPA、投与量:20.1MBqと表示されること</v>
      </c>
      <c r="L72" s="14" t="s">
        <v>337</v>
      </c>
      <c r="M72" s="14" t="s">
        <v>369</v>
      </c>
      <c r="N72" s="26">
        <v>45714.304988425924</v>
      </c>
      <c r="O72" s="11"/>
      <c r="P72" s="11"/>
      <c r="Q72" s="11"/>
      <c r="R72" s="11"/>
      <c r="U72">
        <f>IF(VLOOKUP(H72,簡易仕様書!$D$30:$J$61,7,FALSE)&gt;V72,VLOOKUP(H72,簡易仕様書!$D$30:$J$61,7,FALSE),V72)</f>
        <v>20.100000000000001</v>
      </c>
      <c r="V72">
        <f t="shared" si="41"/>
        <v>20.100000000000001</v>
      </c>
      <c r="W72" t="str">
        <f>VLOOKUP(H72,簡易仕様書!$D$30:$J$61,5,FALSE)</f>
        <v>A</v>
      </c>
      <c r="X72">
        <f>VLOOKUP(H72,簡易仕様書!$D$30:$J$61,6,FALSE)</f>
        <v>34</v>
      </c>
      <c r="Y72" t="str">
        <f>VLOOKUP(H72,簡易仕様書!$D$30:$M$61,10,FALSE)</f>
        <v>Tc-99m</v>
      </c>
      <c r="Z72" t="str">
        <f t="shared" si="47"/>
        <v/>
      </c>
      <c r="AA72" t="str">
        <f t="shared" si="48"/>
        <v/>
      </c>
      <c r="AB72" t="str">
        <f>VLOOKUP(H72,簡易仕様書!$D$30:$F$61,3,FALSE)</f>
        <v>dtpa</v>
      </c>
      <c r="AC72" t="str">
        <f>INDEX(簡易仕様書!$A$30:$A$61,MATCH(H72,簡易仕様書!$D$30:$D$61,0))</f>
        <v>DTPA</v>
      </c>
    </row>
    <row r="73" spans="1:29">
      <c r="A73" s="14">
        <v>70</v>
      </c>
      <c r="B73" s="44"/>
      <c r="C73" s="46"/>
      <c r="D73" s="40"/>
      <c r="E73" s="40"/>
      <c r="F73" s="14" t="s">
        <v>267</v>
      </c>
      <c r="G73" s="14" t="s">
        <v>269</v>
      </c>
      <c r="H73" s="14" t="s">
        <v>170</v>
      </c>
      <c r="I73" s="14">
        <v>0.1</v>
      </c>
      <c r="J73" s="11" t="str">
        <f t="shared" si="0"/>
        <v>薬剤にDTPAを選択、体重に0.1と入力して計算ボタンを押す</v>
      </c>
      <c r="K73" s="11" t="str">
        <f>("体重:")&amp;I73&amp;("kg、薬剤名:")&amp;Y73&amp;INDEX(簡易仕様書!$A$30:$A$61,MATCH(H73,簡易仕様書!$D$30:$D$61,0))&amp;("、投与量:")&amp;U73&amp;("MBqと表示されること")</f>
        <v>体重:0.1kg、薬剤名:Tc-99mDTPA、投与量:20MBqと表示されること</v>
      </c>
      <c r="L73" s="14" t="s">
        <v>337</v>
      </c>
      <c r="M73" s="14" t="s">
        <v>369</v>
      </c>
      <c r="N73" s="26">
        <v>45714.305011574077</v>
      </c>
      <c r="O73" s="11"/>
      <c r="P73" s="11"/>
      <c r="Q73" s="11"/>
      <c r="R73" s="11"/>
      <c r="U73">
        <f>IF(VLOOKUP(H73,簡易仕様書!$D$30:$J$61,7,FALSE)&gt;V73,VLOOKUP(H73,簡易仕様書!$D$30:$J$61,7,FALSE),V73)</f>
        <v>20</v>
      </c>
      <c r="V73">
        <f>ROUND(IF(W73="A",((-0.00000028)*I73^4+0.00004915*I73^3+(-0.00337375)*I73^2+0.1677306*I73+0.53976823)*X73,
IF(W73="B",((-0.00000023)*I73^4+0.00003846*I73^3-0.00262028*I73^2+0.27495836*I73+0.14075609)*X73,
(-0.00000001*I73^4-0.00001462*I73^3+0.00247677*I73^2+0.38073934*I73-0.24312323)*X73)),1)</f>
        <v>18.899999999999999</v>
      </c>
      <c r="W73" t="str">
        <f>VLOOKUP(H73,簡易仕様書!$D$30:$J$61,5,FALSE)</f>
        <v>A</v>
      </c>
      <c r="X73">
        <f>VLOOKUP(H73,簡易仕様書!$D$30:$J$61,6,FALSE)</f>
        <v>34</v>
      </c>
      <c r="Y73" t="str">
        <f>VLOOKUP(H73,簡易仕様書!$D$30:$M$61,10,FALSE)</f>
        <v>Tc-99m</v>
      </c>
      <c r="Z73" t="str">
        <f>IF(H73="IMP",IF(ROUND(I73*20,0)&gt;=1000,1000,ROUND(I73*20,0)),IF(H73="ECD",IF(ROUND(I73*20,0)&gt;=1000,1000,ROUND(I73*20,0)),IF(H73="MAG3",IF(ROUND(I73/10,1)&gt;=2,2,ROUND(I73/10,1)),"")))</f>
        <v/>
      </c>
      <c r="AA73" t="str">
        <f t="shared" si="48"/>
        <v/>
      </c>
      <c r="AB73" t="str">
        <f>VLOOKUP(H73,簡易仕様書!$D$30:$F$61,3,FALSE)</f>
        <v>dtpa</v>
      </c>
      <c r="AC73" t="str">
        <f>INDEX(簡易仕様書!$A$30:$A$61,MATCH(H73,簡易仕様書!$D$30:$D$61,0))</f>
        <v>DTPA</v>
      </c>
    </row>
    <row r="74" spans="1:29">
      <c r="A74" s="14">
        <v>71</v>
      </c>
      <c r="B74" s="44"/>
      <c r="C74" s="46"/>
      <c r="D74" s="40"/>
      <c r="E74" s="40"/>
      <c r="F74" s="14" t="s">
        <v>267</v>
      </c>
      <c r="G74" s="14" t="s">
        <v>269</v>
      </c>
      <c r="H74" s="14" t="s">
        <v>170</v>
      </c>
      <c r="I74" s="14">
        <v>70</v>
      </c>
      <c r="J74" s="11" t="str">
        <f t="shared" ref="J74" si="50">("薬剤に")&amp;H74&amp;("を選択、体重に")&amp;I74&amp;("と入力して計算ボタンを押す")</f>
        <v>薬剤にDTPAを選択、体重に70と入力して計算ボタンを押す</v>
      </c>
      <c r="K74" s="11" t="str">
        <f>("体重:")&amp;I74&amp;("kg、薬剤名:")&amp;Y74&amp;INDEX(簡易仕様書!$A$30:$A$61,MATCH(H74,簡易仕様書!$D$30:$D$61,0))&amp;("、投与量:")&amp;U74&amp;("MBqと表示されること")</f>
        <v>体重:70kg、薬剤名:Tc-99mDTPA、投与量:200.1MBqと表示されること</v>
      </c>
      <c r="L74" s="14" t="s">
        <v>337</v>
      </c>
      <c r="M74" s="14" t="s">
        <v>369</v>
      </c>
      <c r="N74" s="26">
        <v>45714.305023148147</v>
      </c>
      <c r="O74" s="11"/>
      <c r="P74" s="11"/>
      <c r="Q74" s="11"/>
      <c r="R74" s="11"/>
      <c r="U74">
        <f>IF(VLOOKUP(H74,簡易仕様書!$D$30:$J$61,7,FALSE)&gt;V74,VLOOKUP(H74,簡易仕様書!$D$30:$J$61,7,FALSE),V74)</f>
        <v>200.1</v>
      </c>
      <c r="V74">
        <f>ROUND(IF(W74="A",((-0.00000028)*I74^4+0.00004915*I74^3+(-0.00337375)*I74^2+0.1677306*I74+0.53976823)*X74,
IF(W74="B",((-0.00000023)*I74^4+0.00003846*I74^3-0.00262028*I74^2+0.27495836*I74+0.14075609)*X74,
(-0.00000001*I74^4-0.00001462*I74^3+0.00247677*I74^2+0.38073934*I74-0.24312323)*X74)),1)</f>
        <v>200.1</v>
      </c>
      <c r="W74" t="str">
        <f>VLOOKUP(H74,簡易仕様書!$D$30:$J$61,5,FALSE)</f>
        <v>A</v>
      </c>
      <c r="X74">
        <f>VLOOKUP(H74,簡易仕様書!$D$30:$J$61,6,FALSE)</f>
        <v>34</v>
      </c>
      <c r="Y74" t="str">
        <f>VLOOKUP(H74,簡易仕様書!$D$30:$M$61,10,FALSE)</f>
        <v>Tc-99m</v>
      </c>
      <c r="Z74" t="str">
        <f t="shared" ref="Z74:Z84" si="51">IF(H74="IMP",IF(ROUND(I74*20,0)&gt;=1000,1000,ROUND(I74*20,0)),IF(H74="ECD",IF(ROUND(I74*20,0)&gt;=1000,1000,ROUND(I74*20,0)),IF(H74="MAG3",IF(ROUND(I74/10,1)&gt;=2,2,ROUND(I74/10,1)),"")))</f>
        <v/>
      </c>
      <c r="AA74" t="str">
        <f t="shared" si="48"/>
        <v/>
      </c>
      <c r="AB74" t="str">
        <f>VLOOKUP(H74,簡易仕様書!$D$30:$F$61,3,FALSE)</f>
        <v>dtpa</v>
      </c>
      <c r="AC74" t="str">
        <f>INDEX(簡易仕様書!$A$30:$A$61,MATCH(H74,簡易仕様書!$D$30:$D$61,0))</f>
        <v>DTPA</v>
      </c>
    </row>
    <row r="75" spans="1:29">
      <c r="A75" s="14">
        <v>72</v>
      </c>
      <c r="B75" s="44"/>
      <c r="C75" s="46"/>
      <c r="D75" s="40"/>
      <c r="E75" s="40"/>
      <c r="F75" s="14" t="s">
        <v>267</v>
      </c>
      <c r="G75" s="14" t="s">
        <v>269</v>
      </c>
      <c r="H75" s="14" t="s">
        <v>171</v>
      </c>
      <c r="I75" s="14">
        <f>IF((ROUND(VLOOKUP(H75,簡易仕様書!$D$30:$L$61,8,FALSE),1))&gt;VLOOKUP(H75,簡易仕様書!$D$30:$L$61,7,FALSE),
VLOOKUP(H75,簡易仕様書!$D$30:$L$61,9,FALSE)-0.1,VLOOKUP(H75,簡易仕様書!$D$30:$L$61,9,FALSE))</f>
        <v>0.19999999999999998</v>
      </c>
      <c r="J75" s="11" t="str">
        <f t="shared" si="0"/>
        <v>薬剤にMAG3を選択、体重に0.2と入力して計算ボタンを押す</v>
      </c>
      <c r="K75" s="11" t="str">
        <f>("体重:")&amp;I75&amp;("kg、薬剤名:")&amp;Y75&amp;INDEX(簡易仕様書!$A$30:$A$61,MATCH(H75,簡易仕様書!$D$30:$D$61,0))&amp;("、投与量:")&amp;U75&amp;("MBq ")&amp;AA75&amp;(":")&amp;Z75&amp;("mgと表示されること")</f>
        <v>体重:0.2kg、薬剤名:Tc-99mMAG3、投与量:20MBq 負荷薬剤フロセミド（ラシックス）:0mgと表示されること</v>
      </c>
      <c r="L75" s="14" t="s">
        <v>337</v>
      </c>
      <c r="M75" s="14" t="s">
        <v>369</v>
      </c>
      <c r="N75" s="26">
        <v>45714.305046296293</v>
      </c>
      <c r="O75" s="11"/>
      <c r="P75" s="11"/>
      <c r="Q75" s="11"/>
      <c r="R75" s="11"/>
      <c r="U75">
        <f>IF(VLOOKUP(H75,簡易仕様書!$D$30:$J$61,7,FALSE)&gt;V75,VLOOKUP(H75,簡易仕様書!$D$30:$J$61,7,FALSE),V75)</f>
        <v>20</v>
      </c>
      <c r="V75">
        <f t="shared" si="41"/>
        <v>19.5</v>
      </c>
      <c r="W75" t="str">
        <f>VLOOKUP(H75,簡易仕様書!$D$30:$J$61,5,FALSE)</f>
        <v>A</v>
      </c>
      <c r="X75">
        <f>VLOOKUP(H75,簡易仕様書!$D$30:$J$61,6,FALSE)</f>
        <v>34</v>
      </c>
      <c r="Y75" t="str">
        <f>VLOOKUP(H75,簡易仕様書!$D$30:$M$61,10,FALSE)</f>
        <v>Tc-99m</v>
      </c>
      <c r="Z75">
        <f t="shared" si="51"/>
        <v>0</v>
      </c>
      <c r="AA75" t="str">
        <f t="shared" si="48"/>
        <v>負荷薬剤フロセミド（ラシックス）</v>
      </c>
      <c r="AB75" t="str">
        <f>VLOOKUP(H75,簡易仕様書!$D$30:$F$61,3,FALSE)</f>
        <v>mag3</v>
      </c>
      <c r="AC75" t="str">
        <f>INDEX(簡易仕様書!$A$30:$A$61,MATCH(H75,簡易仕様書!$D$30:$D$61,0))</f>
        <v>MAG3</v>
      </c>
    </row>
    <row r="76" spans="1:29">
      <c r="A76" s="14">
        <v>73</v>
      </c>
      <c r="B76" s="44"/>
      <c r="C76" s="46"/>
      <c r="D76" s="40"/>
      <c r="E76" s="40"/>
      <c r="F76" s="14" t="s">
        <v>267</v>
      </c>
      <c r="G76" s="14" t="s">
        <v>269</v>
      </c>
      <c r="H76" s="14" t="s">
        <v>171</v>
      </c>
      <c r="I76" s="14">
        <f t="shared" ref="I76" si="52">I75+0.1</f>
        <v>0.3</v>
      </c>
      <c r="J76" s="11" t="str">
        <f t="shared" si="0"/>
        <v>薬剤にMAG3を選択、体重に0.3と入力して計算ボタンを押す</v>
      </c>
      <c r="K76" s="11" t="str">
        <f>("体重:")&amp;I76&amp;("kg、薬剤名:")&amp;Y76&amp;INDEX(簡易仕様書!$A$30:$A$61,MATCH(H76,簡易仕様書!$D$30:$D$61,0))&amp;("、投与量:")&amp;U76&amp;("MBq ")&amp;AA76&amp;(":")&amp;Z76&amp;("mgと表示されること")</f>
        <v>体重:0.3kg、薬剤名:Tc-99mMAG3、投与量:20.1MBq 負荷薬剤フロセミド（ラシックス）:0mgと表示されること</v>
      </c>
      <c r="L76" s="14" t="s">
        <v>337</v>
      </c>
      <c r="M76" s="14" t="s">
        <v>369</v>
      </c>
      <c r="N76" s="26">
        <v>45714.305069444446</v>
      </c>
      <c r="O76" s="11"/>
      <c r="P76" s="11"/>
      <c r="Q76" s="11"/>
      <c r="R76" s="11"/>
      <c r="U76">
        <f>IF(VLOOKUP(H76,簡易仕様書!$D$30:$J$61,7,FALSE)&gt;V76,VLOOKUP(H76,簡易仕様書!$D$30:$J$61,7,FALSE),V76)</f>
        <v>20.100000000000001</v>
      </c>
      <c r="V76">
        <f t="shared" si="41"/>
        <v>20.100000000000001</v>
      </c>
      <c r="W76" t="str">
        <f>VLOOKUP(H76,簡易仕様書!$D$30:$J$61,5,FALSE)</f>
        <v>A</v>
      </c>
      <c r="X76">
        <f>VLOOKUP(H76,簡易仕様書!$D$30:$J$61,6,FALSE)</f>
        <v>34</v>
      </c>
      <c r="Y76" t="str">
        <f>VLOOKUP(H76,簡易仕様書!$D$30:$M$61,10,FALSE)</f>
        <v>Tc-99m</v>
      </c>
      <c r="Z76">
        <f t="shared" si="51"/>
        <v>0</v>
      </c>
      <c r="AA76" t="str">
        <f t="shared" si="48"/>
        <v>負荷薬剤フロセミド（ラシックス）</v>
      </c>
      <c r="AB76" t="str">
        <f>VLOOKUP(H76,簡易仕様書!$D$30:$F$61,3,FALSE)</f>
        <v>mag3</v>
      </c>
      <c r="AC76" t="str">
        <f>INDEX(簡易仕様書!$A$30:$A$61,MATCH(H76,簡易仕様書!$D$30:$D$61,0))</f>
        <v>MAG3</v>
      </c>
    </row>
    <row r="77" spans="1:29">
      <c r="A77" s="14">
        <v>74</v>
      </c>
      <c r="B77" s="44"/>
      <c r="C77" s="46"/>
      <c r="D77" s="40"/>
      <c r="E77" s="40"/>
      <c r="F77" s="14" t="s">
        <v>267</v>
      </c>
      <c r="G77" s="14" t="s">
        <v>269</v>
      </c>
      <c r="H77" s="14" t="s">
        <v>171</v>
      </c>
      <c r="I77" s="14">
        <v>0.1</v>
      </c>
      <c r="J77" s="11" t="str">
        <f t="shared" si="0"/>
        <v>薬剤にMAG3を選択、体重に0.1と入力して計算ボタンを押す</v>
      </c>
      <c r="K77" s="11" t="str">
        <f>("体重:")&amp;I77&amp;("kg、薬剤名:")&amp;Y77&amp;INDEX(簡易仕様書!$A$30:$A$61,MATCH(H77,簡易仕様書!$D$30:$D$61,0))&amp;("、投与量:")&amp;U77&amp;("MBq ")&amp;AA77&amp;(":")&amp;Z77&amp;("mgと表示されること")</f>
        <v>体重:0.1kg、薬剤名:Tc-99mMAG3、投与量:20MBq 負荷薬剤フロセミド（ラシックス）:0mgと表示されること</v>
      </c>
      <c r="L77" s="14" t="s">
        <v>337</v>
      </c>
      <c r="M77" s="14" t="s">
        <v>369</v>
      </c>
      <c r="N77" s="26">
        <v>45714.305092592593</v>
      </c>
      <c r="O77" s="11"/>
      <c r="P77" s="11"/>
      <c r="Q77" s="11"/>
      <c r="R77" s="11"/>
      <c r="U77">
        <f>IF(VLOOKUP(H77,簡易仕様書!$D$30:$J$61,7,FALSE)&gt;V77,VLOOKUP(H77,簡易仕様書!$D$30:$J$61,7,FALSE),V77)</f>
        <v>20</v>
      </c>
      <c r="V77">
        <f t="shared" si="41"/>
        <v>18.899999999999999</v>
      </c>
      <c r="W77" t="str">
        <f>VLOOKUP(H77,簡易仕様書!$D$30:$J$61,5,FALSE)</f>
        <v>A</v>
      </c>
      <c r="X77">
        <f>VLOOKUP(H77,簡易仕様書!$D$30:$J$61,6,FALSE)</f>
        <v>34</v>
      </c>
      <c r="Y77" t="str">
        <f>VLOOKUP(H77,簡易仕様書!$D$30:$M$61,10,FALSE)</f>
        <v>Tc-99m</v>
      </c>
      <c r="Z77">
        <f t="shared" si="51"/>
        <v>0</v>
      </c>
      <c r="AA77" t="str">
        <f t="shared" si="48"/>
        <v>負荷薬剤フロセミド（ラシックス）</v>
      </c>
      <c r="AB77" t="str">
        <f>VLOOKUP(H77,簡易仕様書!$D$30:$F$61,3,FALSE)</f>
        <v>mag3</v>
      </c>
      <c r="AC77" t="str">
        <f>INDEX(簡易仕様書!$A$30:$A$61,MATCH(H77,簡易仕様書!$D$30:$D$61,0))</f>
        <v>MAG3</v>
      </c>
    </row>
    <row r="78" spans="1:29">
      <c r="A78" s="14">
        <v>75</v>
      </c>
      <c r="B78" s="44"/>
      <c r="C78" s="46"/>
      <c r="D78" s="40"/>
      <c r="E78" s="40"/>
      <c r="F78" s="14" t="s">
        <v>267</v>
      </c>
      <c r="G78" s="14" t="s">
        <v>269</v>
      </c>
      <c r="H78" s="14" t="s">
        <v>171</v>
      </c>
      <c r="I78" s="14">
        <v>0.5</v>
      </c>
      <c r="J78" s="11" t="str">
        <f t="shared" ref="J78" si="53">("薬剤に")&amp;H78&amp;("を選択、体重に")&amp;I78&amp;("と入力して計算ボタンを押す")</f>
        <v>薬剤にMAG3を選択、体重に0.5と入力して計算ボタンを押す</v>
      </c>
      <c r="K78" s="11" t="str">
        <f>("体重:")&amp;I78&amp;("kg、薬剤名:")&amp;Y78&amp;INDEX(簡易仕様書!$A$30:$A$61,MATCH(H78,簡易仕様書!$D$30:$D$61,0))&amp;("、投与量:")&amp;U78&amp;("MBq ")&amp;AA78&amp;(":")&amp;Z78&amp;("mgと表示されること")</f>
        <v>体重:0.5kg、薬剤名:Tc-99mMAG3、投与量:21.2MBq 負荷薬剤フロセミド（ラシックス）:0.1mgと表示されること</v>
      </c>
      <c r="L78" s="14" t="s">
        <v>337</v>
      </c>
      <c r="M78" s="14" t="s">
        <v>369</v>
      </c>
      <c r="N78" s="26">
        <v>45714.305115740739</v>
      </c>
      <c r="O78" s="11"/>
      <c r="P78" s="11"/>
      <c r="Q78" s="11"/>
      <c r="R78" s="11"/>
      <c r="U78">
        <f>IF(VLOOKUP(H78,簡易仕様書!$D$30:$J$61,7,FALSE)&gt;V78,VLOOKUP(H78,簡易仕様書!$D$30:$J$61,7,FALSE),V78)</f>
        <v>21.2</v>
      </c>
      <c r="V78">
        <f t="shared" ref="V78" si="54">ROUND(IF(W78="A",((-0.00000028)*I78^4+0.00004915*I78^3+(-0.00337375)*I78^2+0.1677306*I78+0.53976823)*X78,
IF(W78="B",((-0.00000023)*I78^4+0.00003846*I78^3-0.00262028*I78^2+0.27495836*I78+0.14075609)*X78,
(-0.00000001*I78^4-0.00001462*I78^3+0.00247677*I78^2+0.38073934*I78-0.24312323)*X78)),1)</f>
        <v>21.2</v>
      </c>
      <c r="W78" t="str">
        <f>VLOOKUP(H78,簡易仕様書!$D$30:$J$61,5,FALSE)</f>
        <v>A</v>
      </c>
      <c r="X78">
        <f>VLOOKUP(H78,簡易仕様書!$D$30:$J$61,6,FALSE)</f>
        <v>34</v>
      </c>
      <c r="Y78" t="str">
        <f>VLOOKUP(H78,簡易仕様書!$D$30:$M$61,10,FALSE)</f>
        <v>Tc-99m</v>
      </c>
      <c r="Z78">
        <f t="shared" si="51"/>
        <v>0.1</v>
      </c>
      <c r="AA78" t="str">
        <f>IF(H78="IMP","負荷薬剤ダイアモックス（ACZ）",IF(H78="ECD","負荷薬剤ダイアモックス（ACZ）",IF(H78="MAG3","負荷薬剤フロセミド（ラシックス）","")))</f>
        <v>負荷薬剤フロセミド（ラシックス）</v>
      </c>
      <c r="AB78" t="str">
        <f>VLOOKUP(H78,簡易仕様書!$D$30:$F$61,3,FALSE)</f>
        <v>mag3</v>
      </c>
      <c r="AC78" t="str">
        <f>INDEX(簡易仕様書!$A$30:$A$61,MATCH(H78,簡易仕様書!$D$30:$D$61,0))</f>
        <v>MAG3</v>
      </c>
    </row>
    <row r="79" spans="1:29">
      <c r="A79" s="14">
        <v>76</v>
      </c>
      <c r="B79" s="44"/>
      <c r="C79" s="46"/>
      <c r="D79" s="40"/>
      <c r="E79" s="40"/>
      <c r="F79" s="14" t="s">
        <v>267</v>
      </c>
      <c r="G79" s="14" t="s">
        <v>269</v>
      </c>
      <c r="H79" s="14" t="s">
        <v>171</v>
      </c>
      <c r="I79" s="14">
        <v>10</v>
      </c>
      <c r="J79" s="11" t="str">
        <f t="shared" si="0"/>
        <v>薬剤にMAG3を選択、体重に10と入力して計算ボタンを押す</v>
      </c>
      <c r="K79" s="11" t="str">
        <f>("体重:")&amp;I79&amp;("kg、薬剤名:")&amp;Y79&amp;INDEX(簡易仕様書!$A$30:$A$61,MATCH(H79,簡易仕様書!$D$30:$D$61,0))&amp;("、投与量:")&amp;U79&amp;("MBq ")&amp;AA79&amp;(":")&amp;Z79&amp;("mgと表示されること")</f>
        <v>体重:10kg、薬剤名:Tc-99mMAG3、投与量:65.5MBq 負荷薬剤フロセミド（ラシックス）:1mgと表示されること</v>
      </c>
      <c r="L79" s="14" t="s">
        <v>337</v>
      </c>
      <c r="M79" s="14" t="s">
        <v>369</v>
      </c>
      <c r="N79" s="26">
        <v>45714.305138888885</v>
      </c>
      <c r="O79" s="11"/>
      <c r="P79" s="11"/>
      <c r="Q79" s="11"/>
      <c r="R79" s="11"/>
      <c r="U79">
        <f>IF(VLOOKUP(H79,簡易仕様書!$D$30:$J$61,7,FALSE)&gt;V79,VLOOKUP(H79,簡易仕様書!$D$30:$J$61,7,FALSE),V79)</f>
        <v>65.5</v>
      </c>
      <c r="V79">
        <f t="shared" si="41"/>
        <v>65.5</v>
      </c>
      <c r="W79" t="str">
        <f>VLOOKUP(H79,簡易仕様書!$D$30:$J$61,5,FALSE)</f>
        <v>A</v>
      </c>
      <c r="X79">
        <f>VLOOKUP(H79,簡易仕様書!$D$30:$J$61,6,FALSE)</f>
        <v>34</v>
      </c>
      <c r="Y79" t="str">
        <f>VLOOKUP(H79,簡易仕様書!$D$30:$M$61,10,FALSE)</f>
        <v>Tc-99m</v>
      </c>
      <c r="Z79">
        <f t="shared" ref="Z79" si="55">IF(H79="IMP",IF(ROUND(I79*20,0)&gt;=1000,1000,ROUND(I79*20,0)),IF(H79="ECD",IF(ROUND(I79*20,0)&gt;=1000,1000,ROUND(I79*20,0)),IF(H79="MAG3",IF(ROUND(I79/10,1)&gt;=2,2,ROUND(I79/10,1)),"")))</f>
        <v>1</v>
      </c>
      <c r="AA79" t="str">
        <f>IF(H79="IMP","負荷薬剤ダイアモックス（ACZ）",IF(H79="ECD","負荷薬剤ダイアモックス（ACZ）",IF(H79="MAG3","負荷薬剤フロセミド（ラシックス）","")))</f>
        <v>負荷薬剤フロセミド（ラシックス）</v>
      </c>
      <c r="AB79" t="str">
        <f>VLOOKUP(H79,簡易仕様書!$D$30:$F$61,3,FALSE)</f>
        <v>mag3</v>
      </c>
      <c r="AC79" t="str">
        <f>INDEX(簡易仕様書!$A$30:$A$61,MATCH(H79,簡易仕様書!$D$30:$D$61,0))</f>
        <v>MAG3</v>
      </c>
    </row>
    <row r="80" spans="1:29">
      <c r="A80" s="14">
        <v>77</v>
      </c>
      <c r="B80" s="44"/>
      <c r="C80" s="46"/>
      <c r="D80" s="40"/>
      <c r="E80" s="40"/>
      <c r="F80" s="14" t="s">
        <v>267</v>
      </c>
      <c r="G80" s="14" t="s">
        <v>269</v>
      </c>
      <c r="H80" s="14" t="s">
        <v>171</v>
      </c>
      <c r="I80" s="14">
        <v>70</v>
      </c>
      <c r="J80" s="11" t="str">
        <f t="shared" ref="J80:J82" si="56">("薬剤に")&amp;H80&amp;("を選択、体重に")&amp;I80&amp;("と入力して計算ボタンを押す")</f>
        <v>薬剤にMAG3を選択、体重に70と入力して計算ボタンを押す</v>
      </c>
      <c r="K80" s="11" t="str">
        <f>("体重:")&amp;I80&amp;("kg、薬剤名:")&amp;Y80&amp;INDEX(簡易仕様書!$A$30:$A$61,MATCH(H80,簡易仕様書!$D$30:$D$61,0))&amp;("、投与量:")&amp;U80&amp;("MBq ")&amp;AA80&amp;(":")&amp;Z80&amp;("mgと表示されること")</f>
        <v>体重:70kg、薬剤名:Tc-99mMAG3、投与量:200.1MBq 負荷薬剤フロセミド（ラシックス）:2mgと表示されること</v>
      </c>
      <c r="L80" s="14" t="s">
        <v>337</v>
      </c>
      <c r="M80" s="14" t="s">
        <v>369</v>
      </c>
      <c r="N80" s="26">
        <v>45714.305162037039</v>
      </c>
      <c r="O80" s="11"/>
      <c r="P80" s="11"/>
      <c r="Q80" s="11"/>
      <c r="R80" s="11"/>
      <c r="U80">
        <f>IF(VLOOKUP(H80,簡易仕様書!$D$30:$J$61,7,FALSE)&gt;V80,VLOOKUP(H80,簡易仕様書!$D$30:$J$61,7,FALSE),V80)</f>
        <v>200.1</v>
      </c>
      <c r="V80">
        <f t="shared" ref="V80:V82" si="57">ROUND(IF(W80="A",((-0.00000028)*I80^4+0.00004915*I80^3+(-0.00337375)*I80^2+0.1677306*I80+0.53976823)*X80,
IF(W80="B",((-0.00000023)*I80^4+0.00003846*I80^3-0.00262028*I80^2+0.27495836*I80+0.14075609)*X80,
(-0.00000001*I80^4-0.00001462*I80^3+0.00247677*I80^2+0.38073934*I80-0.24312323)*X80)),1)</f>
        <v>200.1</v>
      </c>
      <c r="W80" t="str">
        <f>VLOOKUP(H80,簡易仕様書!$D$30:$J$61,5,FALSE)</f>
        <v>A</v>
      </c>
      <c r="X80">
        <f>VLOOKUP(H80,簡易仕様書!$D$30:$J$61,6,FALSE)</f>
        <v>34</v>
      </c>
      <c r="Y80" t="str">
        <f>VLOOKUP(H80,簡易仕様書!$D$30:$M$61,10,FALSE)</f>
        <v>Tc-99m</v>
      </c>
      <c r="Z80">
        <f t="shared" si="51"/>
        <v>2</v>
      </c>
      <c r="AA80" t="str">
        <f>IF(H80="IMP","負荷薬剤ダイアモックス（ACZ）",IF(H80="ECD","負荷薬剤ダイアモックス（ACZ）",IF(H80="MAG3","負荷薬剤フロセミド（ラシックス）","")))</f>
        <v>負荷薬剤フロセミド（ラシックス）</v>
      </c>
      <c r="AB80" t="str">
        <f>VLOOKUP(H80,簡易仕様書!$D$30:$F$61,3,FALSE)</f>
        <v>mag3</v>
      </c>
      <c r="AC80" t="str">
        <f>INDEX(簡易仕様書!$A$30:$A$61,MATCH(H80,簡易仕様書!$D$30:$D$61,0))</f>
        <v>MAG3</v>
      </c>
    </row>
    <row r="81" spans="1:29">
      <c r="A81" s="14">
        <v>78</v>
      </c>
      <c r="B81" s="44"/>
      <c r="C81" s="46"/>
      <c r="D81" s="40"/>
      <c r="E81" s="40"/>
      <c r="F81" s="14" t="s">
        <v>267</v>
      </c>
      <c r="G81" s="14" t="s">
        <v>269</v>
      </c>
      <c r="H81" s="14" t="s">
        <v>171</v>
      </c>
      <c r="I81" s="14">
        <v>19.399999999999999</v>
      </c>
      <c r="J81" s="11" t="str">
        <f t="shared" si="56"/>
        <v>薬剤にMAG3を選択、体重に19.4と入力して計算ボタンを押す</v>
      </c>
      <c r="K81" s="11" t="str">
        <f>("体重:")&amp;I81&amp;("kg、薬剤名:")&amp;Y81&amp;INDEX(簡易仕様書!$A$30:$A$61,MATCH(H81,簡易仕様書!$D$30:$D$61,0))&amp;("、投与量:")&amp;U81&amp;("MBq ")&amp;AA81&amp;(":")&amp;Z81&amp;("mgと表示されること")</f>
        <v>体重:19.4kg、薬剤名:Tc-99mMAG3、投与量:96.7MBq 負荷薬剤フロセミド（ラシックス）:1.9mgと表示されること</v>
      </c>
      <c r="L81" s="14" t="s">
        <v>337</v>
      </c>
      <c r="M81" s="14" t="s">
        <v>369</v>
      </c>
      <c r="N81" s="26">
        <v>45714.305185185185</v>
      </c>
      <c r="O81" s="11"/>
      <c r="P81" s="11"/>
      <c r="Q81" s="11"/>
      <c r="R81" s="11"/>
      <c r="U81">
        <f>IF(VLOOKUP(H81,簡易仕様書!$D$30:$J$61,7,FALSE)&gt;V81,VLOOKUP(H81,簡易仕様書!$D$30:$J$61,7,FALSE),V81)</f>
        <v>96.7</v>
      </c>
      <c r="V81">
        <f t="shared" si="57"/>
        <v>96.7</v>
      </c>
      <c r="W81" t="str">
        <f>VLOOKUP(H81,簡易仕様書!$D$30:$J$61,5,FALSE)</f>
        <v>A</v>
      </c>
      <c r="X81">
        <f>VLOOKUP(H81,簡易仕様書!$D$30:$J$61,6,FALSE)</f>
        <v>34</v>
      </c>
      <c r="Y81" t="str">
        <f>VLOOKUP(H81,簡易仕様書!$D$30:$M$61,10,FALSE)</f>
        <v>Tc-99m</v>
      </c>
      <c r="Z81">
        <f t="shared" si="51"/>
        <v>1.9</v>
      </c>
      <c r="AA81" t="str">
        <f t="shared" ref="AA81:AA99" si="58">IF(H81="IMP","負荷薬剤ダイアモックス（ACZ）",IF(H81="ECD","負荷薬剤ダイアモックス（ACZ）",IF(H81="MAG3","負荷薬剤フロセミド（ラシックス）","")))</f>
        <v>負荷薬剤フロセミド（ラシックス）</v>
      </c>
      <c r="AB81" t="str">
        <f>VLOOKUP(H81,簡易仕様書!$D$30:$F$61,3,FALSE)</f>
        <v>mag3</v>
      </c>
      <c r="AC81" t="str">
        <f>INDEX(簡易仕様書!$A$30:$A$61,MATCH(H81,簡易仕様書!$D$30:$D$61,0))</f>
        <v>MAG3</v>
      </c>
    </row>
    <row r="82" spans="1:29">
      <c r="A82" s="14">
        <v>79</v>
      </c>
      <c r="B82" s="44"/>
      <c r="C82" s="46"/>
      <c r="D82" s="40"/>
      <c r="E82" s="40"/>
      <c r="F82" s="14" t="s">
        <v>267</v>
      </c>
      <c r="G82" s="14" t="s">
        <v>269</v>
      </c>
      <c r="H82" s="14" t="s">
        <v>171</v>
      </c>
      <c r="I82" s="14">
        <v>19.5</v>
      </c>
      <c r="J82" s="11" t="str">
        <f t="shared" si="56"/>
        <v>薬剤にMAG3を選択、体重に19.5と入力して計算ボタンを押す</v>
      </c>
      <c r="K82" s="11" t="str">
        <f>("体重:")&amp;I82&amp;("kg、薬剤名:")&amp;Y82&amp;INDEX(簡易仕様書!$A$30:$A$61,MATCH(H82,簡易仕様書!$D$30:$D$61,0))&amp;("、投与量:")&amp;U82&amp;("MBq ")&amp;AA82&amp;(":")&amp;Z82&amp;("mgと表示されること")</f>
        <v>体重:19.5kg、薬剤名:Tc-99mMAG3、投与量:97MBq 負荷薬剤フロセミド（ラシックス）:2mgと表示されること</v>
      </c>
      <c r="L82" s="14" t="s">
        <v>337</v>
      </c>
      <c r="M82" s="14" t="s">
        <v>369</v>
      </c>
      <c r="N82" s="26">
        <v>45714.305208333331</v>
      </c>
      <c r="O82" s="11"/>
      <c r="P82" s="11"/>
      <c r="Q82" s="11"/>
      <c r="R82" s="11"/>
      <c r="U82">
        <f>IF(VLOOKUP(H82,簡易仕様書!$D$30:$J$61,7,FALSE)&gt;V82,VLOOKUP(H82,簡易仕様書!$D$30:$J$61,7,FALSE),V82)</f>
        <v>97</v>
      </c>
      <c r="V82">
        <f t="shared" si="57"/>
        <v>97</v>
      </c>
      <c r="W82" t="str">
        <f>VLOOKUP(H82,簡易仕様書!$D$30:$J$61,5,FALSE)</f>
        <v>A</v>
      </c>
      <c r="X82">
        <f>VLOOKUP(H82,簡易仕様書!$D$30:$J$61,6,FALSE)</f>
        <v>34</v>
      </c>
      <c r="Y82" t="str">
        <f>VLOOKUP(H82,簡易仕様書!$D$30:$M$61,10,FALSE)</f>
        <v>Tc-99m</v>
      </c>
      <c r="Z82">
        <f t="shared" ref="Z82" si="59">IF(H82="IMP",IF(ROUND(I82*20,0)&gt;=1000,1000,ROUND(I82*20,0)),IF(H82="ECD",IF(ROUND(I82*20,0)&gt;=1000,1000,ROUND(I82*20,0)),IF(H82="MAG3",IF(ROUND(I82/10,1)&gt;=2,2,ROUND(I82/10,1)),"")))</f>
        <v>2</v>
      </c>
      <c r="AA82" t="str">
        <f t="shared" ref="AA82" si="60">IF(H82="IMP","負荷薬剤ダイアモックス（ACZ）",IF(H82="ECD","負荷薬剤ダイアモックス（ACZ）",IF(H82="MAG3","負荷薬剤フロセミド（ラシックス）","")))</f>
        <v>負荷薬剤フロセミド（ラシックス）</v>
      </c>
      <c r="AB82" t="str">
        <f>VLOOKUP(H82,簡易仕様書!$D$30:$F$61,3,FALSE)</f>
        <v>mag3</v>
      </c>
      <c r="AC82" t="str">
        <f>INDEX(簡易仕様書!$A$30:$A$61,MATCH(H82,簡易仕様書!$D$30:$D$61,0))</f>
        <v>MAG3</v>
      </c>
    </row>
    <row r="83" spans="1:29">
      <c r="A83" s="14">
        <v>80</v>
      </c>
      <c r="B83" s="44"/>
      <c r="C83" s="46"/>
      <c r="D83" s="40"/>
      <c r="E83" s="40"/>
      <c r="F83" s="14" t="s">
        <v>267</v>
      </c>
      <c r="G83" s="14" t="s">
        <v>269</v>
      </c>
      <c r="H83" s="14" t="s">
        <v>171</v>
      </c>
      <c r="I83" s="14">
        <v>19.600000000000001</v>
      </c>
      <c r="J83" s="11" t="str">
        <f t="shared" ref="J83" si="61">("薬剤に")&amp;H83&amp;("を選択、体重に")&amp;I83&amp;("と入力して計算ボタンを押す")</f>
        <v>薬剤にMAG3を選択、体重に19.6と入力して計算ボタンを押す</v>
      </c>
      <c r="K83" s="11" t="str">
        <f>("体重:")&amp;I83&amp;("kg、薬剤名:")&amp;Y83&amp;INDEX(簡易仕様書!$A$30:$A$61,MATCH(H83,簡易仕様書!$D$30:$D$61,0))&amp;("、投与量:")&amp;U83&amp;("MBq ")&amp;AA83&amp;(":")&amp;Z83&amp;("mgと表示されること")</f>
        <v>体重:19.6kg、薬剤名:Tc-99mMAG3、投与量:97.2MBq 負荷薬剤フロセミド（ラシックス）:2mgと表示されること</v>
      </c>
      <c r="L83" s="14" t="s">
        <v>337</v>
      </c>
      <c r="M83" s="14" t="s">
        <v>369</v>
      </c>
      <c r="N83" s="26">
        <v>45714.305231481485</v>
      </c>
      <c r="O83" s="11"/>
      <c r="P83" s="11"/>
      <c r="Q83" s="11"/>
      <c r="R83" s="11"/>
      <c r="U83">
        <f>IF(VLOOKUP(H83,簡易仕様書!$D$30:$J$61,7,FALSE)&gt;V83,VLOOKUP(H83,簡易仕様書!$D$30:$J$61,7,FALSE),V83)</f>
        <v>97.2</v>
      </c>
      <c r="V83">
        <f t="shared" ref="V83" si="62">ROUND(IF(W83="A",((-0.00000028)*I83^4+0.00004915*I83^3+(-0.00337375)*I83^2+0.1677306*I83+0.53976823)*X83,
IF(W83="B",((-0.00000023)*I83^4+0.00003846*I83^3-0.00262028*I83^2+0.27495836*I83+0.14075609)*X83,
(-0.00000001*I83^4-0.00001462*I83^3+0.00247677*I83^2+0.38073934*I83-0.24312323)*X83)),1)</f>
        <v>97.2</v>
      </c>
      <c r="W83" t="str">
        <f>VLOOKUP(H83,簡易仕様書!$D$30:$J$61,5,FALSE)</f>
        <v>A</v>
      </c>
      <c r="X83">
        <f>VLOOKUP(H83,簡易仕様書!$D$30:$J$61,6,FALSE)</f>
        <v>34</v>
      </c>
      <c r="Y83" t="str">
        <f>VLOOKUP(H83,簡易仕様書!$D$30:$M$61,10,FALSE)</f>
        <v>Tc-99m</v>
      </c>
      <c r="Z83">
        <f t="shared" si="51"/>
        <v>2</v>
      </c>
      <c r="AA83" t="str">
        <f t="shared" si="58"/>
        <v>負荷薬剤フロセミド（ラシックス）</v>
      </c>
      <c r="AB83" t="str">
        <f>VLOOKUP(H83,簡易仕様書!$D$30:$F$61,3,FALSE)</f>
        <v>mag3</v>
      </c>
      <c r="AC83" t="str">
        <f>INDEX(簡易仕様書!$A$30:$A$61,MATCH(H83,簡易仕様書!$D$30:$D$61,0))</f>
        <v>MAG3</v>
      </c>
    </row>
    <row r="84" spans="1:29">
      <c r="A84" s="14">
        <v>81</v>
      </c>
      <c r="B84" s="44"/>
      <c r="C84" s="46"/>
      <c r="D84" s="40"/>
      <c r="E84" s="40"/>
      <c r="F84" s="14" t="s">
        <v>267</v>
      </c>
      <c r="G84" s="14" t="s">
        <v>269</v>
      </c>
      <c r="H84" s="14" t="s">
        <v>172</v>
      </c>
      <c r="I84" s="14">
        <f>IF((ROUND(VLOOKUP(H84,簡易仕様書!$D$30:$L$61,8,FALSE),1))&gt;VLOOKUP(H84,簡易仕様書!$D$30:$L$61,7,FALSE),
VLOOKUP(H84,簡易仕様書!$D$30:$L$61,9,FALSE)-0.1,VLOOKUP(H84,簡易仕様書!$D$30:$L$61,9,FALSE))</f>
        <v>11</v>
      </c>
      <c r="J84" s="11" t="str">
        <f t="shared" si="0"/>
        <v>薬剤にECDを選択、体重に11と入力して計算ボタンを押す</v>
      </c>
      <c r="K84" s="11" t="str">
        <f>("体重:")&amp;I84&amp;("kg、薬剤名:")&amp;Y84&amp;INDEX(簡易仕様書!$A$30:$A$61,MATCH(H84,簡易仕様書!$D$30:$D$61,0))&amp;("、投与量:")&amp;U84&amp;("MBq ")&amp;AA84&amp;(":")&amp;Z84&amp;("mgと表示されること")</f>
        <v>体重:11kg、薬剤名:Tc-99mECD、投与量:150MBq 負荷薬剤ダイアモックス（ACZ）:220mgと表示されること</v>
      </c>
      <c r="L84" s="14" t="s">
        <v>337</v>
      </c>
      <c r="M84" s="14" t="s">
        <v>369</v>
      </c>
      <c r="N84" s="26">
        <v>45714.305254629631</v>
      </c>
      <c r="O84" s="11"/>
      <c r="P84" s="11"/>
      <c r="Q84" s="11"/>
      <c r="R84" s="11"/>
      <c r="U84">
        <f>IF(VLOOKUP(H84,簡易仕様書!$D$30:$J$61,7,FALSE)&gt;V84,VLOOKUP(H84,簡易仕様書!$D$30:$J$61,7,FALSE),V84)</f>
        <v>150</v>
      </c>
      <c r="V84">
        <f>ROUND(IF(W84="A",((-0.00000028)*I84^4+0.00004915*I84^3+(-0.00337375)*I84^2+0.1677306*I84+0.53976823)*X84,
IF(W84="B",((-0.00000023)*I84^4+0.00003846*I84^3-0.00262028*I84^2+0.27495836*I84+0.14075609)*X84,
(-0.00000001*I84^4-0.00001462*I84^3+0.00247677*I84^2+0.38073934*I84-0.24312323)*X84)),1)</f>
        <v>150</v>
      </c>
      <c r="W84" t="str">
        <f>VLOOKUP(H84,簡易仕様書!$D$30:$J$61,5,FALSE)</f>
        <v>B</v>
      </c>
      <c r="X84">
        <f>VLOOKUP(H84,簡易仕様書!$D$30:$J$61,6,FALSE)</f>
        <v>51.8</v>
      </c>
      <c r="Y84" t="str">
        <f>VLOOKUP(H84,簡易仕様書!$D$30:$M$61,10,FALSE)</f>
        <v>Tc-99m</v>
      </c>
      <c r="Z84">
        <f t="shared" si="51"/>
        <v>220</v>
      </c>
      <c r="AA84" t="str">
        <f t="shared" si="58"/>
        <v>負荷薬剤ダイアモックス（ACZ）</v>
      </c>
      <c r="AB84" t="str">
        <f>VLOOKUP(H84,簡易仕様書!$D$30:$F$61,3,FALSE)</f>
        <v>ecd</v>
      </c>
      <c r="AC84" t="str">
        <f>INDEX(簡易仕様書!$A$30:$A$61,MATCH(H84,簡易仕様書!$D$30:$D$61,0))</f>
        <v>ECD</v>
      </c>
    </row>
    <row r="85" spans="1:29">
      <c r="A85" s="14">
        <v>82</v>
      </c>
      <c r="B85" s="44"/>
      <c r="C85" s="46"/>
      <c r="D85" s="40"/>
      <c r="E85" s="40"/>
      <c r="F85" s="14" t="s">
        <v>267</v>
      </c>
      <c r="G85" s="14" t="s">
        <v>269</v>
      </c>
      <c r="H85" s="14" t="s">
        <v>172</v>
      </c>
      <c r="I85" s="14">
        <f t="shared" ref="I85" si="63">I84+0.1</f>
        <v>11.1</v>
      </c>
      <c r="J85" s="11" t="str">
        <f t="shared" si="0"/>
        <v>薬剤にECDを選択、体重に11.1と入力して計算ボタンを押す</v>
      </c>
      <c r="K85" s="11" t="str">
        <f>("体重:")&amp;I85&amp;("kg、薬剤名:")&amp;Y85&amp;INDEX(簡易仕様書!$A$30:$A$61,MATCH(H85,簡易仕様書!$D$30:$D$61,0))&amp;("、投与量:")&amp;U85&amp;("MBq ")&amp;AA85&amp;(":")&amp;Z85&amp;("mgと表示されること")</f>
        <v>体重:11.1kg、薬剤名:Tc-99mECD、投与量:151.2MBq 負荷薬剤ダイアモックス（ACZ）:222mgと表示されること</v>
      </c>
      <c r="L85" s="14" t="s">
        <v>337</v>
      </c>
      <c r="M85" s="14" t="s">
        <v>369</v>
      </c>
      <c r="N85" s="26">
        <v>45714.305277777778</v>
      </c>
      <c r="O85" s="11"/>
      <c r="P85" s="11"/>
      <c r="Q85" s="11"/>
      <c r="R85" s="11"/>
      <c r="U85">
        <f>IF(VLOOKUP(H85,簡易仕様書!$D$30:$J$61,7,FALSE)&gt;V85,VLOOKUP(H85,簡易仕様書!$D$30:$J$61,7,FALSE),V85)</f>
        <v>151.19999999999999</v>
      </c>
      <c r="V85">
        <f t="shared" ref="V85:V103" si="64">ROUND(IF(W85="A",((-0.00000028)*I85^4+0.00004915*I85^3+(-0.00337375)*I85^2+0.1677306*I85+0.53976823)*X85,
IF(W85="B",((-0.00000023)*I85^4+0.00003846*I85^3-0.00262028*I85^2+0.27495836*I85+0.14075609)*X85,
(-0.00000001*I85^4-0.00001462*I85^3+0.00247677*I85^2+0.38073934*I85-0.24312323)*X85)),1)</f>
        <v>151.19999999999999</v>
      </c>
      <c r="W85" t="str">
        <f>VLOOKUP(H85,簡易仕様書!$D$30:$J$61,5,FALSE)</f>
        <v>B</v>
      </c>
      <c r="X85">
        <f>VLOOKUP(H85,簡易仕様書!$D$30:$J$61,6,FALSE)</f>
        <v>51.8</v>
      </c>
      <c r="Y85" t="str">
        <f>VLOOKUP(H85,簡易仕様書!$D$30:$M$61,10,FALSE)</f>
        <v>Tc-99m</v>
      </c>
      <c r="Z85">
        <f>IF(H85="IMP",IF(ROUND(I85*20,0)&gt;=1000,1000,ROUND(I85*20,0)),IF(H85="ECD",IF(ROUND(I85*20,0)&gt;=1000,1000,ROUND(I85*20,0)),IF(H85="MAG3",IF(ROUND(I85/10,1)&gt;=2,2,ROUND(I85/10,1)),"")))</f>
        <v>222</v>
      </c>
      <c r="AA85" t="str">
        <f t="shared" si="58"/>
        <v>負荷薬剤ダイアモックス（ACZ）</v>
      </c>
      <c r="AB85" t="str">
        <f>VLOOKUP(H85,簡易仕様書!$D$30:$F$61,3,FALSE)</f>
        <v>ecd</v>
      </c>
      <c r="AC85" t="str">
        <f>INDEX(簡易仕様書!$A$30:$A$61,MATCH(H85,簡易仕様書!$D$30:$D$61,0))</f>
        <v>ECD</v>
      </c>
    </row>
    <row r="86" spans="1:29">
      <c r="A86" s="14">
        <v>83</v>
      </c>
      <c r="B86" s="44"/>
      <c r="C86" s="46"/>
      <c r="D86" s="40"/>
      <c r="E86" s="40"/>
      <c r="F86" s="14" t="s">
        <v>267</v>
      </c>
      <c r="G86" s="14" t="s">
        <v>269</v>
      </c>
      <c r="H86" s="14" t="s">
        <v>172</v>
      </c>
      <c r="I86" s="14">
        <v>0.1</v>
      </c>
      <c r="J86" s="11" t="str">
        <f t="shared" si="0"/>
        <v>薬剤にECDを選択、体重に0.1と入力して計算ボタンを押す</v>
      </c>
      <c r="K86" s="11" t="str">
        <f>("体重:")&amp;I86&amp;("kg、薬剤名:")&amp;Y86&amp;INDEX(簡易仕様書!$A$30:$A$61,MATCH(H86,簡易仕様書!$D$30:$D$61,0))&amp;("、投与量:")&amp;U86&amp;("MBq ")&amp;AA86&amp;(":")&amp;Z86&amp;("mgと表示されること")</f>
        <v>体重:0.1kg、薬剤名:Tc-99mECD、投与量:150MBq 負荷薬剤ダイアモックス（ACZ）:2mgと表示されること</v>
      </c>
      <c r="L86" s="14" t="s">
        <v>337</v>
      </c>
      <c r="M86" s="14" t="s">
        <v>369</v>
      </c>
      <c r="N86" s="26">
        <v>45714.305300925924</v>
      </c>
      <c r="O86" s="11"/>
      <c r="P86" s="11"/>
      <c r="Q86" s="11"/>
      <c r="R86" s="11"/>
      <c r="U86">
        <f>IF(VLOOKUP(H86,簡易仕様書!$D$30:$J$61,7,FALSE)&gt;V86,VLOOKUP(H86,簡易仕様書!$D$30:$J$61,7,FALSE),V86)</f>
        <v>150</v>
      </c>
      <c r="V86">
        <f t="shared" si="64"/>
        <v>8.6999999999999993</v>
      </c>
      <c r="W86" t="str">
        <f>VLOOKUP(H86,簡易仕様書!$D$30:$J$61,5,FALSE)</f>
        <v>B</v>
      </c>
      <c r="X86">
        <f>VLOOKUP(H86,簡易仕様書!$D$30:$J$61,6,FALSE)</f>
        <v>51.8</v>
      </c>
      <c r="Y86" t="str">
        <f>VLOOKUP(H86,簡易仕様書!$D$30:$M$61,10,FALSE)</f>
        <v>Tc-99m</v>
      </c>
      <c r="Z86">
        <f t="shared" ref="Z86:Z98" si="65">IF(H86="IMP",IF(ROUND(I86*20,0)&gt;=1000,1000,ROUND(I86*20,0)),IF(H86="ECD",IF(ROUND(I86*20,0)&gt;=1000,1000,ROUND(I86*20,0)),IF(H86="MAG3",IF(ROUND(I86/10,1)&gt;=2,2,ROUND(I86/10,1)),"")))</f>
        <v>2</v>
      </c>
      <c r="AA86" t="str">
        <f t="shared" si="58"/>
        <v>負荷薬剤ダイアモックス（ACZ）</v>
      </c>
      <c r="AB86" t="str">
        <f>VLOOKUP(H86,簡易仕様書!$D$30:$F$61,3,FALSE)</f>
        <v>ecd</v>
      </c>
      <c r="AC86" t="str">
        <f>INDEX(簡易仕様書!$A$30:$A$61,MATCH(H86,簡易仕様書!$D$30:$D$61,0))</f>
        <v>ECD</v>
      </c>
    </row>
    <row r="87" spans="1:29">
      <c r="A87" s="14">
        <v>84</v>
      </c>
      <c r="B87" s="44"/>
      <c r="C87" s="46"/>
      <c r="D87" s="40"/>
      <c r="E87" s="40"/>
      <c r="F87" s="14" t="s">
        <v>267</v>
      </c>
      <c r="G87" s="14" t="s">
        <v>269</v>
      </c>
      <c r="H87" s="14" t="s">
        <v>172</v>
      </c>
      <c r="I87" s="14">
        <v>70</v>
      </c>
      <c r="J87" s="11" t="str">
        <f t="shared" ref="J87:J89" si="66">("薬剤に")&amp;H87&amp;("を選択、体重に")&amp;I87&amp;("と入力して計算ボタンを押す")</f>
        <v>薬剤にECDを選択、体重に70と入力して計算ボタンを押す</v>
      </c>
      <c r="K87" s="11" t="str">
        <f>("体重:")&amp;I87&amp;("kg、薬剤名:")&amp;Y87&amp;INDEX(簡易仕様書!$A$30:$A$61,MATCH(H87,簡易仕様書!$D$30:$D$61,0))&amp;("、投与量:")&amp;U87&amp;("MBq ")&amp;AA87&amp;(":")&amp;Z87&amp;("mgと表示されること")</f>
        <v>体重:70kg、薬剤名:Tc-99mECD、投与量:736.5MBq 負荷薬剤ダイアモックス（ACZ）:1000mgと表示されること</v>
      </c>
      <c r="L87" s="14" t="s">
        <v>337</v>
      </c>
      <c r="M87" s="14" t="s">
        <v>369</v>
      </c>
      <c r="N87" s="26">
        <v>45714.305324074077</v>
      </c>
      <c r="O87" s="11"/>
      <c r="P87" s="11"/>
      <c r="Q87" s="11"/>
      <c r="R87" s="11"/>
      <c r="U87">
        <f>IF(VLOOKUP(H87,簡易仕様書!$D$30:$J$61,7,FALSE)&gt;V87,VLOOKUP(H87,簡易仕様書!$D$30:$J$61,7,FALSE),V87)</f>
        <v>736.5</v>
      </c>
      <c r="V87">
        <f t="shared" ref="V87:V89" si="67">ROUND(IF(W87="A",((-0.00000028)*I87^4+0.00004915*I87^3+(-0.00337375)*I87^2+0.1677306*I87+0.53976823)*X87,
IF(W87="B",((-0.00000023)*I87^4+0.00003846*I87^3-0.00262028*I87^2+0.27495836*I87+0.14075609)*X87,
(-0.00000001*I87^4-0.00001462*I87^3+0.00247677*I87^2+0.38073934*I87-0.24312323)*X87)),1)</f>
        <v>736.5</v>
      </c>
      <c r="W87" t="str">
        <f>VLOOKUP(H87,簡易仕様書!$D$30:$J$61,5,FALSE)</f>
        <v>B</v>
      </c>
      <c r="X87">
        <f>VLOOKUP(H87,簡易仕様書!$D$30:$J$61,6,FALSE)</f>
        <v>51.8</v>
      </c>
      <c r="Y87" t="str">
        <f>VLOOKUP(H87,簡易仕様書!$D$30:$M$61,10,FALSE)</f>
        <v>Tc-99m</v>
      </c>
      <c r="Z87">
        <f t="shared" si="65"/>
        <v>1000</v>
      </c>
      <c r="AA87" t="str">
        <f t="shared" si="58"/>
        <v>負荷薬剤ダイアモックス（ACZ）</v>
      </c>
      <c r="AB87" t="str">
        <f>VLOOKUP(H87,簡易仕様書!$D$30:$F$61,3,FALSE)</f>
        <v>ecd</v>
      </c>
      <c r="AC87" t="str">
        <f>INDEX(簡易仕様書!$A$30:$A$61,MATCH(H87,簡易仕様書!$D$30:$D$61,0))</f>
        <v>ECD</v>
      </c>
    </row>
    <row r="88" spans="1:29">
      <c r="A88" s="14">
        <v>85</v>
      </c>
      <c r="B88" s="44"/>
      <c r="C88" s="46"/>
      <c r="D88" s="40"/>
      <c r="E88" s="40"/>
      <c r="F88" s="14" t="s">
        <v>267</v>
      </c>
      <c r="G88" s="14" t="s">
        <v>269</v>
      </c>
      <c r="H88" s="14" t="s">
        <v>172</v>
      </c>
      <c r="I88" s="14">
        <v>49.9</v>
      </c>
      <c r="J88" s="11" t="str">
        <f t="shared" ref="J88" si="68">("薬剤に")&amp;H88&amp;("を選択、体重に")&amp;I88&amp;("と入力して計算ボタンを押す")</f>
        <v>薬剤にECDを選択、体重に49.9と入力して計算ボタンを押す</v>
      </c>
      <c r="K88" s="11" t="str">
        <f>("体重:")&amp;I88&amp;("kg、薬剤名:")&amp;Y88&amp;INDEX(簡易仕様書!$A$30:$A$61,MATCH(H88,簡易仕様書!$D$30:$D$61,0))&amp;("、投与量:")&amp;U88&amp;("MBq ")&amp;AA88&amp;(":")&amp;Z88&amp;("mgと表示されること")</f>
        <v>体重:49.9kg、薬剤名:Tc-99mECD、投与量:553.7MBq 負荷薬剤ダイアモックス（ACZ）:998mgと表示されること</v>
      </c>
      <c r="L88" s="14" t="s">
        <v>337</v>
      </c>
      <c r="M88" s="14" t="s">
        <v>369</v>
      </c>
      <c r="N88" s="26">
        <v>45714.305347222224</v>
      </c>
      <c r="O88" s="11"/>
      <c r="P88" s="11"/>
      <c r="Q88" s="11"/>
      <c r="R88" s="11"/>
      <c r="U88">
        <f>IF(VLOOKUP(H88,簡易仕様書!$D$30:$J$61,7,FALSE)&gt;V88,VLOOKUP(H88,簡易仕様書!$D$30:$J$61,7,FALSE),V88)</f>
        <v>553.70000000000005</v>
      </c>
      <c r="V88">
        <f t="shared" ref="V88" si="69">ROUND(IF(W88="A",((-0.00000028)*I88^4+0.00004915*I88^3+(-0.00337375)*I88^2+0.1677306*I88+0.53976823)*X88,
IF(W88="B",((-0.00000023)*I88^4+0.00003846*I88^3-0.00262028*I88^2+0.27495836*I88+0.14075609)*X88,
(-0.00000001*I88^4-0.00001462*I88^3+0.00247677*I88^2+0.38073934*I88-0.24312323)*X88)),1)</f>
        <v>553.70000000000005</v>
      </c>
      <c r="W88" t="str">
        <f>VLOOKUP(H88,簡易仕様書!$D$30:$J$61,5,FALSE)</f>
        <v>B</v>
      </c>
      <c r="X88">
        <f>VLOOKUP(H88,簡易仕様書!$D$30:$J$61,6,FALSE)</f>
        <v>51.8</v>
      </c>
      <c r="Y88" t="str">
        <f>VLOOKUP(H88,簡易仕様書!$D$30:$M$61,10,FALSE)</f>
        <v>Tc-99m</v>
      </c>
      <c r="Z88">
        <f t="shared" ref="Z88" si="70">IF(H88="IMP",IF(ROUND(I88*20,0)&gt;=1000,1000,ROUND(I88*20,0)),IF(H88="ECD",IF(ROUND(I88*20,0)&gt;=1000,1000,ROUND(I88*20,0)),IF(H88="MAG3",IF(ROUND(I88/10,1)&gt;=2,2,ROUND(I88/10,1)),"")))</f>
        <v>998</v>
      </c>
      <c r="AA88" t="str">
        <f t="shared" ref="AA88" si="71">IF(H88="IMP","負荷薬剤ダイアモックス（ACZ）",IF(H88="ECD","負荷薬剤ダイアモックス（ACZ）",IF(H88="MAG3","負荷薬剤フロセミド（ラシックス）","")))</f>
        <v>負荷薬剤ダイアモックス（ACZ）</v>
      </c>
      <c r="AB88" t="str">
        <f>VLOOKUP(H88,簡易仕様書!$D$30:$F$61,3,FALSE)</f>
        <v>ecd</v>
      </c>
      <c r="AC88" t="str">
        <f>INDEX(簡易仕様書!$A$30:$A$61,MATCH(H88,簡易仕様書!$D$30:$D$61,0))</f>
        <v>ECD</v>
      </c>
    </row>
    <row r="89" spans="1:29">
      <c r="A89" s="14">
        <v>86</v>
      </c>
      <c r="B89" s="44"/>
      <c r="C89" s="46"/>
      <c r="D89" s="40"/>
      <c r="E89" s="40"/>
      <c r="F89" s="14" t="s">
        <v>267</v>
      </c>
      <c r="G89" s="14" t="s">
        <v>269</v>
      </c>
      <c r="H89" s="14" t="s">
        <v>172</v>
      </c>
      <c r="I89" s="14">
        <v>50</v>
      </c>
      <c r="J89" s="11" t="str">
        <f t="shared" si="66"/>
        <v>薬剤にECDを選択、体重に50と入力して計算ボタンを押す</v>
      </c>
      <c r="K89" s="11" t="str">
        <f>("体重:")&amp;I89&amp;("kg、薬剤名:")&amp;Y89&amp;INDEX(簡易仕様書!$A$30:$A$61,MATCH(H89,簡易仕様書!$D$30:$D$61,0))&amp;("、投与量:")&amp;U89&amp;("MBq ")&amp;AA89&amp;(":")&amp;Z89&amp;("mgと表示されること")</f>
        <v>体重:50kg、薬剤名:Tc-99mECD、投与量:554.7MBq 負荷薬剤ダイアモックス（ACZ）:1000mgと表示されること</v>
      </c>
      <c r="L89" s="14" t="s">
        <v>337</v>
      </c>
      <c r="M89" s="14" t="s">
        <v>369</v>
      </c>
      <c r="N89" s="26">
        <v>45714.30537037037</v>
      </c>
      <c r="O89" s="11"/>
      <c r="P89" s="11"/>
      <c r="Q89" s="11"/>
      <c r="R89" s="11"/>
      <c r="U89">
        <f>IF(VLOOKUP(H89,簡易仕様書!$D$30:$J$61,7,FALSE)&gt;V89,VLOOKUP(H89,簡易仕様書!$D$30:$J$61,7,FALSE),V89)</f>
        <v>554.70000000000005</v>
      </c>
      <c r="V89">
        <f t="shared" si="67"/>
        <v>554.70000000000005</v>
      </c>
      <c r="W89" t="str">
        <f>VLOOKUP(H89,簡易仕様書!$D$30:$J$61,5,FALSE)</f>
        <v>B</v>
      </c>
      <c r="X89">
        <f>VLOOKUP(H89,簡易仕様書!$D$30:$J$61,6,FALSE)</f>
        <v>51.8</v>
      </c>
      <c r="Y89" t="str">
        <f>VLOOKUP(H89,簡易仕様書!$D$30:$M$61,10,FALSE)</f>
        <v>Tc-99m</v>
      </c>
      <c r="Z89">
        <f t="shared" si="65"/>
        <v>1000</v>
      </c>
      <c r="AA89" t="str">
        <f t="shared" si="58"/>
        <v>負荷薬剤ダイアモックス（ACZ）</v>
      </c>
      <c r="AB89" t="str">
        <f>VLOOKUP(H89,簡易仕様書!$D$30:$F$61,3,FALSE)</f>
        <v>ecd</v>
      </c>
      <c r="AC89" t="str">
        <f>INDEX(簡易仕様書!$A$30:$A$61,MATCH(H89,簡易仕様書!$D$30:$D$61,0))</f>
        <v>ECD</v>
      </c>
    </row>
    <row r="90" spans="1:29">
      <c r="A90" s="14">
        <v>87</v>
      </c>
      <c r="B90" s="44"/>
      <c r="C90" s="46"/>
      <c r="D90" s="40"/>
      <c r="E90" s="40"/>
      <c r="F90" s="14" t="s">
        <v>267</v>
      </c>
      <c r="G90" s="14" t="s">
        <v>269</v>
      </c>
      <c r="H90" s="14" t="s">
        <v>172</v>
      </c>
      <c r="I90" s="14">
        <v>50.1</v>
      </c>
      <c r="J90" s="11" t="str">
        <f t="shared" ref="J90" si="72">("薬剤に")&amp;H90&amp;("を選択、体重に")&amp;I90&amp;("と入力して計算ボタンを押す")</f>
        <v>薬剤にECDを選択、体重に50.1と入力して計算ボタンを押す</v>
      </c>
      <c r="K90" s="11" t="str">
        <f>("体重:")&amp;I90&amp;("kg、薬剤名:")&amp;Y90&amp;INDEX(簡易仕様書!$A$30:$A$61,MATCH(H90,簡易仕様書!$D$30:$D$61,0))&amp;("、投与量:")&amp;U90&amp;("MBq ")&amp;AA90&amp;(":")&amp;Z90&amp;("mgと表示されること")</f>
        <v>体重:50.1kg、薬剤名:Tc-99mECD、投与量:555.6MBq 負荷薬剤ダイアモックス（ACZ）:1000mgと表示されること</v>
      </c>
      <c r="L90" s="14" t="s">
        <v>337</v>
      </c>
      <c r="M90" s="14" t="s">
        <v>369</v>
      </c>
      <c r="N90" s="26">
        <v>45714.305393518516</v>
      </c>
      <c r="O90" s="11"/>
      <c r="P90" s="11"/>
      <c r="Q90" s="11"/>
      <c r="R90" s="11"/>
      <c r="U90">
        <f>IF(VLOOKUP(H90,簡易仕様書!$D$30:$J$61,7,FALSE)&gt;V90,VLOOKUP(H90,簡易仕様書!$D$30:$J$61,7,FALSE),V90)</f>
        <v>555.6</v>
      </c>
      <c r="V90">
        <f t="shared" ref="V90" si="73">ROUND(IF(W90="A",((-0.00000028)*I90^4+0.00004915*I90^3+(-0.00337375)*I90^2+0.1677306*I90+0.53976823)*X90,
IF(W90="B",((-0.00000023)*I90^4+0.00003846*I90^3-0.00262028*I90^2+0.27495836*I90+0.14075609)*X90,
(-0.00000001*I90^4-0.00001462*I90^3+0.00247677*I90^2+0.38073934*I90-0.24312323)*X90)),1)</f>
        <v>555.6</v>
      </c>
      <c r="W90" t="str">
        <f>VLOOKUP(H90,簡易仕様書!$D$30:$J$61,5,FALSE)</f>
        <v>B</v>
      </c>
      <c r="X90">
        <f>VLOOKUP(H90,簡易仕様書!$D$30:$J$61,6,FALSE)</f>
        <v>51.8</v>
      </c>
      <c r="Y90" t="str">
        <f>VLOOKUP(H90,簡易仕様書!$D$30:$M$61,10,FALSE)</f>
        <v>Tc-99m</v>
      </c>
      <c r="Z90">
        <f t="shared" ref="Z90" si="74">IF(H90="IMP",IF(ROUND(I90*20,0)&gt;=1000,1000,ROUND(I90*20,0)),IF(H90="ECD",IF(ROUND(I90*20,0)&gt;=1000,1000,ROUND(I90*20,0)),IF(H90="MAG3",IF(ROUND(I90/10,1)&gt;=2,2,ROUND(I90/10,1)),"")))</f>
        <v>1000</v>
      </c>
      <c r="AA90" t="str">
        <f t="shared" ref="AA90" si="75">IF(H90="IMP","負荷薬剤ダイアモックス（ACZ）",IF(H90="ECD","負荷薬剤ダイアモックス（ACZ）",IF(H90="MAG3","負荷薬剤フロセミド（ラシックス）","")))</f>
        <v>負荷薬剤ダイアモックス（ACZ）</v>
      </c>
      <c r="AB90" t="str">
        <f>VLOOKUP(H90,簡易仕様書!$D$30:$F$61,3,FALSE)</f>
        <v>ecd</v>
      </c>
      <c r="AC90" t="str">
        <f>INDEX(簡易仕様書!$A$30:$A$61,MATCH(H90,簡易仕様書!$D$30:$D$61,0))</f>
        <v>ECD</v>
      </c>
    </row>
    <row r="91" spans="1:29" ht="22" customHeight="1">
      <c r="A91" s="14">
        <v>88</v>
      </c>
      <c r="B91" s="44"/>
      <c r="C91" s="46"/>
      <c r="D91" s="40"/>
      <c r="E91" s="40"/>
      <c r="F91" s="14" t="s">
        <v>267</v>
      </c>
      <c r="G91" s="14" t="s">
        <v>269</v>
      </c>
      <c r="H91" s="14" t="s">
        <v>173</v>
      </c>
      <c r="I91" s="14">
        <f>IF((ROUND(VLOOKUP(H91,簡易仕様書!$D$30:$L$61,8,FALSE),1))&gt;VLOOKUP(H91,簡易仕様書!$D$30:$L$61,7,FALSE),
VLOOKUP(H91,簡易仕様書!$D$30:$L$61,9,FALSE)-0.1,VLOOKUP(H91,簡易仕様書!$D$30:$L$61,9,FALSE))</f>
        <v>6.9</v>
      </c>
      <c r="J91" s="11" t="str">
        <f t="shared" si="0"/>
        <v>薬剤にHMPAOを選択、体重に6.9と入力して計算ボタンを押す</v>
      </c>
      <c r="K91" s="11" t="str">
        <f>("体重:")&amp;I91&amp;("kg、薬剤名:")&amp;Y91&amp;INDEX(簡易仕様書!$A$30:$A$61,MATCH(H91,簡易仕様書!$D$30:$D$61,0))&amp;("、投与量:")&amp;U91&amp;("MBqと表示されること")</f>
        <v>体重:6.9kg、薬剤名:Tc-99mHMPAO、投与量:100MBqと表示されること</v>
      </c>
      <c r="L91" s="14" t="s">
        <v>337</v>
      </c>
      <c r="M91" s="14" t="s">
        <v>369</v>
      </c>
      <c r="N91" s="26">
        <v>45714.305405092593</v>
      </c>
      <c r="O91" s="11"/>
      <c r="P91" s="11"/>
      <c r="Q91" s="11"/>
      <c r="R91" s="11"/>
      <c r="U91">
        <f>IF(VLOOKUP(H91,簡易仕様書!$D$30:$J$61,7,FALSE)&gt;V91,VLOOKUP(H91,簡易仕様書!$D$30:$J$61,7,FALSE),V91)</f>
        <v>100</v>
      </c>
      <c r="V91">
        <f t="shared" si="64"/>
        <v>99.7</v>
      </c>
      <c r="W91" t="str">
        <f>VLOOKUP(H91,簡易仕様書!$D$30:$J$61,5,FALSE)</f>
        <v>B</v>
      </c>
      <c r="X91">
        <f>VLOOKUP(H91,簡易仕様書!$D$30:$J$61,6,FALSE)</f>
        <v>51.8</v>
      </c>
      <c r="Y91" t="str">
        <f>VLOOKUP(H91,簡易仕様書!$D$30:$M$61,10,FALSE)</f>
        <v>Tc-99m</v>
      </c>
      <c r="Z91" t="str">
        <f t="shared" si="65"/>
        <v/>
      </c>
      <c r="AA91" t="str">
        <f t="shared" si="58"/>
        <v/>
      </c>
      <c r="AB91" t="str">
        <f>VLOOKUP(H91,簡易仕様書!$D$30:$F$61,3,FALSE)</f>
        <v>hmpao</v>
      </c>
      <c r="AC91" t="str">
        <f>INDEX(簡易仕様書!$A$30:$A$61,MATCH(H91,簡易仕様書!$D$30:$D$61,0))</f>
        <v>HMPAO</v>
      </c>
    </row>
    <row r="92" spans="1:29" ht="22" customHeight="1">
      <c r="A92" s="14">
        <v>89</v>
      </c>
      <c r="B92" s="44"/>
      <c r="C92" s="46"/>
      <c r="D92" s="40"/>
      <c r="E92" s="40"/>
      <c r="F92" s="14" t="s">
        <v>267</v>
      </c>
      <c r="G92" s="14" t="s">
        <v>269</v>
      </c>
      <c r="H92" s="14" t="s">
        <v>173</v>
      </c>
      <c r="I92" s="14">
        <f t="shared" si="44"/>
        <v>7</v>
      </c>
      <c r="J92" s="11" t="str">
        <f t="shared" si="0"/>
        <v>薬剤にHMPAOを選択、体重に7と入力して計算ボタンを押す</v>
      </c>
      <c r="K92" s="11" t="str">
        <f>("体重:")&amp;I92&amp;("kg、薬剤名:")&amp;Y92&amp;INDEX(簡易仕様書!$A$30:$A$61,MATCH(H92,簡易仕様書!$D$30:$D$61,0))&amp;("、投与量:")&amp;U92&amp;("MBqと表示されること")</f>
        <v>体重:7kg、薬剤名:Tc-99mHMPAO、投与量:101MBqと表示されること</v>
      </c>
      <c r="L92" s="14" t="s">
        <v>337</v>
      </c>
      <c r="M92" s="14" t="s">
        <v>369</v>
      </c>
      <c r="N92" s="26">
        <v>45714.305428240739</v>
      </c>
      <c r="O92" s="11"/>
      <c r="P92" s="11"/>
      <c r="Q92" s="11"/>
      <c r="R92" s="11"/>
      <c r="U92">
        <f>IF(VLOOKUP(H92,簡易仕様書!$D$30:$J$61,7,FALSE)&gt;V92,VLOOKUP(H92,簡易仕様書!$D$30:$J$61,7,FALSE),V92)</f>
        <v>101</v>
      </c>
      <c r="V92">
        <f t="shared" si="64"/>
        <v>101</v>
      </c>
      <c r="W92" t="str">
        <f>VLOOKUP(H92,簡易仕様書!$D$30:$J$61,5,FALSE)</f>
        <v>B</v>
      </c>
      <c r="X92">
        <f>VLOOKUP(H92,簡易仕様書!$D$30:$J$61,6,FALSE)</f>
        <v>51.8</v>
      </c>
      <c r="Y92" t="str">
        <f>VLOOKUP(H92,簡易仕様書!$D$30:$M$61,10,FALSE)</f>
        <v>Tc-99m</v>
      </c>
      <c r="Z92" t="str">
        <f t="shared" si="65"/>
        <v/>
      </c>
      <c r="AA92" t="str">
        <f t="shared" si="58"/>
        <v/>
      </c>
      <c r="AB92" t="str">
        <f>VLOOKUP(H92,簡易仕様書!$D$30:$F$61,3,FALSE)</f>
        <v>hmpao</v>
      </c>
      <c r="AC92" t="str">
        <f>INDEX(簡易仕様書!$A$30:$A$61,MATCH(H92,簡易仕様書!$D$30:$D$61,0))</f>
        <v>HMPAO</v>
      </c>
    </row>
    <row r="93" spans="1:29" ht="22" customHeight="1">
      <c r="A93" s="14">
        <v>90</v>
      </c>
      <c r="B93" s="44"/>
      <c r="C93" s="46"/>
      <c r="D93" s="40"/>
      <c r="E93" s="40"/>
      <c r="F93" s="14" t="s">
        <v>267</v>
      </c>
      <c r="G93" s="14" t="s">
        <v>269</v>
      </c>
      <c r="H93" s="14" t="s">
        <v>173</v>
      </c>
      <c r="I93" s="14">
        <v>0.1</v>
      </c>
      <c r="J93" s="11" t="str">
        <f t="shared" si="0"/>
        <v>薬剤にHMPAOを選択、体重に0.1と入力して計算ボタンを押す</v>
      </c>
      <c r="K93" s="11" t="str">
        <f>("体重:")&amp;I93&amp;("kg、薬剤名:")&amp;Y93&amp;INDEX(簡易仕様書!$A$30:$A$61,MATCH(H93,簡易仕様書!$D$30:$D$61,0))&amp;("、投与量:")&amp;U93&amp;("MBqと表示されること")</f>
        <v>体重:0.1kg、薬剤名:Tc-99mHMPAO、投与量:100MBqと表示されること</v>
      </c>
      <c r="L93" s="14" t="s">
        <v>337</v>
      </c>
      <c r="M93" s="14" t="s">
        <v>369</v>
      </c>
      <c r="N93" s="26">
        <v>45714.305451388886</v>
      </c>
      <c r="O93" s="11"/>
      <c r="P93" s="11"/>
      <c r="Q93" s="11"/>
      <c r="R93" s="11"/>
      <c r="U93">
        <f>IF(VLOOKUP(H93,簡易仕様書!$D$30:$J$61,7,FALSE)&gt;V93,VLOOKUP(H93,簡易仕様書!$D$30:$J$61,7,FALSE),V93)</f>
        <v>100</v>
      </c>
      <c r="V93">
        <f t="shared" si="64"/>
        <v>8.6999999999999993</v>
      </c>
      <c r="W93" t="str">
        <f>VLOOKUP(H93,簡易仕様書!$D$30:$J$61,5,FALSE)</f>
        <v>B</v>
      </c>
      <c r="X93">
        <f>VLOOKUP(H93,簡易仕様書!$D$30:$J$61,6,FALSE)</f>
        <v>51.8</v>
      </c>
      <c r="Y93" t="str">
        <f>VLOOKUP(H93,簡易仕様書!$D$30:$M$61,10,FALSE)</f>
        <v>Tc-99m</v>
      </c>
      <c r="Z93" t="str">
        <f t="shared" si="65"/>
        <v/>
      </c>
      <c r="AA93" t="str">
        <f t="shared" si="58"/>
        <v/>
      </c>
      <c r="AB93" t="str">
        <f>VLOOKUP(H93,簡易仕様書!$D$30:$F$61,3,FALSE)</f>
        <v>hmpao</v>
      </c>
      <c r="AC93" t="str">
        <f>INDEX(簡易仕様書!$A$30:$A$61,MATCH(H93,簡易仕様書!$D$30:$D$61,0))</f>
        <v>HMPAO</v>
      </c>
    </row>
    <row r="94" spans="1:29" ht="22" customHeight="1">
      <c r="A94" s="14">
        <v>91</v>
      </c>
      <c r="B94" s="44"/>
      <c r="C94" s="46"/>
      <c r="D94" s="40"/>
      <c r="E94" s="40"/>
      <c r="F94" s="14" t="s">
        <v>267</v>
      </c>
      <c r="G94" s="14" t="s">
        <v>269</v>
      </c>
      <c r="H94" s="14" t="s">
        <v>173</v>
      </c>
      <c r="I94" s="14">
        <v>70</v>
      </c>
      <c r="J94" s="11" t="str">
        <f t="shared" ref="J94" si="76">("薬剤に")&amp;H94&amp;("を選択、体重に")&amp;I94&amp;("と入力して計算ボタンを押す")</f>
        <v>薬剤にHMPAOを選択、体重に70と入力して計算ボタンを押す</v>
      </c>
      <c r="K94" s="11" t="str">
        <f>("体重:")&amp;I94&amp;("kg、薬剤名:")&amp;Y94&amp;INDEX(簡易仕様書!$A$30:$A$61,MATCH(H94,簡易仕様書!$D$30:$D$61,0))&amp;("、投与量:")&amp;U94&amp;("MBqと表示されること")</f>
        <v>体重:70kg、薬剤名:Tc-99mHMPAO、投与量:736.5MBqと表示されること</v>
      </c>
      <c r="L94" s="14" t="s">
        <v>337</v>
      </c>
      <c r="M94" s="14" t="s">
        <v>369</v>
      </c>
      <c r="N94" s="26">
        <v>45714.305474537039</v>
      </c>
      <c r="O94" s="11"/>
      <c r="P94" s="11"/>
      <c r="Q94" s="11"/>
      <c r="R94" s="11"/>
      <c r="U94">
        <f>IF(VLOOKUP(H94,簡易仕様書!$D$30:$J$61,7,FALSE)&gt;V94,VLOOKUP(H94,簡易仕様書!$D$30:$J$61,7,FALSE),V94)</f>
        <v>736.5</v>
      </c>
      <c r="V94">
        <f t="shared" ref="V94" si="77">ROUND(IF(W94="A",((-0.00000028)*I94^4+0.00004915*I94^3+(-0.00337375)*I94^2+0.1677306*I94+0.53976823)*X94,
IF(W94="B",((-0.00000023)*I94^4+0.00003846*I94^3-0.00262028*I94^2+0.27495836*I94+0.14075609)*X94,
(-0.00000001*I94^4-0.00001462*I94^3+0.00247677*I94^2+0.38073934*I94-0.24312323)*X94)),1)</f>
        <v>736.5</v>
      </c>
      <c r="W94" t="str">
        <f>VLOOKUP(H94,簡易仕様書!$D$30:$J$61,5,FALSE)</f>
        <v>B</v>
      </c>
      <c r="X94">
        <f>VLOOKUP(H94,簡易仕様書!$D$30:$J$61,6,FALSE)</f>
        <v>51.8</v>
      </c>
      <c r="Y94" t="str">
        <f>VLOOKUP(H94,簡易仕様書!$D$30:$M$61,10,FALSE)</f>
        <v>Tc-99m</v>
      </c>
      <c r="Z94" t="str">
        <f t="shared" si="65"/>
        <v/>
      </c>
      <c r="AA94" t="str">
        <f t="shared" si="58"/>
        <v/>
      </c>
      <c r="AB94" t="str">
        <f>VLOOKUP(H94,簡易仕様書!$D$30:$F$61,3,FALSE)</f>
        <v>hmpao</v>
      </c>
      <c r="AC94" t="str">
        <f>INDEX(簡易仕様書!$A$30:$A$61,MATCH(H94,簡易仕様書!$D$30:$D$61,0))</f>
        <v>HMPAO</v>
      </c>
    </row>
    <row r="95" spans="1:29">
      <c r="A95" s="14">
        <v>92</v>
      </c>
      <c r="B95" s="44"/>
      <c r="C95" s="46"/>
      <c r="D95" s="40"/>
      <c r="E95" s="40"/>
      <c r="F95" s="14" t="s">
        <v>267</v>
      </c>
      <c r="G95" s="14" t="s">
        <v>269</v>
      </c>
      <c r="H95" s="14" t="s">
        <v>174</v>
      </c>
      <c r="I95" s="14">
        <f>IF((ROUND(VLOOKUP(H95,簡易仕様書!$D$30:$L$61,8,FALSE),1))&gt;VLOOKUP(H95,簡易仕様書!$D$30:$L$61,7,FALSE),
VLOOKUP(H95,簡易仕様書!$D$30:$L$61,9,FALSE)-0.1,VLOOKUP(H95,簡易仕様書!$D$30:$L$61,9,FALSE))</f>
        <v>6.8</v>
      </c>
      <c r="J95" s="11" t="str">
        <f t="shared" si="0"/>
        <v>薬剤にPMTを選択、体重に6.8と入力して計算ボタンを押す</v>
      </c>
      <c r="K95" s="11" t="str">
        <f>("体重:")&amp;I95&amp;("kg、薬剤名:")&amp;Y95&amp;INDEX(簡易仕様書!$A$30:$A$61,MATCH(H95,簡易仕様書!$D$30:$D$61,0))&amp;("、投与量:")&amp;U95&amp;("MBqと表示されること")</f>
        <v>体重:6.8kg、薬剤名:Tc-99mPMT、投与量:20MBqと表示されること</v>
      </c>
      <c r="L95" s="14" t="s">
        <v>337</v>
      </c>
      <c r="M95" s="14" t="s">
        <v>369</v>
      </c>
      <c r="N95" s="26">
        <v>45714.305497685185</v>
      </c>
      <c r="O95" s="11"/>
      <c r="P95" s="11"/>
      <c r="Q95" s="11"/>
      <c r="R95" s="11"/>
      <c r="U95">
        <f>IF(VLOOKUP(H95,簡易仕様書!$D$30:$J$61,7,FALSE)&gt;V95,VLOOKUP(H95,簡易仕様書!$D$30:$J$61,7,FALSE),V95)</f>
        <v>20</v>
      </c>
      <c r="V95">
        <f t="shared" si="64"/>
        <v>20</v>
      </c>
      <c r="W95" t="str">
        <f>VLOOKUP(H95,簡易仕様書!$D$30:$J$61,5,FALSE)</f>
        <v>B</v>
      </c>
      <c r="X95">
        <f>VLOOKUP(H95,簡易仕様書!$D$30:$J$61,6,FALSE)</f>
        <v>10.5</v>
      </c>
      <c r="Y95" t="str">
        <f>VLOOKUP(H95,簡易仕様書!$D$30:$M$61,10,FALSE)</f>
        <v>Tc-99m</v>
      </c>
      <c r="Z95" t="str">
        <f t="shared" si="65"/>
        <v/>
      </c>
      <c r="AA95" t="str">
        <f t="shared" si="58"/>
        <v/>
      </c>
      <c r="AB95" t="str">
        <f>VLOOKUP(H95,簡易仕様書!$D$30:$F$61,3,FALSE)</f>
        <v>pmt</v>
      </c>
      <c r="AC95" t="str">
        <f>INDEX(簡易仕様書!$A$30:$A$61,MATCH(H95,簡易仕様書!$D$30:$D$61,0))</f>
        <v>PMT</v>
      </c>
    </row>
    <row r="96" spans="1:29">
      <c r="A96" s="14">
        <v>93</v>
      </c>
      <c r="B96" s="44"/>
      <c r="C96" s="46"/>
      <c r="D96" s="40"/>
      <c r="E96" s="40"/>
      <c r="F96" s="14" t="s">
        <v>267</v>
      </c>
      <c r="G96" s="14" t="s">
        <v>269</v>
      </c>
      <c r="H96" s="14" t="s">
        <v>174</v>
      </c>
      <c r="I96" s="14">
        <f t="shared" si="49"/>
        <v>6.8999999999999995</v>
      </c>
      <c r="J96" s="11" t="str">
        <f t="shared" si="0"/>
        <v>薬剤にPMTを選択、体重に6.9と入力して計算ボタンを押す</v>
      </c>
      <c r="K96" s="11" t="str">
        <f>("体重:")&amp;I96&amp;("kg、薬剤名:")&amp;Y96&amp;INDEX(簡易仕様書!$A$30:$A$61,MATCH(H96,簡易仕様書!$D$30:$D$61,0))&amp;("、投与量:")&amp;U96&amp;("MBqと表示されること")</f>
        <v>体重:6.9kg、薬剤名:Tc-99mPMT、投与量:20.2MBqと表示されること</v>
      </c>
      <c r="L96" s="14" t="s">
        <v>337</v>
      </c>
      <c r="M96" s="14" t="s">
        <v>369</v>
      </c>
      <c r="N96" s="26">
        <v>45714.305520833332</v>
      </c>
      <c r="O96" s="11"/>
      <c r="P96" s="11"/>
      <c r="Q96" s="11"/>
      <c r="R96" s="11"/>
      <c r="U96">
        <f>IF(VLOOKUP(H96,簡易仕様書!$D$30:$J$61,7,FALSE)&gt;V96,VLOOKUP(H96,簡易仕様書!$D$30:$J$61,7,FALSE),V96)</f>
        <v>20.2</v>
      </c>
      <c r="V96">
        <f t="shared" si="64"/>
        <v>20.2</v>
      </c>
      <c r="W96" t="str">
        <f>VLOOKUP(H96,簡易仕様書!$D$30:$J$61,5,FALSE)</f>
        <v>B</v>
      </c>
      <c r="X96">
        <f>VLOOKUP(H96,簡易仕様書!$D$30:$J$61,6,FALSE)</f>
        <v>10.5</v>
      </c>
      <c r="Y96" t="str">
        <f>VLOOKUP(H96,簡易仕様書!$D$30:$M$61,10,FALSE)</f>
        <v>Tc-99m</v>
      </c>
      <c r="Z96" t="str">
        <f t="shared" si="65"/>
        <v/>
      </c>
      <c r="AA96" t="str">
        <f t="shared" si="58"/>
        <v/>
      </c>
      <c r="AB96" t="str">
        <f>VLOOKUP(H96,簡易仕様書!$D$30:$F$61,3,FALSE)</f>
        <v>pmt</v>
      </c>
      <c r="AC96" t="str">
        <f>INDEX(簡易仕様書!$A$30:$A$61,MATCH(H96,簡易仕様書!$D$30:$D$61,0))</f>
        <v>PMT</v>
      </c>
    </row>
    <row r="97" spans="1:29">
      <c r="A97" s="14">
        <v>94</v>
      </c>
      <c r="B97" s="44"/>
      <c r="C97" s="46"/>
      <c r="D97" s="40"/>
      <c r="E97" s="40"/>
      <c r="F97" s="14" t="s">
        <v>267</v>
      </c>
      <c r="G97" s="14" t="s">
        <v>269</v>
      </c>
      <c r="H97" s="14" t="s">
        <v>174</v>
      </c>
      <c r="I97" s="14">
        <v>0.1</v>
      </c>
      <c r="J97" s="11" t="str">
        <f t="shared" si="0"/>
        <v>薬剤にPMTを選択、体重に0.1と入力して計算ボタンを押す</v>
      </c>
      <c r="K97" s="11" t="str">
        <f>("体重:")&amp;I97&amp;("kg、薬剤名:")&amp;Y97&amp;INDEX(簡易仕様書!$A$30:$A$61,MATCH(H97,簡易仕様書!$D$30:$D$61,0))&amp;("、投与量:")&amp;U97&amp;("MBqと表示されること")</f>
        <v>体重:0.1kg、薬剤名:Tc-99mPMT、投与量:20MBqと表示されること</v>
      </c>
      <c r="L97" s="14" t="s">
        <v>337</v>
      </c>
      <c r="M97" s="14" t="s">
        <v>369</v>
      </c>
      <c r="N97" s="26">
        <v>45714.305543981478</v>
      </c>
      <c r="O97" s="11"/>
      <c r="P97" s="11"/>
      <c r="Q97" s="11"/>
      <c r="R97" s="11"/>
      <c r="U97">
        <f>IF(VLOOKUP(H97,簡易仕様書!$D$30:$J$61,7,FALSE)&gt;V97,VLOOKUP(H97,簡易仕様書!$D$30:$J$61,7,FALSE),V97)</f>
        <v>20</v>
      </c>
      <c r="V97">
        <f t="shared" si="64"/>
        <v>1.8</v>
      </c>
      <c r="W97" t="str">
        <f>VLOOKUP(H97,簡易仕様書!$D$30:$J$61,5,FALSE)</f>
        <v>B</v>
      </c>
      <c r="X97">
        <f>VLOOKUP(H97,簡易仕様書!$D$30:$J$61,6,FALSE)</f>
        <v>10.5</v>
      </c>
      <c r="Y97" t="str">
        <f>VLOOKUP(H97,簡易仕様書!$D$30:$M$61,10,FALSE)</f>
        <v>Tc-99m</v>
      </c>
      <c r="Z97" t="str">
        <f t="shared" si="65"/>
        <v/>
      </c>
      <c r="AA97" t="str">
        <f t="shared" si="58"/>
        <v/>
      </c>
      <c r="AB97" t="str">
        <f>VLOOKUP(H97,簡易仕様書!$D$30:$F$61,3,FALSE)</f>
        <v>pmt</v>
      </c>
      <c r="AC97" t="str">
        <f>INDEX(簡易仕様書!$A$30:$A$61,MATCH(H97,簡易仕様書!$D$30:$D$61,0))</f>
        <v>PMT</v>
      </c>
    </row>
    <row r="98" spans="1:29">
      <c r="A98" s="14">
        <v>95</v>
      </c>
      <c r="B98" s="44"/>
      <c r="C98" s="46"/>
      <c r="D98" s="40"/>
      <c r="E98" s="40"/>
      <c r="F98" s="14" t="s">
        <v>267</v>
      </c>
      <c r="G98" s="14" t="s">
        <v>269</v>
      </c>
      <c r="H98" s="14" t="s">
        <v>174</v>
      </c>
      <c r="I98" s="14">
        <v>70</v>
      </c>
      <c r="J98" s="11" t="str">
        <f t="shared" ref="J98" si="78">("薬剤に")&amp;H98&amp;("を選択、体重に")&amp;I98&amp;("と入力して計算ボタンを押す")</f>
        <v>薬剤にPMTを選択、体重に70と入力して計算ボタンを押す</v>
      </c>
      <c r="K98" s="11" t="str">
        <f>("体重:")&amp;I98&amp;("kg、薬剤名:")&amp;Y98&amp;INDEX(簡易仕様書!$A$30:$A$61,MATCH(H98,簡易仕様書!$D$30:$D$61,0))&amp;("、投与量:")&amp;U98&amp;("MBqと表示されること")</f>
        <v>体重:70kg、薬剤名:Tc-99mPMT、投与量:149.3MBqと表示されること</v>
      </c>
      <c r="L98" s="14" t="s">
        <v>337</v>
      </c>
      <c r="M98" s="14" t="s">
        <v>369</v>
      </c>
      <c r="N98" s="26">
        <v>45714.305567129632</v>
      </c>
      <c r="O98" s="11"/>
      <c r="P98" s="11"/>
      <c r="Q98" s="11"/>
      <c r="R98" s="11"/>
      <c r="U98">
        <f>IF(VLOOKUP(H98,簡易仕様書!$D$30:$J$61,7,FALSE)&gt;V98,VLOOKUP(H98,簡易仕様書!$D$30:$J$61,7,FALSE),V98)</f>
        <v>149.30000000000001</v>
      </c>
      <c r="V98">
        <f t="shared" ref="V98" si="79">ROUND(IF(W98="A",((-0.00000028)*I98^4+0.00004915*I98^3+(-0.00337375)*I98^2+0.1677306*I98+0.53976823)*X98,
IF(W98="B",((-0.00000023)*I98^4+0.00003846*I98^3-0.00262028*I98^2+0.27495836*I98+0.14075609)*X98,
(-0.00000001*I98^4-0.00001462*I98^3+0.00247677*I98^2+0.38073934*I98-0.24312323)*X98)),1)</f>
        <v>149.30000000000001</v>
      </c>
      <c r="W98" t="str">
        <f>VLOOKUP(H98,簡易仕様書!$D$30:$J$61,5,FALSE)</f>
        <v>B</v>
      </c>
      <c r="X98">
        <f>VLOOKUP(H98,簡易仕様書!$D$30:$J$61,6,FALSE)</f>
        <v>10.5</v>
      </c>
      <c r="Y98" t="str">
        <f>VLOOKUP(H98,簡易仕様書!$D$30:$M$61,10,FALSE)</f>
        <v>Tc-99m</v>
      </c>
      <c r="Z98" t="str">
        <f t="shared" si="65"/>
        <v/>
      </c>
      <c r="AA98" t="str">
        <f t="shared" si="58"/>
        <v/>
      </c>
      <c r="AB98" t="str">
        <f>VLOOKUP(H98,簡易仕様書!$D$30:$F$61,3,FALSE)</f>
        <v>pmt</v>
      </c>
      <c r="AC98" t="str">
        <f>INDEX(簡易仕様書!$A$30:$A$61,MATCH(H98,簡易仕様書!$D$30:$D$61,0))</f>
        <v>PMT</v>
      </c>
    </row>
    <row r="99" spans="1:29">
      <c r="A99" s="14">
        <v>96</v>
      </c>
      <c r="B99" s="44"/>
      <c r="C99" s="46"/>
      <c r="D99" s="40"/>
      <c r="E99" s="40"/>
      <c r="F99" s="14" t="s">
        <v>267</v>
      </c>
      <c r="G99" s="14" t="s">
        <v>269</v>
      </c>
      <c r="H99" s="14" t="s">
        <v>93</v>
      </c>
      <c r="I99" s="14">
        <f>IF((ROUND(VLOOKUP(H99,簡易仕様書!$D$30:$L$61,8,FALSE),1))&gt;VLOOKUP(H99,簡易仕様書!$D$30:$L$61,7,FALSE),
VLOOKUP(H99,簡易仕様書!$D$30:$L$61,9,FALSE)-0.1,VLOOKUP(H99,簡易仕様書!$D$30:$L$61,9,FALSE))</f>
        <v>6.7</v>
      </c>
      <c r="J99" s="11" t="str">
        <f t="shared" si="0"/>
        <v>薬剤にMAAを選択、体重に6.7と入力して計算ボタンを押す</v>
      </c>
      <c r="K99" s="11" t="str">
        <f>("体重:")&amp;I99&amp;("kg、薬剤名:")&amp;Y99&amp;INDEX(簡易仕様書!$A$30:$A$61,MATCH(H99,簡易仕様書!$D$30:$D$61,0))&amp;("、投与量:")&amp;U99&amp;("MBqと表示されること")</f>
        <v>体重:6.7kg、薬剤名:Tc-99mMAA、投与量:25MBqと表示されること</v>
      </c>
      <c r="L99" s="14" t="s">
        <v>337</v>
      </c>
      <c r="M99" s="14" t="s">
        <v>369</v>
      </c>
      <c r="N99" s="26">
        <v>45714.305590277778</v>
      </c>
      <c r="O99" s="11"/>
      <c r="P99" s="11"/>
      <c r="Q99" s="11"/>
      <c r="R99" s="11"/>
      <c r="U99">
        <f>IF(VLOOKUP(H99,簡易仕様書!$D$30:$J$61,7,FALSE)&gt;V99,VLOOKUP(H99,簡易仕様書!$D$30:$J$61,7,FALSE),V99)</f>
        <v>25</v>
      </c>
      <c r="V99">
        <f>ROUND(IF(W99="A",((-0.00000028)*I99^4+0.00004915*I99^3+(-0.00337375)*I99^2+0.1677306*I99+0.53976823)*X99,
IF(W99="B",((-0.00000023)*I99^4+0.00003846*I99^3-0.00262028*I99^2+0.27495836*I99+0.14075609)*X99,
(-0.00000001*I99^4-0.00001462*I99^3+0.00247677*I99^2+0.38073934*I99-0.24312323)*X99)),1)</f>
        <v>24.8</v>
      </c>
      <c r="W99" t="str">
        <f>VLOOKUP(H99,簡易仕様書!$D$30:$J$61,5,FALSE)</f>
        <v>B</v>
      </c>
      <c r="X99">
        <f>VLOOKUP(H99,簡易仕様書!$D$30:$J$61,6,FALSE)</f>
        <v>13.2</v>
      </c>
      <c r="Y99" t="str">
        <f>VLOOKUP(H99,簡易仕様書!$D$30:$M$61,10,FALSE)</f>
        <v>Tc-99m</v>
      </c>
      <c r="Z99" t="str">
        <f>IF(H99="IMP",IF(ROUND(I99*20,0)&gt;=1000,1000,ROUND(I99*20,0)),IF(H99="ECD",IF(ROUND(I99*20,0)&gt;=1000,1000,ROUND(I99*20,0)),IF(H99="MAG3",IF(ROUND(I99/10,1)&gt;=2,2,ROUND(I99/10,1)),"")))</f>
        <v/>
      </c>
      <c r="AA99" t="str">
        <f t="shared" si="58"/>
        <v/>
      </c>
      <c r="AB99" t="str">
        <f>VLOOKUP(H99,簡易仕様書!$D$30:$F$61,3,FALSE)</f>
        <v>maa</v>
      </c>
      <c r="AC99" t="str">
        <f>INDEX(簡易仕様書!$A$30:$A$61,MATCH(H99,簡易仕様書!$D$30:$D$61,0))</f>
        <v>MAA</v>
      </c>
    </row>
    <row r="100" spans="1:29">
      <c r="A100" s="14">
        <v>97</v>
      </c>
      <c r="B100" s="44"/>
      <c r="C100" s="46"/>
      <c r="D100" s="40"/>
      <c r="E100" s="40"/>
      <c r="F100" s="14" t="s">
        <v>267</v>
      </c>
      <c r="G100" s="14" t="s">
        <v>269</v>
      </c>
      <c r="H100" s="14" t="s">
        <v>93</v>
      </c>
      <c r="I100" s="14">
        <f t="shared" ref="I100" si="80">I99+0.1</f>
        <v>6.8</v>
      </c>
      <c r="J100" s="11" t="str">
        <f>("薬剤に")&amp;H100&amp;("を選択、体重に")&amp;I100&amp;("と入力して計算ボタンを押す")</f>
        <v>薬剤にMAAを選択、体重に6.8と入力して計算ボタンを押す</v>
      </c>
      <c r="K100" s="11" t="str">
        <f>("体重:")&amp;I100&amp;("kg、薬剤名:")&amp;Y100&amp;INDEX(簡易仕様書!$A$30:$A$61,MATCH(H100,簡易仕様書!$D$30:$D$61,0))&amp;("、投与量:")&amp;U100&amp;("MBqと表示されること")</f>
        <v>体重:6.8kg、薬剤名:Tc-99mMAA、投与量:25.1MBqと表示されること</v>
      </c>
      <c r="L100" s="14" t="s">
        <v>337</v>
      </c>
      <c r="M100" s="14" t="s">
        <v>369</v>
      </c>
      <c r="N100" s="26">
        <v>45714.305613425924</v>
      </c>
      <c r="O100" s="11"/>
      <c r="P100" s="11"/>
      <c r="Q100" s="11"/>
      <c r="R100" s="11"/>
      <c r="U100">
        <f>IF(VLOOKUP(H100,簡易仕様書!$D$30:$J$61,7,FALSE)&gt;V100,VLOOKUP(H100,簡易仕様書!$D$30:$J$61,7,FALSE),V100)</f>
        <v>25.1</v>
      </c>
      <c r="V100">
        <f t="shared" si="64"/>
        <v>25.1</v>
      </c>
      <c r="W100" t="str">
        <f>VLOOKUP(H100,簡易仕様書!$D$30:$J$61,5,FALSE)</f>
        <v>B</v>
      </c>
      <c r="X100">
        <f>VLOOKUP(H100,簡易仕様書!$D$30:$J$61,6,FALSE)</f>
        <v>13.2</v>
      </c>
      <c r="Y100" t="str">
        <f>VLOOKUP(H100,簡易仕様書!$D$30:$M$61,10,FALSE)</f>
        <v>Tc-99m</v>
      </c>
      <c r="Z100" t="str">
        <f t="shared" ref="Z100:Z111" si="81">IF(H100="IMP",IF(ROUND(I100*20,0)&gt;=1000,1000,ROUND(I100*20,0)),IF(H100="ECD",IF(ROUND(I100*20,0)&gt;=1000,1000,ROUND(I100*20,0)),IF(H100="MAG3",IF(ROUND(I100/10,1)&gt;=2,2,ROUND(I100/10,1)),"")))</f>
        <v/>
      </c>
      <c r="AA100" t="str">
        <f>IF(H100="IMP","負荷薬剤ダイアモックス（ACZ）",IF(H100="ECD","負荷薬剤ダイアモックス（ACZ）",IF(H100="MAG3","負荷薬剤フロセミド（ラシックス）","")))</f>
        <v/>
      </c>
      <c r="AB100" t="str">
        <f>VLOOKUP(H100,簡易仕様書!$D$30:$F$61,3,FALSE)</f>
        <v>maa</v>
      </c>
      <c r="AC100" t="str">
        <f>INDEX(簡易仕様書!$A$30:$A$61,MATCH(H100,簡易仕様書!$D$30:$D$61,0))</f>
        <v>MAA</v>
      </c>
    </row>
    <row r="101" spans="1:29">
      <c r="A101" s="14">
        <v>98</v>
      </c>
      <c r="B101" s="44"/>
      <c r="C101" s="46"/>
      <c r="D101" s="40"/>
      <c r="E101" s="40"/>
      <c r="F101" s="14" t="s">
        <v>267</v>
      </c>
      <c r="G101" s="14" t="s">
        <v>269</v>
      </c>
      <c r="H101" s="14" t="s">
        <v>93</v>
      </c>
      <c r="I101" s="14">
        <v>0.1</v>
      </c>
      <c r="J101" s="11" t="str">
        <f t="shared" si="0"/>
        <v>薬剤にMAAを選択、体重に0.1と入力して計算ボタンを押す</v>
      </c>
      <c r="K101" s="11" t="str">
        <f>("体重:")&amp;I101&amp;("kg、薬剤名:")&amp;Y101&amp;INDEX(簡易仕様書!$A$30:$A$61,MATCH(H101,簡易仕様書!$D$30:$D$61,0))&amp;("、投与量:")&amp;U101&amp;("MBqと表示されること")</f>
        <v>体重:0.1kg、薬剤名:Tc-99mMAA、投与量:25MBqと表示されること</v>
      </c>
      <c r="L101" s="14" t="s">
        <v>337</v>
      </c>
      <c r="M101" s="14" t="s">
        <v>369</v>
      </c>
      <c r="N101" s="26">
        <v>45714.305636574078</v>
      </c>
      <c r="O101" s="11"/>
      <c r="P101" s="11"/>
      <c r="Q101" s="11"/>
      <c r="R101" s="11"/>
      <c r="U101">
        <f>IF(VLOOKUP(H101,簡易仕様書!$D$30:$J$61,7,FALSE)&gt;V101,VLOOKUP(H101,簡易仕様書!$D$30:$J$61,7,FALSE),V101)</f>
        <v>25</v>
      </c>
      <c r="V101">
        <f t="shared" si="64"/>
        <v>2.2000000000000002</v>
      </c>
      <c r="W101" t="str">
        <f>VLOOKUP(H101,簡易仕様書!$D$30:$J$61,5,FALSE)</f>
        <v>B</v>
      </c>
      <c r="X101">
        <f>VLOOKUP(H101,簡易仕様書!$D$30:$J$61,6,FALSE)</f>
        <v>13.2</v>
      </c>
      <c r="Y101" t="str">
        <f>VLOOKUP(H101,簡易仕様書!$D$30:$M$61,10,FALSE)</f>
        <v>Tc-99m</v>
      </c>
      <c r="Z101" t="str">
        <f t="shared" si="81"/>
        <v/>
      </c>
      <c r="AA101" t="str">
        <f t="shared" ref="AA101:AA117" si="82">IF(H101="IMP","負荷薬剤ダイアモックス（ACZ）",IF(H101="ECD","負荷薬剤ダイアモックス（ACZ）",IF(H101="MAG3","負荷薬剤フロセミド（ラシックス）","")))</f>
        <v/>
      </c>
      <c r="AB101" t="str">
        <f>VLOOKUP(H101,簡易仕様書!$D$30:$F$61,3,FALSE)</f>
        <v>maa</v>
      </c>
      <c r="AC101" t="str">
        <f>INDEX(簡易仕様書!$A$30:$A$61,MATCH(H101,簡易仕様書!$D$30:$D$61,0))</f>
        <v>MAA</v>
      </c>
    </row>
    <row r="102" spans="1:29">
      <c r="A102" s="14">
        <v>99</v>
      </c>
      <c r="B102" s="44"/>
      <c r="C102" s="46"/>
      <c r="D102" s="40"/>
      <c r="E102" s="40"/>
      <c r="F102" s="14" t="s">
        <v>267</v>
      </c>
      <c r="G102" s="14" t="s">
        <v>269</v>
      </c>
      <c r="H102" s="14" t="s">
        <v>93</v>
      </c>
      <c r="I102" s="14">
        <v>70</v>
      </c>
      <c r="J102" s="11" t="str">
        <f t="shared" ref="J102" si="83">("薬剤に")&amp;H102&amp;("を選択、体重に")&amp;I102&amp;("と入力して計算ボタンを押す")</f>
        <v>薬剤にMAAを選択、体重に70と入力して計算ボタンを押す</v>
      </c>
      <c r="K102" s="11" t="str">
        <f>("体重:")&amp;I102&amp;("kg、薬剤名:")&amp;Y102&amp;INDEX(簡易仕様書!$A$30:$A$61,MATCH(H102,簡易仕様書!$D$30:$D$61,0))&amp;("、投与量:")&amp;U102&amp;("MBqと表示されること")</f>
        <v>体重:70kg、薬剤名:Tc-99mMAA、投与量:187.7MBqと表示されること</v>
      </c>
      <c r="L102" s="14" t="s">
        <v>337</v>
      </c>
      <c r="M102" s="14" t="s">
        <v>369</v>
      </c>
      <c r="N102" s="26">
        <v>45714.305659722224</v>
      </c>
      <c r="O102" s="11"/>
      <c r="P102" s="11"/>
      <c r="Q102" s="11"/>
      <c r="R102" s="11"/>
      <c r="U102">
        <f>IF(VLOOKUP(H102,簡易仕様書!$D$30:$J$61,7,FALSE)&gt;V102,VLOOKUP(H102,簡易仕様書!$D$30:$J$61,7,FALSE),V102)</f>
        <v>187.7</v>
      </c>
      <c r="V102">
        <f t="shared" ref="V102" si="84">ROUND(IF(W102="A",((-0.00000028)*I102^4+0.00004915*I102^3+(-0.00337375)*I102^2+0.1677306*I102+0.53976823)*X102,
IF(W102="B",((-0.00000023)*I102^4+0.00003846*I102^3-0.00262028*I102^2+0.27495836*I102+0.14075609)*X102,
(-0.00000001*I102^4-0.00001462*I102^3+0.00247677*I102^2+0.38073934*I102-0.24312323)*X102)),1)</f>
        <v>187.7</v>
      </c>
      <c r="W102" t="str">
        <f>VLOOKUP(H102,簡易仕様書!$D$30:$J$61,5,FALSE)</f>
        <v>B</v>
      </c>
      <c r="X102">
        <f>VLOOKUP(H102,簡易仕様書!$D$30:$J$61,6,FALSE)</f>
        <v>13.2</v>
      </c>
      <c r="Y102" t="str">
        <f>VLOOKUP(H102,簡易仕様書!$D$30:$M$61,10,FALSE)</f>
        <v>Tc-99m</v>
      </c>
      <c r="Z102" t="str">
        <f t="shared" si="81"/>
        <v/>
      </c>
      <c r="AA102" t="str">
        <f t="shared" si="82"/>
        <v/>
      </c>
      <c r="AB102" t="str">
        <f>VLOOKUP(H102,簡易仕様書!$D$30:$F$61,3,FALSE)</f>
        <v>maa</v>
      </c>
      <c r="AC102" t="str">
        <f>INDEX(簡易仕様書!$A$30:$A$61,MATCH(H102,簡易仕様書!$D$30:$D$61,0))</f>
        <v>MAA</v>
      </c>
    </row>
    <row r="103" spans="1:29">
      <c r="A103" s="14">
        <v>100</v>
      </c>
      <c r="B103" s="44"/>
      <c r="C103" s="46"/>
      <c r="D103" s="40"/>
      <c r="E103" s="40"/>
      <c r="F103" s="14" t="s">
        <v>267</v>
      </c>
      <c r="G103" s="14" t="s">
        <v>269</v>
      </c>
      <c r="H103" s="14" t="s">
        <v>194</v>
      </c>
      <c r="I103" s="14">
        <f>IF((ROUND(VLOOKUP(H103,簡易仕様書!$D$30:$L$61,8,FALSE),1))&gt;VLOOKUP(H103,簡易仕様書!$D$30:$L$61,7,FALSE),
VLOOKUP(H103,簡易仕様書!$D$30:$L$61,9,FALSE)-0.1,VLOOKUP(H103,簡易仕様書!$D$30:$L$61,9,FALSE))</f>
        <v>6.3</v>
      </c>
      <c r="J103" s="11" t="str">
        <f t="shared" ref="J103:J124" si="85">("薬剤に")&amp;H103&amp;("を選択、体重に")&amp;I103&amp;("と入力して計算ボタンを押す")</f>
        <v>薬剤にTcO4-(甲状腺)を選択、体重に6.3と入力して計算ボタンを押す</v>
      </c>
      <c r="K103" s="11" t="str">
        <f>("体重:")&amp;I103&amp;("kg、薬剤名:")&amp;Y103&amp;INDEX(簡易仕様書!$A$30:$A$61,MATCH(H103,簡易仕様書!$D$30:$D$61,0))&amp;("、投与量:")&amp;U103&amp;("MBqと表示されること")</f>
        <v>体重:6.3kg、薬剤名:Tc-99m過テクネチウム酸（甲状腺）、投与量:10MBqと表示されること</v>
      </c>
      <c r="L103" s="14" t="s">
        <v>337</v>
      </c>
      <c r="M103" s="14" t="s">
        <v>369</v>
      </c>
      <c r="N103" s="26">
        <v>45714.30568287037</v>
      </c>
      <c r="O103" s="11"/>
      <c r="P103" s="11"/>
      <c r="Q103" s="11"/>
      <c r="R103" s="11"/>
      <c r="U103">
        <f>IF(VLOOKUP(H103,簡易仕様書!$D$30:$J$61,7,FALSE)&gt;V103,VLOOKUP(H103,簡易仕様書!$D$30:$J$61,7,FALSE),V103)</f>
        <v>10</v>
      </c>
      <c r="V103">
        <f t="shared" si="64"/>
        <v>10</v>
      </c>
      <c r="W103" t="str">
        <f>VLOOKUP(H103,簡易仕様書!$D$30:$J$61,5,FALSE)</f>
        <v>B</v>
      </c>
      <c r="X103">
        <f>VLOOKUP(H103,簡易仕様書!$D$30:$J$61,6,FALSE)</f>
        <v>5.6</v>
      </c>
      <c r="Y103" t="str">
        <f>VLOOKUP(H103,簡易仕様書!$D$30:$M$61,10,FALSE)</f>
        <v>Tc-99m</v>
      </c>
      <c r="Z103" t="str">
        <f t="shared" si="81"/>
        <v/>
      </c>
      <c r="AA103" t="str">
        <f t="shared" si="82"/>
        <v/>
      </c>
      <c r="AB103" t="str">
        <f>VLOOKUP(H103,簡易仕様書!$D$30:$F$61,3,FALSE)</f>
        <v>tct</v>
      </c>
      <c r="AC103" t="str">
        <f>INDEX(簡易仕様書!$A$30:$A$61,MATCH(H103,簡易仕様書!$D$30:$D$61,0))</f>
        <v>過テクネチウム酸（甲状腺）</v>
      </c>
    </row>
    <row r="104" spans="1:29">
      <c r="A104" s="14">
        <v>101</v>
      </c>
      <c r="B104" s="44"/>
      <c r="C104" s="46"/>
      <c r="D104" s="40"/>
      <c r="E104" s="40"/>
      <c r="F104" s="14" t="s">
        <v>267</v>
      </c>
      <c r="G104" s="14" t="s">
        <v>269</v>
      </c>
      <c r="H104" s="14" t="s">
        <v>194</v>
      </c>
      <c r="I104" s="14">
        <f t="shared" ref="I104" si="86">I103+0.1</f>
        <v>6.3999999999999995</v>
      </c>
      <c r="J104" s="11" t="str">
        <f t="shared" si="85"/>
        <v>薬剤にTcO4-(甲状腺)を選択、体重に6.4と入力して計算ボタンを押す</v>
      </c>
      <c r="K104" s="11" t="str">
        <f>("体重:")&amp;I104&amp;("kg、薬剤名:")&amp;Y104&amp;INDEX(簡易仕様書!$A$30:$A$61,MATCH(H104,簡易仕様書!$D$30:$D$61,0))&amp;("、投与量:")&amp;U104&amp;("MBqと表示されること")</f>
        <v>体重:6.4kg、薬剤名:Tc-99m過テクネチウム酸（甲状腺）、投与量:10.1MBqと表示されること</v>
      </c>
      <c r="L104" s="14" t="s">
        <v>337</v>
      </c>
      <c r="M104" s="14" t="s">
        <v>369</v>
      </c>
      <c r="N104" s="26">
        <v>45714.305706018517</v>
      </c>
      <c r="O104" s="11"/>
      <c r="P104" s="11"/>
      <c r="Q104" s="11"/>
      <c r="R104" s="11"/>
      <c r="U104">
        <f>IF(VLOOKUP(H104,簡易仕様書!$D$30:$J$61,7,FALSE)&gt;V104,VLOOKUP(H104,簡易仕様書!$D$30:$J$61,7,FALSE),V104)</f>
        <v>10.1</v>
      </c>
      <c r="V104">
        <f>ROUND(IF(W104="A",((-0.00000028)*I104^4+0.00004915*I104^3+(-0.00337375)*I104^2+0.1677306*I104+0.53976823)*X104,
IF(W104="B",((-0.00000023)*I104^4+0.00003846*I104^3-0.00262028*I104^2+0.27495836*I104+0.14075609)*X104,
(-0.00000001*I104^4-0.00001462*I104^3+0.00247677*I104^2+0.38073934*I104-0.24312323)*X104)),1)</f>
        <v>10.1</v>
      </c>
      <c r="W104" t="str">
        <f>VLOOKUP(H104,簡易仕様書!$D$30:$J$61,5,FALSE)</f>
        <v>B</v>
      </c>
      <c r="X104">
        <f>VLOOKUP(H104,簡易仕様書!$D$30:$J$61,6,FALSE)</f>
        <v>5.6</v>
      </c>
      <c r="Y104" t="str">
        <f>VLOOKUP(H104,簡易仕様書!$D$30:$M$61,10,FALSE)</f>
        <v>Tc-99m</v>
      </c>
      <c r="Z104" t="str">
        <f t="shared" si="81"/>
        <v/>
      </c>
      <c r="AA104" t="str">
        <f t="shared" si="82"/>
        <v/>
      </c>
      <c r="AB104" t="str">
        <f>VLOOKUP(H104,簡易仕様書!$D$30:$F$61,3,FALSE)</f>
        <v>tct</v>
      </c>
      <c r="AC104" t="str">
        <f>INDEX(簡易仕様書!$A$30:$A$61,MATCH(H104,簡易仕様書!$D$30:$D$61,0))</f>
        <v>過テクネチウム酸（甲状腺）</v>
      </c>
    </row>
    <row r="105" spans="1:29">
      <c r="A105" s="14">
        <v>102</v>
      </c>
      <c r="B105" s="44"/>
      <c r="C105" s="46"/>
      <c r="D105" s="40"/>
      <c r="E105" s="40"/>
      <c r="F105" s="14" t="s">
        <v>267</v>
      </c>
      <c r="G105" s="14" t="s">
        <v>269</v>
      </c>
      <c r="H105" s="14" t="s">
        <v>194</v>
      </c>
      <c r="I105" s="14">
        <v>0.1</v>
      </c>
      <c r="J105" s="11" t="str">
        <f t="shared" si="85"/>
        <v>薬剤にTcO4-(甲状腺)を選択、体重に0.1と入力して計算ボタンを押す</v>
      </c>
      <c r="K105" s="11" t="str">
        <f>("体重:")&amp;I105&amp;("kg、薬剤名:")&amp;Y105&amp;INDEX(簡易仕様書!$A$30:$A$61,MATCH(H105,簡易仕様書!$D$30:$D$61,0))&amp;("、投与量:")&amp;U105&amp;("MBqと表示されること")</f>
        <v>体重:0.1kg、薬剤名:Tc-99m過テクネチウム酸（甲状腺）、投与量:10MBqと表示されること</v>
      </c>
      <c r="L105" s="14" t="s">
        <v>337</v>
      </c>
      <c r="M105" s="14" t="s">
        <v>369</v>
      </c>
      <c r="N105" s="26">
        <v>45714.30572916667</v>
      </c>
      <c r="O105" s="11"/>
      <c r="P105" s="11"/>
      <c r="Q105" s="11"/>
      <c r="R105" s="11"/>
      <c r="U105">
        <f>IF(VLOOKUP(H105,簡易仕様書!$D$30:$J$61,7,FALSE)&gt;V105,VLOOKUP(H105,簡易仕様書!$D$30:$J$61,7,FALSE),V105)</f>
        <v>10</v>
      </c>
      <c r="V105">
        <f t="shared" ref="V105:V124" si="87">ROUND(IF(W105="A",((-0.00000028)*I105^4+0.00004915*I105^3+(-0.00337375)*I105^2+0.1677306*I105+0.53976823)*X105,
IF(W105="B",((-0.00000023)*I105^4+0.00003846*I105^3-0.00262028*I105^2+0.27495836*I105+0.14075609)*X105,
(-0.00000001*I105^4-0.00001462*I105^3+0.00247677*I105^2+0.38073934*I105-0.24312323)*X105)),1)</f>
        <v>0.9</v>
      </c>
      <c r="W105" t="str">
        <f>VLOOKUP(H105,簡易仕様書!$D$30:$J$61,5,FALSE)</f>
        <v>B</v>
      </c>
      <c r="X105">
        <f>VLOOKUP(H105,簡易仕様書!$D$30:$J$61,6,FALSE)</f>
        <v>5.6</v>
      </c>
      <c r="Y105" t="str">
        <f>VLOOKUP(H105,簡易仕様書!$D$30:$M$61,10,FALSE)</f>
        <v>Tc-99m</v>
      </c>
      <c r="Z105" t="str">
        <f t="shared" si="81"/>
        <v/>
      </c>
      <c r="AA105" t="str">
        <f t="shared" si="82"/>
        <v/>
      </c>
      <c r="AB105" t="str">
        <f>VLOOKUP(H105,簡易仕様書!$D$30:$F$61,3,FALSE)</f>
        <v>tct</v>
      </c>
      <c r="AC105" t="str">
        <f>INDEX(簡易仕様書!$A$30:$A$61,MATCH(H105,簡易仕様書!$D$30:$D$61,0))</f>
        <v>過テクネチウム酸（甲状腺）</v>
      </c>
    </row>
    <row r="106" spans="1:29">
      <c r="A106" s="14">
        <v>103</v>
      </c>
      <c r="B106" s="44"/>
      <c r="C106" s="46"/>
      <c r="D106" s="40"/>
      <c r="E106" s="40"/>
      <c r="F106" s="14" t="s">
        <v>267</v>
      </c>
      <c r="G106" s="14" t="s">
        <v>269</v>
      </c>
      <c r="H106" s="14" t="s">
        <v>194</v>
      </c>
      <c r="I106" s="14">
        <v>70</v>
      </c>
      <c r="J106" s="11" t="str">
        <f t="shared" ref="J106" si="88">("薬剤に")&amp;H106&amp;("を選択、体重に")&amp;I106&amp;("と入力して計算ボタンを押す")</f>
        <v>薬剤にTcO4-(甲状腺)を選択、体重に70と入力して計算ボタンを押す</v>
      </c>
      <c r="K106" s="11" t="str">
        <f>("体重:")&amp;I106&amp;("kg、薬剤名:")&amp;Y106&amp;INDEX(簡易仕様書!$A$30:$A$61,MATCH(H106,簡易仕様書!$D$30:$D$61,0))&amp;("、投与量:")&amp;U106&amp;("MBqと表示されること")</f>
        <v>体重:70kg、薬剤名:Tc-99m過テクネチウム酸（甲状腺）、投与量:79.6MBqと表示されること</v>
      </c>
      <c r="L106" s="14" t="s">
        <v>337</v>
      </c>
      <c r="M106" s="14" t="s">
        <v>369</v>
      </c>
      <c r="N106" s="26">
        <v>45714.305752314816</v>
      </c>
      <c r="O106" s="11"/>
      <c r="P106" s="11"/>
      <c r="Q106" s="11"/>
      <c r="R106" s="11"/>
      <c r="U106">
        <f>IF(VLOOKUP(H106,簡易仕様書!$D$30:$J$61,7,FALSE)&gt;V106,VLOOKUP(H106,簡易仕様書!$D$30:$J$61,7,FALSE),V106)</f>
        <v>79.599999999999994</v>
      </c>
      <c r="V106">
        <f t="shared" ref="V106" si="89">ROUND(IF(W106="A",((-0.00000028)*I106^4+0.00004915*I106^3+(-0.00337375)*I106^2+0.1677306*I106+0.53976823)*X106,
IF(W106="B",((-0.00000023)*I106^4+0.00003846*I106^3-0.00262028*I106^2+0.27495836*I106+0.14075609)*X106,
(-0.00000001*I106^4-0.00001462*I106^3+0.00247677*I106^2+0.38073934*I106-0.24312323)*X106)),1)</f>
        <v>79.599999999999994</v>
      </c>
      <c r="W106" t="str">
        <f>VLOOKUP(H106,簡易仕様書!$D$30:$J$61,5,FALSE)</f>
        <v>B</v>
      </c>
      <c r="X106">
        <f>VLOOKUP(H106,簡易仕様書!$D$30:$J$61,6,FALSE)</f>
        <v>5.6</v>
      </c>
      <c r="Y106" t="str">
        <f>VLOOKUP(H106,簡易仕様書!$D$30:$M$61,10,FALSE)</f>
        <v>Tc-99m</v>
      </c>
      <c r="Z106" t="str">
        <f t="shared" si="81"/>
        <v/>
      </c>
      <c r="AA106" t="str">
        <f t="shared" si="82"/>
        <v/>
      </c>
      <c r="AB106" t="str">
        <f>VLOOKUP(H106,簡易仕様書!$D$30:$F$61,3,FALSE)</f>
        <v>tct</v>
      </c>
      <c r="AC106" t="str">
        <f>INDEX(簡易仕様書!$A$30:$A$61,MATCH(H106,簡易仕様書!$D$30:$D$61,0))</f>
        <v>過テクネチウム酸（甲状腺）</v>
      </c>
    </row>
    <row r="107" spans="1:29">
      <c r="A107" s="14">
        <v>104</v>
      </c>
      <c r="B107" s="44"/>
      <c r="C107" s="46"/>
      <c r="D107" s="40"/>
      <c r="E107" s="40"/>
      <c r="F107" s="14" t="s">
        <v>267</v>
      </c>
      <c r="G107" s="14" t="s">
        <v>269</v>
      </c>
      <c r="H107" s="14" t="s">
        <v>195</v>
      </c>
      <c r="I107" s="14">
        <f>IF((ROUND(VLOOKUP(H107,簡易仕様書!$D$30:$L$61,8,FALSE),1))&gt;VLOOKUP(H107,簡易仕様書!$D$30:$L$61,7,FALSE),
VLOOKUP(H107,簡易仕様書!$D$30:$L$61,9,FALSE)-0.1,VLOOKUP(H107,簡易仕様書!$D$30:$L$61,9,FALSE))</f>
        <v>6.8</v>
      </c>
      <c r="J107" s="11" t="str">
        <f t="shared" si="85"/>
        <v>薬剤にTcO4-(胃粘膜)を選択、体重に6.8と入力して計算ボタンを押す</v>
      </c>
      <c r="K107" s="11" t="str">
        <f>("体重:")&amp;I107&amp;("kg、薬剤名:")&amp;Y107&amp;INDEX(簡易仕様書!$A$30:$A$61,MATCH(H107,簡易仕様書!$D$30:$D$61,0))&amp;("、投与量:")&amp;U107&amp;("MBqと表示されること")</f>
        <v>体重:6.8kg、薬剤名:Tc-99m過テクネチウム酸（胃粘膜）、投与量:20MBqと表示されること</v>
      </c>
      <c r="L107" s="14" t="s">
        <v>337</v>
      </c>
      <c r="M107" s="14" t="s">
        <v>369</v>
      </c>
      <c r="N107" s="26">
        <v>45714.305775462963</v>
      </c>
      <c r="O107" s="11"/>
      <c r="P107" s="11"/>
      <c r="Q107" s="11"/>
      <c r="R107" s="11"/>
      <c r="U107">
        <f>IF(VLOOKUP(H107,簡易仕様書!$D$30:$J$61,7,FALSE)&gt;V107,VLOOKUP(H107,簡易仕様書!$D$30:$J$61,7,FALSE),V107)</f>
        <v>20</v>
      </c>
      <c r="V107">
        <f t="shared" si="87"/>
        <v>20</v>
      </c>
      <c r="W107" t="str">
        <f>VLOOKUP(H107,簡易仕様書!$D$30:$J$61,5,FALSE)</f>
        <v>B</v>
      </c>
      <c r="X107">
        <f>VLOOKUP(H107,簡易仕様書!$D$30:$J$61,6,FALSE)</f>
        <v>10.5</v>
      </c>
      <c r="Y107" t="str">
        <f>VLOOKUP(H107,簡易仕様書!$D$30:$M$61,10,FALSE)</f>
        <v>Tc-99m</v>
      </c>
      <c r="Z107" t="str">
        <f t="shared" si="81"/>
        <v/>
      </c>
      <c r="AA107" t="str">
        <f t="shared" si="82"/>
        <v/>
      </c>
      <c r="AB107" t="str">
        <f>VLOOKUP(H107,簡易仕様書!$D$30:$F$61,3,FALSE)</f>
        <v>tcg</v>
      </c>
      <c r="AC107" t="str">
        <f>INDEX(簡易仕様書!$A$30:$A$61,MATCH(H107,簡易仕様書!$D$30:$D$61,0))</f>
        <v>過テクネチウム酸（胃粘膜）</v>
      </c>
    </row>
    <row r="108" spans="1:29">
      <c r="A108" s="14">
        <v>105</v>
      </c>
      <c r="B108" s="44"/>
      <c r="C108" s="46"/>
      <c r="D108" s="40"/>
      <c r="E108" s="40"/>
      <c r="F108" s="14" t="s">
        <v>267</v>
      </c>
      <c r="G108" s="14" t="s">
        <v>269</v>
      </c>
      <c r="H108" s="14" t="s">
        <v>195</v>
      </c>
      <c r="I108" s="14">
        <f t="shared" si="44"/>
        <v>6.8999999999999995</v>
      </c>
      <c r="J108" s="11" t="str">
        <f t="shared" si="85"/>
        <v>薬剤にTcO4-(胃粘膜)を選択、体重に6.9と入力して計算ボタンを押す</v>
      </c>
      <c r="K108" s="11" t="str">
        <f>("体重:")&amp;I108&amp;("kg、薬剤名:")&amp;Y108&amp;INDEX(簡易仕様書!$A$30:$A$61,MATCH(H108,簡易仕様書!$D$30:$D$61,0))&amp;("、投与量:")&amp;U108&amp;("MBqと表示されること")</f>
        <v>体重:6.9kg、薬剤名:Tc-99m過テクネチウム酸（胃粘膜）、投与量:20.2MBqと表示されること</v>
      </c>
      <c r="L108" s="14" t="s">
        <v>337</v>
      </c>
      <c r="M108" s="14" t="s">
        <v>369</v>
      </c>
      <c r="N108" s="26">
        <v>45714.305798611109</v>
      </c>
      <c r="O108" s="11"/>
      <c r="P108" s="11"/>
      <c r="Q108" s="11"/>
      <c r="R108" s="11"/>
      <c r="U108">
        <f>IF(VLOOKUP(H108,簡易仕様書!$D$30:$J$61,7,FALSE)&gt;V108,VLOOKUP(H108,簡易仕様書!$D$30:$J$61,7,FALSE),V108)</f>
        <v>20.2</v>
      </c>
      <c r="V108">
        <f t="shared" si="87"/>
        <v>20.2</v>
      </c>
      <c r="W108" t="str">
        <f>VLOOKUP(H108,簡易仕様書!$D$30:$J$61,5,FALSE)</f>
        <v>B</v>
      </c>
      <c r="X108">
        <f>VLOOKUP(H108,簡易仕様書!$D$30:$J$61,6,FALSE)</f>
        <v>10.5</v>
      </c>
      <c r="Y108" t="str">
        <f>VLOOKUP(H108,簡易仕様書!$D$30:$M$61,10,FALSE)</f>
        <v>Tc-99m</v>
      </c>
      <c r="Z108" t="str">
        <f t="shared" si="81"/>
        <v/>
      </c>
      <c r="AA108" t="str">
        <f t="shared" si="82"/>
        <v/>
      </c>
      <c r="AB108" t="str">
        <f>VLOOKUP(H108,簡易仕様書!$D$30:$F$61,3,FALSE)</f>
        <v>tcg</v>
      </c>
      <c r="AC108" t="str">
        <f>INDEX(簡易仕様書!$A$30:$A$61,MATCH(H108,簡易仕様書!$D$30:$D$61,0))</f>
        <v>過テクネチウム酸（胃粘膜）</v>
      </c>
    </row>
    <row r="109" spans="1:29">
      <c r="A109" s="14">
        <v>106</v>
      </c>
      <c r="B109" s="44"/>
      <c r="C109" s="46"/>
      <c r="D109" s="40"/>
      <c r="E109" s="40"/>
      <c r="F109" s="14" t="s">
        <v>267</v>
      </c>
      <c r="G109" s="14" t="s">
        <v>269</v>
      </c>
      <c r="H109" s="14" t="s">
        <v>195</v>
      </c>
      <c r="I109" s="14">
        <v>0.1</v>
      </c>
      <c r="J109" s="11" t="str">
        <f t="shared" si="85"/>
        <v>薬剤にTcO4-(胃粘膜)を選択、体重に0.1と入力して計算ボタンを押す</v>
      </c>
      <c r="K109" s="11" t="str">
        <f>("体重:")&amp;I109&amp;("kg、薬剤名:")&amp;Y109&amp;INDEX(簡易仕様書!$A$30:$A$61,MATCH(H109,簡易仕様書!$D$30:$D$61,0))&amp;("、投与量:")&amp;U109&amp;("MBqと表示されること")</f>
        <v>体重:0.1kg、薬剤名:Tc-99m過テクネチウム酸（胃粘膜）、投与量:20MBqと表示されること</v>
      </c>
      <c r="L109" s="14" t="s">
        <v>337</v>
      </c>
      <c r="M109" s="14" t="s">
        <v>369</v>
      </c>
      <c r="N109" s="26">
        <v>45714.305821759262</v>
      </c>
      <c r="O109" s="11"/>
      <c r="P109" s="11"/>
      <c r="Q109" s="11"/>
      <c r="R109" s="11"/>
      <c r="U109">
        <f>IF(VLOOKUP(H109,簡易仕様書!$D$30:$J$61,7,FALSE)&gt;V109,VLOOKUP(H109,簡易仕様書!$D$30:$J$61,7,FALSE),V109)</f>
        <v>20</v>
      </c>
      <c r="V109">
        <f t="shared" si="87"/>
        <v>1.8</v>
      </c>
      <c r="W109" t="str">
        <f>VLOOKUP(H109,簡易仕様書!$D$30:$J$61,5,FALSE)</f>
        <v>B</v>
      </c>
      <c r="X109">
        <f>VLOOKUP(H109,簡易仕様書!$D$30:$J$61,6,FALSE)</f>
        <v>10.5</v>
      </c>
      <c r="Y109" t="str">
        <f>VLOOKUP(H109,簡易仕様書!$D$30:$M$61,10,FALSE)</f>
        <v>Tc-99m</v>
      </c>
      <c r="Z109" t="str">
        <f t="shared" si="81"/>
        <v/>
      </c>
      <c r="AA109" t="str">
        <f t="shared" si="82"/>
        <v/>
      </c>
      <c r="AB109" t="str">
        <f>VLOOKUP(H109,簡易仕様書!$D$30:$F$61,3,FALSE)</f>
        <v>tcg</v>
      </c>
      <c r="AC109" t="str">
        <f>INDEX(簡易仕様書!$A$30:$A$61,MATCH(H109,簡易仕様書!$D$30:$D$61,0))</f>
        <v>過テクネチウム酸（胃粘膜）</v>
      </c>
    </row>
    <row r="110" spans="1:29">
      <c r="A110" s="14">
        <v>107</v>
      </c>
      <c r="B110" s="44"/>
      <c r="C110" s="46"/>
      <c r="D110" s="40"/>
      <c r="E110" s="40"/>
      <c r="F110" s="14" t="s">
        <v>267</v>
      </c>
      <c r="G110" s="14" t="s">
        <v>269</v>
      </c>
      <c r="H110" s="14" t="s">
        <v>195</v>
      </c>
      <c r="I110" s="14">
        <v>70</v>
      </c>
      <c r="J110" s="11" t="str">
        <f t="shared" ref="J110" si="90">("薬剤に")&amp;H110&amp;("を選択、体重に")&amp;I110&amp;("と入力して計算ボタンを押す")</f>
        <v>薬剤にTcO4-(胃粘膜)を選択、体重に70と入力して計算ボタンを押す</v>
      </c>
      <c r="K110" s="11" t="str">
        <f>("体重:")&amp;I110&amp;("kg、薬剤名:")&amp;Y110&amp;INDEX(簡易仕様書!$A$30:$A$61,MATCH(H110,簡易仕様書!$D$30:$D$61,0))&amp;("、投与量:")&amp;U110&amp;("MBqと表示されること")</f>
        <v>体重:70kg、薬剤名:Tc-99m過テクネチウム酸（胃粘膜）、投与量:149.3MBqと表示されること</v>
      </c>
      <c r="L110" s="14" t="s">
        <v>337</v>
      </c>
      <c r="M110" s="14" t="s">
        <v>369</v>
      </c>
      <c r="N110" s="26">
        <v>45714.305833333332</v>
      </c>
      <c r="O110" s="11"/>
      <c r="P110" s="11"/>
      <c r="Q110" s="11"/>
      <c r="R110" s="11"/>
      <c r="U110">
        <f>IF(VLOOKUP(H110,簡易仕様書!$D$30:$J$61,7,FALSE)&gt;V110,VLOOKUP(H110,簡易仕様書!$D$30:$J$61,7,FALSE),V110)</f>
        <v>149.30000000000001</v>
      </c>
      <c r="V110">
        <f t="shared" ref="V110" si="91">ROUND(IF(W110="A",((-0.00000028)*I110^4+0.00004915*I110^3+(-0.00337375)*I110^2+0.1677306*I110+0.53976823)*X110,
IF(W110="B",((-0.00000023)*I110^4+0.00003846*I110^3-0.00262028*I110^2+0.27495836*I110+0.14075609)*X110,
(-0.00000001*I110^4-0.00001462*I110^3+0.00247677*I110^2+0.38073934*I110-0.24312323)*X110)),1)</f>
        <v>149.30000000000001</v>
      </c>
      <c r="W110" t="str">
        <f>VLOOKUP(H110,簡易仕様書!$D$30:$J$61,5,FALSE)</f>
        <v>B</v>
      </c>
      <c r="X110">
        <f>VLOOKUP(H110,簡易仕様書!$D$30:$J$61,6,FALSE)</f>
        <v>10.5</v>
      </c>
      <c r="Y110" t="str">
        <f>VLOOKUP(H110,簡易仕様書!$D$30:$M$61,10,FALSE)</f>
        <v>Tc-99m</v>
      </c>
      <c r="Z110" t="str">
        <f t="shared" si="81"/>
        <v/>
      </c>
      <c r="AA110" t="str">
        <f t="shared" si="82"/>
        <v/>
      </c>
      <c r="AB110" t="str">
        <f>VLOOKUP(H110,簡易仕様書!$D$30:$F$61,3,FALSE)</f>
        <v>tcg</v>
      </c>
      <c r="AC110" t="str">
        <f>INDEX(簡易仕様書!$A$30:$A$61,MATCH(H110,簡易仕様書!$D$30:$D$61,0))</f>
        <v>過テクネチウム酸（胃粘膜）</v>
      </c>
    </row>
    <row r="111" spans="1:29">
      <c r="A111" s="14">
        <v>108</v>
      </c>
      <c r="B111" s="44"/>
      <c r="C111" s="46"/>
      <c r="D111" s="40"/>
      <c r="E111" s="40"/>
      <c r="F111" s="14" t="s">
        <v>267</v>
      </c>
      <c r="G111" s="14" t="s">
        <v>269</v>
      </c>
      <c r="H111" s="14" t="s">
        <v>180</v>
      </c>
      <c r="I111" s="14">
        <f>IF((ROUND(VLOOKUP(H111,簡易仕様書!$D$30:$L$61,8,FALSE),1))&gt;VLOOKUP(H111,簡易仕様書!$D$30:$L$61,7,FALSE),
VLOOKUP(H111,簡易仕様書!$D$30:$L$61,9,FALSE)-0.1,VLOOKUP(H111,簡易仕様書!$D$30:$L$61,9,FALSE))</f>
        <v>4.8000000000000007</v>
      </c>
      <c r="J111" s="11" t="str">
        <f t="shared" si="85"/>
        <v>薬剤にRBCを選択、体重に4.8と入力して計算ボタンを押す</v>
      </c>
      <c r="K111" s="11" t="str">
        <f>("体重:")&amp;I111&amp;("kg、薬剤名:")&amp;Y111&amp;INDEX(簡易仕様書!$A$30:$A$61,MATCH(H111,簡易仕様書!$D$30:$D$61,0))&amp;("、投与量:")&amp;U111&amp;("MBqと表示されること")</f>
        <v>体重:4.8kg、薬剤名:Tc-99mRBC、投与量:80MBqと表示されること</v>
      </c>
      <c r="L111" s="14" t="s">
        <v>337</v>
      </c>
      <c r="M111" s="14" t="s">
        <v>369</v>
      </c>
      <c r="N111" s="26">
        <v>45714.305856481478</v>
      </c>
      <c r="O111" s="11"/>
      <c r="P111" s="11"/>
      <c r="Q111" s="11"/>
      <c r="R111" s="11"/>
      <c r="U111">
        <f>IF(VLOOKUP(H111,簡易仕様書!$D$30:$J$61,7,FALSE)&gt;V111,VLOOKUP(H111,簡易仕様書!$D$30:$J$61,7,FALSE),V111)</f>
        <v>80</v>
      </c>
      <c r="V111">
        <f t="shared" si="87"/>
        <v>78.599999999999994</v>
      </c>
      <c r="W111" t="str">
        <f>VLOOKUP(H111,簡易仕様書!$D$30:$J$61,5,FALSE)</f>
        <v>B</v>
      </c>
      <c r="X111">
        <f>VLOOKUP(H111,簡易仕様書!$D$30:$J$61,6,FALSE)</f>
        <v>56</v>
      </c>
      <c r="Y111" t="str">
        <f>VLOOKUP(H111,簡易仕様書!$D$30:$M$61,10,FALSE)</f>
        <v>Tc-99m</v>
      </c>
      <c r="Z111" t="str">
        <f t="shared" si="81"/>
        <v/>
      </c>
      <c r="AA111" t="str">
        <f t="shared" si="82"/>
        <v/>
      </c>
      <c r="AB111" t="str">
        <f>VLOOKUP(H111,簡易仕様書!$D$30:$F$61,3,FALSE)</f>
        <v>rbc</v>
      </c>
      <c r="AC111" t="str">
        <f>INDEX(簡易仕様書!$A$30:$A$61,MATCH(H111,簡易仕様書!$D$30:$D$61,0))</f>
        <v>RBC</v>
      </c>
    </row>
    <row r="112" spans="1:29">
      <c r="A112" s="14">
        <v>109</v>
      </c>
      <c r="B112" s="44"/>
      <c r="C112" s="46"/>
      <c r="D112" s="40"/>
      <c r="E112" s="40"/>
      <c r="F112" s="14" t="s">
        <v>267</v>
      </c>
      <c r="G112" s="14" t="s">
        <v>269</v>
      </c>
      <c r="H112" s="14" t="s">
        <v>180</v>
      </c>
      <c r="I112" s="14">
        <f t="shared" si="49"/>
        <v>4.9000000000000004</v>
      </c>
      <c r="J112" s="11" t="str">
        <f t="shared" si="85"/>
        <v>薬剤にRBCを選択、体重に4.9と入力して計算ボタンを押す</v>
      </c>
      <c r="K112" s="11" t="str">
        <f>("体重:")&amp;I112&amp;("kg、薬剤名:")&amp;Y112&amp;INDEX(簡易仕様書!$A$30:$A$61,MATCH(H112,簡易仕様書!$D$30:$D$61,0))&amp;("、投与量:")&amp;U112&amp;("MBqと表示されること")</f>
        <v>体重:4.9kg、薬剤名:Tc-99mRBC、投与量:80.1MBqと表示されること</v>
      </c>
      <c r="L112" s="14" t="s">
        <v>337</v>
      </c>
      <c r="M112" s="14" t="s">
        <v>369</v>
      </c>
      <c r="N112" s="26">
        <v>45714.305879629632</v>
      </c>
      <c r="O112" s="11"/>
      <c r="P112" s="11"/>
      <c r="Q112" s="11"/>
      <c r="R112" s="11"/>
      <c r="U112">
        <f>IF(VLOOKUP(H112,簡易仕様書!$D$30:$J$61,7,FALSE)&gt;V112,VLOOKUP(H112,簡易仕様書!$D$30:$J$61,7,FALSE),V112)</f>
        <v>80.099999999999994</v>
      </c>
      <c r="V112">
        <f t="shared" si="87"/>
        <v>80.099999999999994</v>
      </c>
      <c r="W112" t="str">
        <f>VLOOKUP(H112,簡易仕様書!$D$30:$J$61,5,FALSE)</f>
        <v>B</v>
      </c>
      <c r="X112">
        <f>VLOOKUP(H112,簡易仕様書!$D$30:$J$61,6,FALSE)</f>
        <v>56</v>
      </c>
      <c r="Y112" t="str">
        <f>VLOOKUP(H112,簡易仕様書!$D$30:$M$61,10,FALSE)</f>
        <v>Tc-99m</v>
      </c>
      <c r="Z112" t="str">
        <f>IF(H112="IMP",IF(ROUND(I112*20,0)&gt;=1000,1000,ROUND(I112*20,0)),IF(H112="ECD",IF(ROUND(I112*20,0)&gt;=1000,1000,ROUND(I112*20,0)),IF(H112="MAG3",IF(ROUND(I112/10,1)&gt;=2,2,ROUND(I112/10,1)),"")))</f>
        <v/>
      </c>
      <c r="AA112" t="str">
        <f t="shared" si="82"/>
        <v/>
      </c>
      <c r="AB112" t="str">
        <f>VLOOKUP(H112,簡易仕様書!$D$30:$F$61,3,FALSE)</f>
        <v>rbc</v>
      </c>
      <c r="AC112" t="str">
        <f>INDEX(簡易仕様書!$A$30:$A$61,MATCH(H112,簡易仕様書!$D$30:$D$61,0))</f>
        <v>RBC</v>
      </c>
    </row>
    <row r="113" spans="1:29">
      <c r="A113" s="14">
        <v>110</v>
      </c>
      <c r="B113" s="44"/>
      <c r="C113" s="46"/>
      <c r="D113" s="40"/>
      <c r="E113" s="40"/>
      <c r="F113" s="14" t="s">
        <v>267</v>
      </c>
      <c r="G113" s="14" t="s">
        <v>269</v>
      </c>
      <c r="H113" s="14" t="s">
        <v>180</v>
      </c>
      <c r="I113" s="14">
        <v>0.1</v>
      </c>
      <c r="J113" s="11" t="str">
        <f t="shared" si="85"/>
        <v>薬剤にRBCを選択、体重に0.1と入力して計算ボタンを押す</v>
      </c>
      <c r="K113" s="11" t="str">
        <f>("体重:")&amp;I113&amp;("kg、薬剤名:")&amp;Y113&amp;INDEX(簡易仕様書!$A$30:$A$61,MATCH(H113,簡易仕様書!$D$30:$D$61,0))&amp;("、投与量:")&amp;U113&amp;("MBqと表示されること")</f>
        <v>体重:0.1kg、薬剤名:Tc-99mRBC、投与量:80MBqと表示されること</v>
      </c>
      <c r="L113" s="14" t="s">
        <v>337</v>
      </c>
      <c r="M113" s="14" t="s">
        <v>369</v>
      </c>
      <c r="N113" s="26">
        <v>45714.305902777778</v>
      </c>
      <c r="O113" s="11"/>
      <c r="P113" s="11"/>
      <c r="Q113" s="11"/>
      <c r="R113" s="11"/>
      <c r="U113">
        <f>IF(VLOOKUP(H113,簡易仕様書!$D$30:$J$61,7,FALSE)&gt;V113,VLOOKUP(H113,簡易仕様書!$D$30:$J$61,7,FALSE),V113)</f>
        <v>80</v>
      </c>
      <c r="V113">
        <f t="shared" si="87"/>
        <v>9.4</v>
      </c>
      <c r="W113" t="str">
        <f>VLOOKUP(H113,簡易仕様書!$D$30:$J$61,5,FALSE)</f>
        <v>B</v>
      </c>
      <c r="X113">
        <f>VLOOKUP(H113,簡易仕様書!$D$30:$J$61,6,FALSE)</f>
        <v>56</v>
      </c>
      <c r="Y113" t="str">
        <f>VLOOKUP(H113,簡易仕様書!$D$30:$M$61,10,FALSE)</f>
        <v>Tc-99m</v>
      </c>
      <c r="Z113" t="str">
        <f t="shared" ref="Z113:Z126" si="92">IF(H113="IMP",IF(ROUND(I113*20,0)&gt;=1000,1000,ROUND(I113*20,0)),IF(H113="ECD",IF(ROUND(I113*20,0)&gt;=1000,1000,ROUND(I113*20,0)),IF(H113="MAG3",IF(ROUND(I113/10,1)&gt;=2,2,ROUND(I113/10,1)),"")))</f>
        <v/>
      </c>
      <c r="AA113" t="str">
        <f t="shared" si="82"/>
        <v/>
      </c>
      <c r="AB113" t="str">
        <f>VLOOKUP(H113,簡易仕様書!$D$30:$F$61,3,FALSE)</f>
        <v>rbc</v>
      </c>
      <c r="AC113" t="str">
        <f>INDEX(簡易仕様書!$A$30:$A$61,MATCH(H113,簡易仕様書!$D$30:$D$61,0))</f>
        <v>RBC</v>
      </c>
    </row>
    <row r="114" spans="1:29">
      <c r="A114" s="14">
        <v>111</v>
      </c>
      <c r="B114" s="44"/>
      <c r="C114" s="46"/>
      <c r="D114" s="40"/>
      <c r="E114" s="40"/>
      <c r="F114" s="14" t="s">
        <v>267</v>
      </c>
      <c r="G114" s="14" t="s">
        <v>269</v>
      </c>
      <c r="H114" s="14" t="s">
        <v>180</v>
      </c>
      <c r="I114" s="14">
        <v>70</v>
      </c>
      <c r="J114" s="11" t="str">
        <f t="shared" ref="J114" si="93">("薬剤に")&amp;H114&amp;("を選択、体重に")&amp;I114&amp;("と入力して計算ボタンを押す")</f>
        <v>薬剤にRBCを選択、体重に70と入力して計算ボタンを押す</v>
      </c>
      <c r="K114" s="11" t="str">
        <f>("体重:")&amp;I114&amp;("kg、薬剤名:")&amp;Y114&amp;INDEX(簡易仕様書!$A$30:$A$61,MATCH(H114,簡易仕様書!$D$30:$D$61,0))&amp;("、投与量:")&amp;U114&amp;("MBqと表示されること")</f>
        <v>体重:70kg、薬剤名:Tc-99mRBC、投与量:796.2MBqと表示されること</v>
      </c>
      <c r="L114" s="14" t="s">
        <v>337</v>
      </c>
      <c r="M114" s="14" t="s">
        <v>369</v>
      </c>
      <c r="N114" s="26">
        <v>45714.305925925924</v>
      </c>
      <c r="O114" s="11"/>
      <c r="P114" s="11"/>
      <c r="Q114" s="11"/>
      <c r="R114" s="11"/>
      <c r="U114">
        <f>IF(VLOOKUP(H114,簡易仕様書!$D$30:$J$61,7,FALSE)&gt;V114,VLOOKUP(H114,簡易仕様書!$D$30:$J$61,7,FALSE),V114)</f>
        <v>796.2</v>
      </c>
      <c r="V114">
        <f t="shared" ref="V114" si="94">ROUND(IF(W114="A",((-0.00000028)*I114^4+0.00004915*I114^3+(-0.00337375)*I114^2+0.1677306*I114+0.53976823)*X114,
IF(W114="B",((-0.00000023)*I114^4+0.00003846*I114^3-0.00262028*I114^2+0.27495836*I114+0.14075609)*X114,
(-0.00000001*I114^4-0.00001462*I114^3+0.00247677*I114^2+0.38073934*I114-0.24312323)*X114)),1)</f>
        <v>796.2</v>
      </c>
      <c r="W114" t="str">
        <f>VLOOKUP(H114,簡易仕様書!$D$30:$J$61,5,FALSE)</f>
        <v>B</v>
      </c>
      <c r="X114">
        <f>VLOOKUP(H114,簡易仕様書!$D$30:$J$61,6,FALSE)</f>
        <v>56</v>
      </c>
      <c r="Y114" t="str">
        <f>VLOOKUP(H114,簡易仕様書!$D$30:$M$61,10,FALSE)</f>
        <v>Tc-99m</v>
      </c>
      <c r="Z114" t="str">
        <f t="shared" si="92"/>
        <v/>
      </c>
      <c r="AA114" t="str">
        <f t="shared" si="82"/>
        <v/>
      </c>
      <c r="AB114" t="str">
        <f>VLOOKUP(H114,簡易仕様書!$D$30:$F$61,3,FALSE)</f>
        <v>rbc</v>
      </c>
      <c r="AC114" t="str">
        <f>INDEX(簡易仕様書!$A$30:$A$61,MATCH(H114,簡易仕様書!$D$30:$D$61,0))</f>
        <v>RBC</v>
      </c>
    </row>
    <row r="115" spans="1:29">
      <c r="A115" s="14">
        <v>112</v>
      </c>
      <c r="B115" s="44"/>
      <c r="C115" s="46"/>
      <c r="D115" s="40"/>
      <c r="E115" s="40"/>
      <c r="F115" s="14" t="s">
        <v>267</v>
      </c>
      <c r="G115" s="14" t="s">
        <v>269</v>
      </c>
      <c r="H115" s="14" t="s">
        <v>190</v>
      </c>
      <c r="I115" s="14">
        <f>IF((ROUND(VLOOKUP(H115,簡易仕様書!$D$30:$L$61,8,FALSE),1))&gt;VLOOKUP(H115,簡易仕様書!$D$30:$L$61,7,FALSE),
VLOOKUP(H115,簡易仕様書!$D$30:$L$61,9,FALSE)-0.1,VLOOKUP(H115,簡易仕様書!$D$30:$L$61,9,FALSE))</f>
        <v>4.2</v>
      </c>
      <c r="J115" s="11" t="str">
        <f t="shared" si="85"/>
        <v>薬剤にMIBI/TF（腫瘍）を選択、体重に4.2と入力して計算ボタンを押す</v>
      </c>
      <c r="K115" s="11" t="str">
        <f>("体重:")&amp;I115&amp;("kg、薬剤名:")&amp;Y115&amp;INDEX(簡易仕様書!$A$30:$A$61,MATCH(H115,簡易仕様書!$D$30:$D$61,0))&amp;("、投与量:")&amp;U115&amp;("MBqと表示されること")</f>
        <v>体重:4.2kg、薬剤名:Tc-99mMIBI/テトロホスミン（腫瘍）、投与量:80MBqと表示されること</v>
      </c>
      <c r="L115" s="14" t="s">
        <v>337</v>
      </c>
      <c r="M115" s="14" t="s">
        <v>369</v>
      </c>
      <c r="N115" s="26">
        <v>45714.305949074071</v>
      </c>
      <c r="O115" s="11"/>
      <c r="P115" s="11"/>
      <c r="Q115" s="11"/>
      <c r="R115" s="11"/>
      <c r="U115">
        <f>IF(VLOOKUP(H115,簡易仕様書!$D$30:$J$61,7,FALSE)&gt;V115,VLOOKUP(H115,簡易仕様書!$D$30:$J$61,7,FALSE),V115)</f>
        <v>80</v>
      </c>
      <c r="V115">
        <f t="shared" si="87"/>
        <v>78.900000000000006</v>
      </c>
      <c r="W115" t="str">
        <f>VLOOKUP(H115,簡易仕様書!$D$30:$J$61,5,FALSE)</f>
        <v>B</v>
      </c>
      <c r="X115">
        <f>VLOOKUP(H115,簡易仕様書!$D$30:$J$61,6,FALSE)</f>
        <v>63</v>
      </c>
      <c r="Y115" t="str">
        <f>VLOOKUP(H115,簡易仕様書!$D$30:$M$61,10,FALSE)</f>
        <v>Tc-99m</v>
      </c>
      <c r="Z115" t="str">
        <f t="shared" si="92"/>
        <v/>
      </c>
      <c r="AA115" t="str">
        <f t="shared" si="82"/>
        <v/>
      </c>
      <c r="AB115" t="str">
        <f>VLOOKUP(H115,簡易仕様書!$D$30:$F$61,3,FALSE)</f>
        <v>mibit</v>
      </c>
      <c r="AC115" t="str">
        <f>INDEX(簡易仕様書!$A$30:$A$61,MATCH(H115,簡易仕様書!$D$30:$D$61,0))</f>
        <v>MIBI/テトロホスミン（腫瘍）</v>
      </c>
    </row>
    <row r="116" spans="1:29">
      <c r="A116" s="14">
        <v>113</v>
      </c>
      <c r="B116" s="44"/>
      <c r="C116" s="46"/>
      <c r="D116" s="40"/>
      <c r="E116" s="40"/>
      <c r="F116" s="14" t="s">
        <v>267</v>
      </c>
      <c r="G116" s="14" t="s">
        <v>269</v>
      </c>
      <c r="H116" s="14" t="s">
        <v>190</v>
      </c>
      <c r="I116" s="14">
        <f t="shared" ref="I116" si="95">I115+0.1</f>
        <v>4.3</v>
      </c>
      <c r="J116" s="11" t="str">
        <f t="shared" si="85"/>
        <v>薬剤にMIBI/TF（腫瘍）を選択、体重に4.3と入力して計算ボタンを押す</v>
      </c>
      <c r="K116" s="11" t="str">
        <f>("体重:")&amp;I116&amp;("kg、薬剤名:")&amp;Y116&amp;INDEX(簡易仕様書!$A$30:$A$61,MATCH(H116,簡易仕様書!$D$30:$D$61,0))&amp;("、投与量:")&amp;U116&amp;("MBqと表示されること")</f>
        <v>体重:4.3kg、薬剤名:Tc-99mMIBI/テトロホスミン（腫瘍）、投与量:80.5MBqと表示されること</v>
      </c>
      <c r="L116" s="14" t="s">
        <v>337</v>
      </c>
      <c r="M116" s="14" t="s">
        <v>369</v>
      </c>
      <c r="N116" s="26">
        <v>45714.305972222224</v>
      </c>
      <c r="O116" s="11"/>
      <c r="P116" s="11"/>
      <c r="Q116" s="11"/>
      <c r="R116" s="11"/>
      <c r="U116">
        <f>IF(VLOOKUP(H116,簡易仕様書!$D$30:$J$61,7,FALSE)&gt;V116,VLOOKUP(H116,簡易仕様書!$D$30:$J$61,7,FALSE),V116)</f>
        <v>80.5</v>
      </c>
      <c r="V116">
        <f>ROUND(IF(W116="A",((-0.00000028)*I116^4+0.00004915*I116^3+(-0.00337375)*I116^2+0.1677306*I116+0.53976823)*X116,
IF(W116="B",((-0.00000023)*I116^4+0.00003846*I116^3-0.00262028*I116^2+0.27495836*I116+0.14075609)*X116,
(-0.00000001*I116^4-0.00001462*I116^3+0.00247677*I116^2+0.38073934*I116-0.24312323)*X116)),1)</f>
        <v>80.5</v>
      </c>
      <c r="W116" t="str">
        <f>VLOOKUP(H116,簡易仕様書!$D$30:$J$61,5,FALSE)</f>
        <v>B</v>
      </c>
      <c r="X116">
        <f>VLOOKUP(H116,簡易仕様書!$D$30:$J$61,6,FALSE)</f>
        <v>63</v>
      </c>
      <c r="Y116" t="str">
        <f>VLOOKUP(H116,簡易仕様書!$D$30:$M$61,10,FALSE)</f>
        <v>Tc-99m</v>
      </c>
      <c r="Z116" t="str">
        <f t="shared" si="92"/>
        <v/>
      </c>
      <c r="AA116" t="str">
        <f t="shared" si="82"/>
        <v/>
      </c>
      <c r="AB116" t="str">
        <f>VLOOKUP(H116,簡易仕様書!$D$30:$F$61,3,FALSE)</f>
        <v>mibit</v>
      </c>
      <c r="AC116" t="str">
        <f>INDEX(簡易仕様書!$A$30:$A$61,MATCH(H116,簡易仕様書!$D$30:$D$61,0))</f>
        <v>MIBI/テトロホスミン（腫瘍）</v>
      </c>
    </row>
    <row r="117" spans="1:29">
      <c r="A117" s="14">
        <v>114</v>
      </c>
      <c r="B117" s="44"/>
      <c r="C117" s="46"/>
      <c r="D117" s="40"/>
      <c r="E117" s="40"/>
      <c r="F117" s="14" t="s">
        <v>267</v>
      </c>
      <c r="G117" s="14" t="s">
        <v>269</v>
      </c>
      <c r="H117" s="14" t="s">
        <v>190</v>
      </c>
      <c r="I117" s="14">
        <v>0.1</v>
      </c>
      <c r="J117" s="11" t="str">
        <f t="shared" si="85"/>
        <v>薬剤にMIBI/TF（腫瘍）を選択、体重に0.1と入力して計算ボタンを押す</v>
      </c>
      <c r="K117" s="11" t="str">
        <f>("体重:")&amp;I117&amp;("kg、薬剤名:")&amp;Y117&amp;INDEX(簡易仕様書!$A$30:$A$61,MATCH(H117,簡易仕様書!$D$30:$D$61,0))&amp;("、投与量:")&amp;U117&amp;("MBqと表示されること")</f>
        <v>体重:0.1kg、薬剤名:Tc-99mMIBI/テトロホスミン（腫瘍）、投与量:80MBqと表示されること</v>
      </c>
      <c r="L117" s="14" t="s">
        <v>337</v>
      </c>
      <c r="M117" s="14" t="s">
        <v>369</v>
      </c>
      <c r="N117" s="26">
        <v>45714.305995370371</v>
      </c>
      <c r="O117" s="11"/>
      <c r="P117" s="11"/>
      <c r="Q117" s="11"/>
      <c r="R117" s="11"/>
      <c r="U117">
        <f>IF(VLOOKUP(H117,簡易仕様書!$D$30:$J$61,7,FALSE)&gt;V117,VLOOKUP(H117,簡易仕様書!$D$30:$J$61,7,FALSE),V117)</f>
        <v>80</v>
      </c>
      <c r="V117">
        <f t="shared" si="87"/>
        <v>10.6</v>
      </c>
      <c r="W117" t="str">
        <f>VLOOKUP(H117,簡易仕様書!$D$30:$J$61,5,FALSE)</f>
        <v>B</v>
      </c>
      <c r="X117">
        <f>VLOOKUP(H117,簡易仕様書!$D$30:$J$61,6,FALSE)</f>
        <v>63</v>
      </c>
      <c r="Y117" t="str">
        <f>VLOOKUP(H117,簡易仕様書!$D$30:$M$61,10,FALSE)</f>
        <v>Tc-99m</v>
      </c>
      <c r="Z117" t="str">
        <f t="shared" si="92"/>
        <v/>
      </c>
      <c r="AA117" t="str">
        <f t="shared" si="82"/>
        <v/>
      </c>
      <c r="AB117" t="str">
        <f>VLOOKUP(H117,簡易仕様書!$D$30:$F$61,3,FALSE)</f>
        <v>mibit</v>
      </c>
      <c r="AC117" t="str">
        <f>INDEX(簡易仕様書!$A$30:$A$61,MATCH(H117,簡易仕様書!$D$30:$D$61,0))</f>
        <v>MIBI/テトロホスミン（腫瘍）</v>
      </c>
    </row>
    <row r="118" spans="1:29">
      <c r="A118" s="14">
        <v>115</v>
      </c>
      <c r="B118" s="44"/>
      <c r="C118" s="46"/>
      <c r="D118" s="40"/>
      <c r="E118" s="40"/>
      <c r="F118" s="14" t="s">
        <v>267</v>
      </c>
      <c r="G118" s="14" t="s">
        <v>269</v>
      </c>
      <c r="H118" s="14" t="s">
        <v>190</v>
      </c>
      <c r="I118" s="14">
        <v>70</v>
      </c>
      <c r="J118" s="11" t="str">
        <f t="shared" ref="J118" si="96">("薬剤に")&amp;H118&amp;("を選択、体重に")&amp;I118&amp;("と入力して計算ボタンを押す")</f>
        <v>薬剤にMIBI/TF（腫瘍）を選択、体重に70と入力して計算ボタンを押す</v>
      </c>
      <c r="K118" s="11" t="str">
        <f>("体重:")&amp;I118&amp;("kg、薬剤名:")&amp;Y118&amp;INDEX(簡易仕様書!$A$30:$A$61,MATCH(H118,簡易仕様書!$D$30:$D$61,0))&amp;("、投与量:")&amp;U118&amp;("MBqと表示されること")</f>
        <v>体重:70kg、薬剤名:Tc-99mMIBI/テトロホスミン（腫瘍）、投与量:895.7MBqと表示されること</v>
      </c>
      <c r="L118" s="14" t="s">
        <v>337</v>
      </c>
      <c r="M118" s="14" t="s">
        <v>369</v>
      </c>
      <c r="N118" s="26">
        <v>45714.306018518517</v>
      </c>
      <c r="O118" s="11"/>
      <c r="P118" s="11"/>
      <c r="Q118" s="11"/>
      <c r="R118" s="11"/>
      <c r="U118">
        <f>IF(VLOOKUP(H118,簡易仕様書!$D$30:$J$61,7,FALSE)&gt;V118,VLOOKUP(H118,簡易仕様書!$D$30:$J$61,7,FALSE),V118)</f>
        <v>895.7</v>
      </c>
      <c r="V118">
        <f t="shared" ref="V118" si="97">ROUND(IF(W118="A",((-0.00000028)*I118^4+0.00004915*I118^3+(-0.00337375)*I118^2+0.1677306*I118+0.53976823)*X118,
IF(W118="B",((-0.00000023)*I118^4+0.00003846*I118^3-0.00262028*I118^2+0.27495836*I118+0.14075609)*X118,
(-0.00000001*I118^4-0.00001462*I118^3+0.00247677*I118^2+0.38073934*I118-0.24312323)*X118)),1)</f>
        <v>895.7</v>
      </c>
      <c r="W118" t="str">
        <f>VLOOKUP(H118,簡易仕様書!$D$30:$J$61,5,FALSE)</f>
        <v>B</v>
      </c>
      <c r="X118">
        <f>VLOOKUP(H118,簡易仕様書!$D$30:$J$61,6,FALSE)</f>
        <v>63</v>
      </c>
      <c r="Y118" t="str">
        <f>VLOOKUP(H118,簡易仕様書!$D$30:$M$61,10,FALSE)</f>
        <v>Tc-99m</v>
      </c>
      <c r="Z118" t="str">
        <f t="shared" si="92"/>
        <v/>
      </c>
      <c r="AA118" t="str">
        <f>IF(H118="IMP","負荷薬剤ダイアモックス（ACZ）",IF(H118="ECD","負荷薬剤ダイアモックス（ACZ）",IF(H118="MAG3","負荷薬剤フロセミド（ラシックス）","")))</f>
        <v/>
      </c>
      <c r="AB118" t="str">
        <f>VLOOKUP(H118,簡易仕様書!$D$30:$F$61,3,FALSE)</f>
        <v>mibit</v>
      </c>
      <c r="AC118" t="str">
        <f>INDEX(簡易仕様書!$A$30:$A$61,MATCH(H118,簡易仕様書!$D$30:$D$61,0))</f>
        <v>MIBI/テトロホスミン（腫瘍）</v>
      </c>
    </row>
    <row r="119" spans="1:29" ht="42">
      <c r="A119" s="14">
        <v>116</v>
      </c>
      <c r="B119" s="44"/>
      <c r="C119" s="46"/>
      <c r="D119" s="40"/>
      <c r="E119" s="40"/>
      <c r="F119" s="14" t="s">
        <v>267</v>
      </c>
      <c r="G119" s="14" t="s">
        <v>269</v>
      </c>
      <c r="H119" s="14" t="s">
        <v>191</v>
      </c>
      <c r="I119" s="14">
        <f>IF((ROUND(VLOOKUP(H119,簡易仕様書!$D$30:$L$61,8,FALSE),1))&gt;VLOOKUP(H119,簡易仕様書!$D$30:$L$61,7,FALSE),
VLOOKUP(H119,簡易仕様書!$D$30:$L$61,9,FALSE)-0.1,VLOOKUP(H119,簡易仕様書!$D$30:$L$61,9,FALSE))</f>
        <v>4.2</v>
      </c>
      <c r="J119" s="11" t="str">
        <f t="shared" si="85"/>
        <v>薬剤にMIBI/TF（2日法）を選択、体重に4.2と入力して計算ボタンを押す</v>
      </c>
      <c r="K119" s="11" t="str">
        <f>("体重:")&amp;I119&amp;("kg、薬剤名:")&amp;Y119&amp;INDEX(簡易仕様書!$A$30:$A$61,MATCH(H119,簡易仕様書!$D$30:$D$61,0))&amp;("、投与量:")&amp;U119&amp;("MBqと表示されること")</f>
        <v>体重:4.2kg、薬剤名:Tc-99mMIBI/テトロホスミン（安静/負荷心筋2日法:最大）、投与量:80MBqと表示されること</v>
      </c>
      <c r="L119" s="14" t="s">
        <v>337</v>
      </c>
      <c r="M119" s="14" t="s">
        <v>372</v>
      </c>
      <c r="N119" s="26">
        <v>45714.306041666663</v>
      </c>
      <c r="O119" s="11"/>
      <c r="P119" s="11"/>
      <c r="Q119" s="11"/>
      <c r="R119" s="30" t="s">
        <v>375</v>
      </c>
      <c r="U119">
        <f>IF(VLOOKUP(H119,簡易仕様書!$D$30:$J$61,7,FALSE)&gt;V119,VLOOKUP(H119,簡易仕様書!$D$30:$J$61,7,FALSE),V119)</f>
        <v>80</v>
      </c>
      <c r="V119">
        <f t="shared" si="87"/>
        <v>78.900000000000006</v>
      </c>
      <c r="W119" t="str">
        <f>VLOOKUP(H119,簡易仕様書!$D$30:$J$61,5,FALSE)</f>
        <v>B</v>
      </c>
      <c r="X119">
        <f>VLOOKUP(H119,簡易仕様書!$D$30:$J$61,6,FALSE)</f>
        <v>63</v>
      </c>
      <c r="Y119" t="str">
        <f>VLOOKUP(H119,簡易仕様書!$D$30:$M$61,10,FALSE)</f>
        <v>Tc-99m</v>
      </c>
      <c r="Z119" t="str">
        <f t="shared" si="92"/>
        <v/>
      </c>
      <c r="AA119" t="str">
        <f t="shared" ref="AA119:AA130" si="98">IF(H119="IMP","負荷薬剤ダイアモックス（ACZ）",IF(H119="ECD","負荷薬剤ダイアモックス（ACZ）",IF(H119="MAG3","負荷薬剤フロセミド（ラシックス）","")))</f>
        <v/>
      </c>
      <c r="AB119" t="str">
        <f>VLOOKUP(H119,簡易仕様書!$D$30:$F$61,3,FALSE)</f>
        <v>mibi2d</v>
      </c>
      <c r="AC119" t="str">
        <f>INDEX(簡易仕様書!$A$30:$A$61,MATCH(H119,簡易仕様書!$D$30:$D$61,0))</f>
        <v>MIBI/テトロホスミン（安静/負荷心筋2日法:最大）</v>
      </c>
    </row>
    <row r="120" spans="1:29" ht="42">
      <c r="A120" s="14">
        <v>117</v>
      </c>
      <c r="B120" s="44"/>
      <c r="C120" s="46"/>
      <c r="D120" s="40"/>
      <c r="E120" s="40"/>
      <c r="F120" s="14" t="s">
        <v>267</v>
      </c>
      <c r="G120" s="14" t="s">
        <v>269</v>
      </c>
      <c r="H120" s="14" t="s">
        <v>191</v>
      </c>
      <c r="I120" s="14">
        <f t="shared" ref="I120" si="99">I119+0.1</f>
        <v>4.3</v>
      </c>
      <c r="J120" s="11" t="str">
        <f t="shared" si="85"/>
        <v>薬剤にMIBI/TF（2日法）を選択、体重に4.3と入力して計算ボタンを押す</v>
      </c>
      <c r="K120" s="11" t="str">
        <f>("体重:")&amp;I120&amp;("kg、薬剤名:")&amp;Y120&amp;INDEX(簡易仕様書!$A$30:$A$61,MATCH(H120,簡易仕様書!$D$30:$D$61,0))&amp;("、投与量:")&amp;U120&amp;("MBqと表示されること")</f>
        <v>体重:4.3kg、薬剤名:Tc-99mMIBI/テトロホスミン（安静/負荷心筋2日法:最大）、投与量:80.5MBqと表示されること</v>
      </c>
      <c r="L120" s="14" t="s">
        <v>337</v>
      </c>
      <c r="M120" s="14" t="s">
        <v>372</v>
      </c>
      <c r="N120" s="26">
        <v>45714.306064814817</v>
      </c>
      <c r="O120" s="11"/>
      <c r="P120" s="11"/>
      <c r="Q120" s="11"/>
      <c r="R120" s="30" t="s">
        <v>375</v>
      </c>
      <c r="U120">
        <f>IF(VLOOKUP(H120,簡易仕様書!$D$30:$J$61,7,FALSE)&gt;V120,VLOOKUP(H120,簡易仕様書!$D$30:$J$61,7,FALSE),V120)</f>
        <v>80.5</v>
      </c>
      <c r="V120">
        <f t="shared" si="87"/>
        <v>80.5</v>
      </c>
      <c r="W120" t="str">
        <f>VLOOKUP(H120,簡易仕様書!$D$30:$J$61,5,FALSE)</f>
        <v>B</v>
      </c>
      <c r="X120">
        <f>VLOOKUP(H120,簡易仕様書!$D$30:$J$61,6,FALSE)</f>
        <v>63</v>
      </c>
      <c r="Y120" t="str">
        <f>VLOOKUP(H120,簡易仕様書!$D$30:$M$61,10,FALSE)</f>
        <v>Tc-99m</v>
      </c>
      <c r="Z120" t="str">
        <f t="shared" si="92"/>
        <v/>
      </c>
      <c r="AA120" t="str">
        <f t="shared" si="98"/>
        <v/>
      </c>
      <c r="AB120" t="str">
        <f>VLOOKUP(H120,簡易仕様書!$D$30:$F$61,3,FALSE)</f>
        <v>mibi2d</v>
      </c>
      <c r="AC120" t="str">
        <f>INDEX(簡易仕様書!$A$30:$A$61,MATCH(H120,簡易仕様書!$D$30:$D$61,0))</f>
        <v>MIBI/テトロホスミン（安静/負荷心筋2日法:最大）</v>
      </c>
    </row>
    <row r="121" spans="1:29" ht="42">
      <c r="A121" s="14">
        <v>118</v>
      </c>
      <c r="B121" s="44"/>
      <c r="C121" s="46"/>
      <c r="D121" s="40"/>
      <c r="E121" s="40"/>
      <c r="F121" s="14" t="s">
        <v>267</v>
      </c>
      <c r="G121" s="14" t="s">
        <v>269</v>
      </c>
      <c r="H121" s="14" t="s">
        <v>191</v>
      </c>
      <c r="I121" s="14">
        <v>0.1</v>
      </c>
      <c r="J121" s="11" t="str">
        <f t="shared" si="85"/>
        <v>薬剤にMIBI/TF（2日法）を選択、体重に0.1と入力して計算ボタンを押す</v>
      </c>
      <c r="K121" s="11" t="str">
        <f>("体重:")&amp;I121&amp;("kg、薬剤名:")&amp;Y121&amp;INDEX(簡易仕様書!$A$30:$A$61,MATCH(H121,簡易仕様書!$D$30:$D$61,0))&amp;("、投与量:")&amp;U121&amp;("MBqと表示されること")</f>
        <v>体重:0.1kg、薬剤名:Tc-99mMIBI/テトロホスミン（安静/負荷心筋2日法:最大）、投与量:80MBqと表示されること</v>
      </c>
      <c r="L121" s="14" t="s">
        <v>337</v>
      </c>
      <c r="M121" s="14" t="s">
        <v>372</v>
      </c>
      <c r="N121" s="26">
        <v>45714.306087962963</v>
      </c>
      <c r="O121" s="11"/>
      <c r="P121" s="11"/>
      <c r="Q121" s="11"/>
      <c r="R121" s="30" t="s">
        <v>375</v>
      </c>
      <c r="U121">
        <f>IF(VLOOKUP(H121,簡易仕様書!$D$30:$J$61,7,FALSE)&gt;V121,VLOOKUP(H121,簡易仕様書!$D$30:$J$61,7,FALSE),V121)</f>
        <v>80</v>
      </c>
      <c r="V121">
        <f t="shared" si="87"/>
        <v>10.6</v>
      </c>
      <c r="W121" t="str">
        <f>VLOOKUP(H121,簡易仕様書!$D$30:$J$61,5,FALSE)</f>
        <v>B</v>
      </c>
      <c r="X121">
        <f>VLOOKUP(H121,簡易仕様書!$D$30:$J$61,6,FALSE)</f>
        <v>63</v>
      </c>
      <c r="Y121" t="str">
        <f>VLOOKUP(H121,簡易仕様書!$D$30:$M$61,10,FALSE)</f>
        <v>Tc-99m</v>
      </c>
      <c r="Z121" t="str">
        <f t="shared" si="92"/>
        <v/>
      </c>
      <c r="AA121" t="str">
        <f t="shared" si="98"/>
        <v/>
      </c>
      <c r="AB121" t="str">
        <f>VLOOKUP(H121,簡易仕様書!$D$30:$F$61,3,FALSE)</f>
        <v>mibi2d</v>
      </c>
      <c r="AC121" t="str">
        <f>INDEX(簡易仕様書!$A$30:$A$61,MATCH(H121,簡易仕様書!$D$30:$D$61,0))</f>
        <v>MIBI/テトロホスミン（安静/負荷心筋2日法:最大）</v>
      </c>
    </row>
    <row r="122" spans="1:29" ht="42">
      <c r="A122" s="14">
        <v>119</v>
      </c>
      <c r="B122" s="44"/>
      <c r="C122" s="46"/>
      <c r="D122" s="40"/>
      <c r="E122" s="40"/>
      <c r="F122" s="14" t="s">
        <v>267</v>
      </c>
      <c r="G122" s="14" t="s">
        <v>269</v>
      </c>
      <c r="H122" s="14" t="s">
        <v>191</v>
      </c>
      <c r="I122" s="14">
        <v>70</v>
      </c>
      <c r="J122" s="11" t="str">
        <f t="shared" ref="J122" si="100">("薬剤に")&amp;H122&amp;("を選択、体重に")&amp;I122&amp;("と入力して計算ボタンを押す")</f>
        <v>薬剤にMIBI/TF（2日法）を選択、体重に70と入力して計算ボタンを押す</v>
      </c>
      <c r="K122" s="11" t="str">
        <f>("体重:")&amp;I122&amp;("kg、薬剤名:")&amp;Y122&amp;INDEX(簡易仕様書!$A$30:$A$61,MATCH(H122,簡易仕様書!$D$30:$D$61,0))&amp;("、投与量:")&amp;U122&amp;("MBqと表示されること")</f>
        <v>体重:70kg、薬剤名:Tc-99mMIBI/テトロホスミン（安静/負荷心筋2日法:最大）、投与量:895.7MBqと表示されること</v>
      </c>
      <c r="L122" s="14" t="s">
        <v>337</v>
      </c>
      <c r="M122" s="14" t="s">
        <v>372</v>
      </c>
      <c r="N122" s="26">
        <v>45714.306111111109</v>
      </c>
      <c r="O122" s="11"/>
      <c r="P122" s="11"/>
      <c r="Q122" s="11"/>
      <c r="R122" s="30" t="s">
        <v>375</v>
      </c>
      <c r="U122">
        <f>IF(VLOOKUP(H122,簡易仕様書!$D$30:$J$61,7,FALSE)&gt;V122,VLOOKUP(H122,簡易仕様書!$D$30:$J$61,7,FALSE),V122)</f>
        <v>895.7</v>
      </c>
      <c r="V122">
        <f t="shared" ref="V122" si="101">ROUND(IF(W122="A",((-0.00000028)*I122^4+0.00004915*I122^3+(-0.00337375)*I122^2+0.1677306*I122+0.53976823)*X122,
IF(W122="B",((-0.00000023)*I122^4+0.00003846*I122^3-0.00262028*I122^2+0.27495836*I122+0.14075609)*X122,
(-0.00000001*I122^4-0.00001462*I122^3+0.00247677*I122^2+0.38073934*I122-0.24312323)*X122)),1)</f>
        <v>895.7</v>
      </c>
      <c r="W122" t="str">
        <f>VLOOKUP(H122,簡易仕様書!$D$30:$J$61,5,FALSE)</f>
        <v>B</v>
      </c>
      <c r="X122">
        <f>VLOOKUP(H122,簡易仕様書!$D$30:$J$61,6,FALSE)</f>
        <v>63</v>
      </c>
      <c r="Y122" t="str">
        <f>VLOOKUP(H122,簡易仕様書!$D$30:$M$61,10,FALSE)</f>
        <v>Tc-99m</v>
      </c>
      <c r="Z122" t="str">
        <f t="shared" si="92"/>
        <v/>
      </c>
      <c r="AA122" t="str">
        <f t="shared" si="98"/>
        <v/>
      </c>
      <c r="AB122" t="str">
        <f>VLOOKUP(H122,簡易仕様書!$D$30:$F$61,3,FALSE)</f>
        <v>mibi2d</v>
      </c>
      <c r="AC122" t="str">
        <f>INDEX(簡易仕様書!$A$30:$A$61,MATCH(H122,簡易仕様書!$D$30:$D$61,0))</f>
        <v>MIBI/テトロホスミン（安静/負荷心筋2日法:最大）</v>
      </c>
    </row>
    <row r="123" spans="1:29" ht="42">
      <c r="A123" s="14">
        <v>120</v>
      </c>
      <c r="B123" s="44"/>
      <c r="C123" s="46"/>
      <c r="D123" s="40"/>
      <c r="E123" s="40"/>
      <c r="F123" s="14" t="s">
        <v>267</v>
      </c>
      <c r="G123" s="14" t="s">
        <v>269</v>
      </c>
      <c r="H123" s="27" t="s">
        <v>192</v>
      </c>
      <c r="I123" s="14">
        <f>IF((ROUND(VLOOKUP(H123,簡易仕様書!$D$30:$L$61,8,FALSE),1))&gt;VLOOKUP(H123,簡易仕様書!$D$30:$L$61,7,FALSE),
VLOOKUP(H123,簡易仕様書!$D$30:$L$61,9,FALSE)-0.1,VLOOKUP(H123,簡易仕様書!$D$30:$L$61,9,FALSE))</f>
        <v>10.8</v>
      </c>
      <c r="J123" s="11" t="str">
        <f t="shared" si="85"/>
        <v>薬剤にMIBI/TF（負荷1日法1回目）を選択、体重に10.8と入力して計算ボタンを押す</v>
      </c>
      <c r="K123" s="11" t="str">
        <f>("体重:")&amp;I123&amp;("kg、薬剤名:")&amp;Y123&amp;INDEX(簡易仕様書!$A$30:$A$61,MATCH(H123,簡易仕様書!$D$30:$D$61,0))&amp;("、投与量:")&amp;U123&amp;("MBqと表示されること")</f>
        <v>体重:10.8kg、薬剤名:Tc-99mMIBI/テトロホスミン（安静/負荷心筋1日法:1回目）、投与量:80MBqと表示されること</v>
      </c>
      <c r="L123" s="14" t="s">
        <v>337</v>
      </c>
      <c r="M123" s="14" t="s">
        <v>372</v>
      </c>
      <c r="N123" s="26">
        <v>45714.306134259263</v>
      </c>
      <c r="O123" s="11"/>
      <c r="P123" s="11"/>
      <c r="Q123" s="11"/>
      <c r="R123" s="30" t="s">
        <v>376</v>
      </c>
      <c r="U123">
        <f>IF(VLOOKUP(H123,簡易仕様書!$D$30:$J$61,7,FALSE)&gt;V123,VLOOKUP(H123,簡易仕様書!$D$30:$J$61,7,FALSE),V123)</f>
        <v>80</v>
      </c>
      <c r="V123">
        <f t="shared" si="87"/>
        <v>79.8</v>
      </c>
      <c r="W123" t="str">
        <f>VLOOKUP(H123,簡易仕様書!$D$30:$J$61,5,FALSE)</f>
        <v>B</v>
      </c>
      <c r="X123">
        <f>VLOOKUP(H123,簡易仕様書!$D$30:$J$61,6,FALSE)</f>
        <v>28</v>
      </c>
      <c r="Y123" t="str">
        <f>VLOOKUP(H123,簡易仕様書!$D$30:$M$61,10,FALSE)</f>
        <v>Tc-99m</v>
      </c>
      <c r="Z123" t="str">
        <f t="shared" si="92"/>
        <v/>
      </c>
      <c r="AA123" t="str">
        <f t="shared" si="98"/>
        <v/>
      </c>
      <c r="AB123" t="str">
        <f>VLOOKUP(H123,簡易仕様書!$D$30:$F$61,3,FALSE)</f>
        <v>mibis1</v>
      </c>
      <c r="AC123" t="str">
        <f>INDEX(簡易仕様書!$A$30:$A$61,MATCH(H123,簡易仕様書!$D$30:$D$61,0))</f>
        <v>MIBI/テトロホスミン（安静/負荷心筋1日法:1回目）</v>
      </c>
    </row>
    <row r="124" spans="1:29" ht="42">
      <c r="A124" s="14">
        <v>121</v>
      </c>
      <c r="B124" s="44"/>
      <c r="C124" s="46"/>
      <c r="D124" s="40"/>
      <c r="E124" s="40"/>
      <c r="F124" s="14" t="s">
        <v>267</v>
      </c>
      <c r="G124" s="14" t="s">
        <v>269</v>
      </c>
      <c r="H124" s="27" t="s">
        <v>192</v>
      </c>
      <c r="I124" s="14">
        <f t="shared" si="44"/>
        <v>10.9</v>
      </c>
      <c r="J124" s="11" t="str">
        <f t="shared" si="85"/>
        <v>薬剤にMIBI/TF（負荷1日法1回目）を選択、体重に10.9と入力して計算ボタンを押す</v>
      </c>
      <c r="K124" s="11" t="str">
        <f>("体重:")&amp;I124&amp;("kg、薬剤名:")&amp;Y124&amp;INDEX(簡易仕様書!$A$30:$A$61,MATCH(H124,簡易仕様書!$D$30:$D$61,0))&amp;("、投与量:")&amp;U124&amp;("MBqと表示されること")</f>
        <v>体重:10.9kg、薬剤名:Tc-99mMIBI/テトロホスミン（安静/負荷心筋1日法:1回目）、投与量:80.4MBqと表示されること</v>
      </c>
      <c r="L124" s="14" t="s">
        <v>337</v>
      </c>
      <c r="M124" s="14" t="s">
        <v>372</v>
      </c>
      <c r="N124" s="26">
        <v>45714.306157407409</v>
      </c>
      <c r="O124" s="11"/>
      <c r="P124" s="11"/>
      <c r="Q124" s="11"/>
      <c r="R124" s="30" t="s">
        <v>376</v>
      </c>
      <c r="U124">
        <f>IF(VLOOKUP(H124,簡易仕様書!$D$30:$J$61,7,FALSE)&gt;V124,VLOOKUP(H124,簡易仕様書!$D$30:$J$61,7,FALSE),V124)</f>
        <v>80.400000000000006</v>
      </c>
      <c r="V124">
        <f t="shared" si="87"/>
        <v>80.400000000000006</v>
      </c>
      <c r="W124" t="str">
        <f>VLOOKUP(H124,簡易仕様書!$D$30:$J$61,5,FALSE)</f>
        <v>B</v>
      </c>
      <c r="X124">
        <f>VLOOKUP(H124,簡易仕様書!$D$30:$J$61,6,FALSE)</f>
        <v>28</v>
      </c>
      <c r="Y124" t="str">
        <f>VLOOKUP(H124,簡易仕様書!$D$30:$M$61,10,FALSE)</f>
        <v>Tc-99m</v>
      </c>
      <c r="Z124" t="str">
        <f t="shared" si="92"/>
        <v/>
      </c>
      <c r="AA124" t="str">
        <f t="shared" si="98"/>
        <v/>
      </c>
      <c r="AB124" t="str">
        <f>VLOOKUP(H124,簡易仕様書!$D$30:$F$61,3,FALSE)</f>
        <v>mibis1</v>
      </c>
      <c r="AC124" t="str">
        <f>INDEX(簡易仕様書!$A$30:$A$61,MATCH(H124,簡易仕様書!$D$30:$D$61,0))</f>
        <v>MIBI/テトロホスミン（安静/負荷心筋1日法:1回目）</v>
      </c>
    </row>
    <row r="125" spans="1:29" ht="42">
      <c r="A125" s="14">
        <v>122</v>
      </c>
      <c r="B125" s="44"/>
      <c r="C125" s="46"/>
      <c r="D125" s="40"/>
      <c r="E125" s="40"/>
      <c r="F125" s="14" t="s">
        <v>267</v>
      </c>
      <c r="G125" s="14" t="s">
        <v>269</v>
      </c>
      <c r="H125" s="27" t="s">
        <v>192</v>
      </c>
      <c r="I125" s="14">
        <v>0.1</v>
      </c>
      <c r="J125" s="11" t="str">
        <f>("薬剤に")&amp;H125&amp;("を選択、体重に")&amp;I125&amp;("と入力して計算ボタンを押す")</f>
        <v>薬剤にMIBI/TF（負荷1日法1回目）を選択、体重に0.1と入力して計算ボタンを押す</v>
      </c>
      <c r="K125" s="11" t="str">
        <f>("体重:")&amp;I125&amp;("kg、薬剤名:")&amp;Y125&amp;INDEX(簡易仕様書!$A$30:$A$61,MATCH(H125,簡易仕様書!$D$30:$D$61,0))&amp;("、投与量:")&amp;U125&amp;("MBqと表示されること")</f>
        <v>体重:0.1kg、薬剤名:Tc-99mMIBI/テトロホスミン（安静/負荷心筋1日法:1回目）、投与量:80MBqと表示されること</v>
      </c>
      <c r="L125" s="14" t="s">
        <v>337</v>
      </c>
      <c r="M125" s="14" t="s">
        <v>372</v>
      </c>
      <c r="N125" s="26">
        <v>45714.306180555555</v>
      </c>
      <c r="O125" s="11"/>
      <c r="P125" s="11"/>
      <c r="Q125" s="11"/>
      <c r="R125" s="30" t="s">
        <v>376</v>
      </c>
      <c r="U125">
        <f>IF(VLOOKUP(H125,簡易仕様書!$D$30:$J$61,7,FALSE)&gt;V125,VLOOKUP(H125,簡易仕様書!$D$30:$J$61,7,FALSE),V125)</f>
        <v>80</v>
      </c>
      <c r="V125">
        <f>ROUND(IF(W125="A",((-0.00000028)*I125^4+0.00004915*I125^3+(-0.00337375)*I125^2+0.1677306*I125+0.53976823)*X125,
IF(W125="B",((-0.00000023)*I125^4+0.00003846*I125^3-0.00262028*I125^2+0.27495836*I125+0.14075609)*X125,
(-0.00000001*I125^4-0.00001462*I125^3+0.00247677*I125^2+0.38073934*I125-0.24312323)*X125)),1)</f>
        <v>4.7</v>
      </c>
      <c r="W125" t="str">
        <f>VLOOKUP(H125,簡易仕様書!$D$30:$J$61,5,FALSE)</f>
        <v>B</v>
      </c>
      <c r="X125">
        <f>VLOOKUP(H125,簡易仕様書!$D$30:$J$61,6,FALSE)</f>
        <v>28</v>
      </c>
      <c r="Y125" t="str">
        <f>VLOOKUP(H125,簡易仕様書!$D$30:$M$61,10,FALSE)</f>
        <v>Tc-99m</v>
      </c>
      <c r="Z125" t="str">
        <f t="shared" si="92"/>
        <v/>
      </c>
      <c r="AA125" t="str">
        <f t="shared" si="98"/>
        <v/>
      </c>
      <c r="AB125" t="str">
        <f>VLOOKUP(H125,簡易仕様書!$D$30:$F$61,3,FALSE)</f>
        <v>mibis1</v>
      </c>
      <c r="AC125" t="str">
        <f>INDEX(簡易仕様書!$A$30:$A$61,MATCH(H125,簡易仕様書!$D$30:$D$61,0))</f>
        <v>MIBI/テトロホスミン（安静/負荷心筋1日法:1回目）</v>
      </c>
    </row>
    <row r="126" spans="1:29" ht="42">
      <c r="A126" s="14">
        <v>123</v>
      </c>
      <c r="B126" s="44"/>
      <c r="C126" s="46"/>
      <c r="D126" s="40"/>
      <c r="E126" s="40"/>
      <c r="F126" s="14" t="s">
        <v>267</v>
      </c>
      <c r="G126" s="14" t="s">
        <v>269</v>
      </c>
      <c r="H126" s="27" t="s">
        <v>192</v>
      </c>
      <c r="I126" s="14">
        <v>70</v>
      </c>
      <c r="J126" s="11" t="str">
        <f>("薬剤に")&amp;H126&amp;("を選択、体重に")&amp;I126&amp;("と入力して計算ボタンを押す")</f>
        <v>薬剤にMIBI/TF（負荷1日法1回目）を選択、体重に70と入力して計算ボタンを押す</v>
      </c>
      <c r="K126" s="11" t="str">
        <f>("体重:")&amp;I126&amp;("kg、薬剤名:")&amp;Y126&amp;INDEX(簡易仕様書!$A$30:$A$61,MATCH(H126,簡易仕様書!$D$30:$D$61,0))&amp;("、投与量:")&amp;U126&amp;("MBqと表示されること")</f>
        <v>体重:70kg、薬剤名:Tc-99mMIBI/テトロホスミン（安静/負荷心筋1日法:1回目）、投与量:398.1MBqと表示されること</v>
      </c>
      <c r="L126" s="14" t="s">
        <v>337</v>
      </c>
      <c r="M126" s="14" t="s">
        <v>372</v>
      </c>
      <c r="N126" s="26">
        <v>45714.306215277778</v>
      </c>
      <c r="O126" s="11"/>
      <c r="P126" s="11"/>
      <c r="Q126" s="11"/>
      <c r="R126" s="30" t="s">
        <v>376</v>
      </c>
      <c r="U126">
        <f>IF(VLOOKUP(H126,簡易仕様書!$D$30:$J$61,7,FALSE)&gt;V126,VLOOKUP(H126,簡易仕様書!$D$30:$J$61,7,FALSE),V126)</f>
        <v>398.1</v>
      </c>
      <c r="V126">
        <f>ROUND(IF(W126="A",((-0.00000028)*I126^4+0.00004915*I126^3+(-0.00337375)*I126^2+0.1677306*I126+0.53976823)*X126,
IF(W126="B",((-0.00000023)*I126^4+0.00003846*I126^3-0.00262028*I126^2+0.27495836*I126+0.14075609)*X126,
(-0.00000001*I126^4-0.00001462*I126^3+0.00247677*I126^2+0.38073934*I126-0.24312323)*X126)),1)</f>
        <v>398.1</v>
      </c>
      <c r="W126" t="str">
        <f>VLOOKUP(H126,簡易仕様書!$D$30:$J$61,5,FALSE)</f>
        <v>B</v>
      </c>
      <c r="X126">
        <f>VLOOKUP(H126,簡易仕様書!$D$30:$J$61,6,FALSE)</f>
        <v>28</v>
      </c>
      <c r="Y126" t="str">
        <f>VLOOKUP(H126,簡易仕様書!$D$30:$M$61,10,FALSE)</f>
        <v>Tc-99m</v>
      </c>
      <c r="Z126" t="str">
        <f t="shared" si="92"/>
        <v/>
      </c>
      <c r="AA126" t="str">
        <f t="shared" si="98"/>
        <v/>
      </c>
      <c r="AB126" t="str">
        <f>VLOOKUP(H126,簡易仕様書!$D$30:$F$61,3,FALSE)</f>
        <v>mibis1</v>
      </c>
      <c r="AC126" t="str">
        <f>INDEX(簡易仕様書!$A$30:$A$61,MATCH(H126,簡易仕様書!$D$30:$D$61,0))</f>
        <v>MIBI/テトロホスミン（安静/負荷心筋1日法:1回目）</v>
      </c>
    </row>
    <row r="127" spans="1:29" ht="42">
      <c r="A127" s="14">
        <v>124</v>
      </c>
      <c r="B127" s="44"/>
      <c r="C127" s="46"/>
      <c r="D127" s="40"/>
      <c r="E127" s="40"/>
      <c r="F127" s="14" t="s">
        <v>267</v>
      </c>
      <c r="G127" s="14" t="s">
        <v>269</v>
      </c>
      <c r="H127" s="27" t="s">
        <v>193</v>
      </c>
      <c r="I127" s="14">
        <f>IF((ROUND(VLOOKUP(H127,簡易仕様書!$D$30:$L$61,8,FALSE),1))&gt;VLOOKUP(H127,簡易仕様書!$D$30:$L$61,7,FALSE),
VLOOKUP(H127,簡易仕様書!$D$30:$L$61,9,FALSE)-0.1,VLOOKUP(H127,簡易仕様書!$D$30:$L$61,9,FALSE))</f>
        <v>6.8</v>
      </c>
      <c r="J127" s="11" t="str">
        <f t="shared" ref="J127:J142" si="102">("薬剤に")&amp;H127&amp;("を選択、体重に")&amp;I127&amp;("と入力して計算ボタンを押す")</f>
        <v>薬剤にMIBI/TF（負荷1日法2回目）を選択、体重に6.8と入力して計算ボタンを押す</v>
      </c>
      <c r="K127" s="11" t="str">
        <f>("体重:")&amp;I127&amp;("kg、薬剤名:")&amp;Y127&amp;INDEX(簡易仕様書!$A$30:$A$61,MATCH(H127,簡易仕様書!$D$30:$D$61,0))&amp;("、投与量:")&amp;U127&amp;("MBqと表示されること")</f>
        <v>体重:6.8kg、薬剤名:Tc-99mMIBI/テトロホスミン（安静/負荷心筋1日法:2回目）、投与量:160MBqと表示されること</v>
      </c>
      <c r="L127" s="14" t="s">
        <v>337</v>
      </c>
      <c r="M127" s="14" t="s">
        <v>372</v>
      </c>
      <c r="N127" s="26">
        <v>45714.306238425925</v>
      </c>
      <c r="O127" s="11"/>
      <c r="P127" s="11"/>
      <c r="Q127" s="11"/>
      <c r="R127" s="30" t="s">
        <v>377</v>
      </c>
      <c r="U127">
        <f>IF(VLOOKUP(H127,簡易仕様書!$D$30:$J$61,7,FALSE)&gt;V127,VLOOKUP(H127,簡易仕様書!$D$30:$J$61,7,FALSE),V127)</f>
        <v>160</v>
      </c>
      <c r="V127">
        <f>ROUND(IF(W127="A",((-0.00000028)*I127^4+0.00004915*I127^3+(-0.00337375)*I127^2+0.1677306*I127+0.53976823)*X127,
IF(W127="B",((-0.00000023)*I127^4+0.00003846*I127^3-0.00262028*I127^2+0.27495836*I127+0.14075609)*X127,
(-0.00000001*I127^4-0.00001462*I127^3+0.00247677*I127^2+0.38073934*I127-0.24312323)*X127)),1)</f>
        <v>159.69999999999999</v>
      </c>
      <c r="W127" t="str">
        <f>VLOOKUP(H127,簡易仕様書!$D$30:$J$61,5,FALSE)</f>
        <v>B</v>
      </c>
      <c r="X127">
        <f>VLOOKUP(H127,簡易仕様書!$D$30:$J$61,6,FALSE)</f>
        <v>84</v>
      </c>
      <c r="Y127" t="str">
        <f>VLOOKUP(H127,簡易仕様書!$D$30:$M$61,10,FALSE)</f>
        <v>Tc-99m</v>
      </c>
      <c r="Z127" t="str">
        <f>IF(H127="IMP",IF(ROUND(I127*20,0)&gt;=1000,1000,ROUND(I127*20,0)),IF(H127="ECD",IF(ROUND(I127*20,0)&gt;=1000,1000,ROUND(I127*20,0)),IF(H127="MAG3",IF(ROUND(I127/10,1)&gt;=2,2,ROUND(I127/10,1)),"")))</f>
        <v/>
      </c>
      <c r="AA127" t="str">
        <f t="shared" si="98"/>
        <v/>
      </c>
      <c r="AB127" t="str">
        <f>VLOOKUP(H127,簡易仕様書!$D$30:$F$61,3,FALSE)</f>
        <v>mibis2</v>
      </c>
      <c r="AC127" t="str">
        <f>INDEX(簡易仕様書!$A$30:$A$61,MATCH(H127,簡易仕様書!$D$30:$D$61,0))</f>
        <v>MIBI/テトロホスミン（安静/負荷心筋1日法:2回目）</v>
      </c>
    </row>
    <row r="128" spans="1:29" ht="42">
      <c r="A128" s="14">
        <v>125</v>
      </c>
      <c r="B128" s="44"/>
      <c r="C128" s="46"/>
      <c r="D128" s="40"/>
      <c r="E128" s="40"/>
      <c r="F128" s="14" t="s">
        <v>267</v>
      </c>
      <c r="G128" s="14" t="s">
        <v>269</v>
      </c>
      <c r="H128" s="27" t="s">
        <v>193</v>
      </c>
      <c r="I128" s="14">
        <f t="shared" si="49"/>
        <v>6.8999999999999995</v>
      </c>
      <c r="J128" s="11" t="str">
        <f t="shared" si="102"/>
        <v>薬剤にMIBI/TF（負荷1日法2回目）を選択、体重に6.9と入力して計算ボタンを押す</v>
      </c>
      <c r="K128" s="11" t="str">
        <f>("体重:")&amp;I128&amp;("kg、薬剤名:")&amp;Y128&amp;INDEX(簡易仕様書!$A$30:$A$61,MATCH(H128,簡易仕様書!$D$30:$D$61,0))&amp;("、投与量:")&amp;U128&amp;("MBqと表示されること")</f>
        <v>体重:6.9kg、薬剤名:Tc-99mMIBI/テトロホスミン（安静/負荷心筋1日法:2回目）、投与量:161.7MBqと表示されること</v>
      </c>
      <c r="L128" s="14" t="s">
        <v>337</v>
      </c>
      <c r="M128" s="14" t="s">
        <v>372</v>
      </c>
      <c r="N128" s="26">
        <v>45714.306261574071</v>
      </c>
      <c r="O128" s="11"/>
      <c r="P128" s="11"/>
      <c r="Q128" s="11"/>
      <c r="R128" s="30" t="s">
        <v>377</v>
      </c>
      <c r="U128">
        <f>IF(VLOOKUP(H128,簡易仕様書!$D$30:$J$61,7,FALSE)&gt;V128,VLOOKUP(H128,簡易仕様書!$D$30:$J$61,7,FALSE),V128)</f>
        <v>161.69999999999999</v>
      </c>
      <c r="V128">
        <f t="shared" ref="V128:V142" si="103">ROUND(IF(W128="A",((-0.00000028)*I128^4+0.00004915*I128^3+(-0.00337375)*I128^2+0.1677306*I128+0.53976823)*X128,
IF(W128="B",((-0.00000023)*I128^4+0.00003846*I128^3-0.00262028*I128^2+0.27495836*I128+0.14075609)*X128,
(-0.00000001*I128^4-0.00001462*I128^3+0.00247677*I128^2+0.38073934*I128-0.24312323)*X128)),1)</f>
        <v>161.69999999999999</v>
      </c>
      <c r="W128" t="str">
        <f>VLOOKUP(H128,簡易仕様書!$D$30:$J$61,5,FALSE)</f>
        <v>B</v>
      </c>
      <c r="X128">
        <f>VLOOKUP(H128,簡易仕様書!$D$30:$J$61,6,FALSE)</f>
        <v>84</v>
      </c>
      <c r="Y128" t="str">
        <f>VLOOKUP(H128,簡易仕様書!$D$30:$M$61,10,FALSE)</f>
        <v>Tc-99m</v>
      </c>
      <c r="Z128" t="str">
        <f t="shared" ref="Z128:Z142" si="104">IF(H128="IMP",IF(ROUND(I128*20,0)&gt;=1000,1000,ROUND(I128*20,0)),IF(H128="ECD",IF(ROUND(I128*20,0)&gt;=1000,1000,ROUND(I128*20,0)),IF(H128="MAG3",IF(ROUND(I128/10,1)&gt;=2,2,ROUND(I128/10,1)),"")))</f>
        <v/>
      </c>
      <c r="AA128" t="str">
        <f t="shared" si="98"/>
        <v/>
      </c>
      <c r="AB128" t="str">
        <f>VLOOKUP(H128,簡易仕様書!$D$30:$F$61,3,FALSE)</f>
        <v>mibis2</v>
      </c>
      <c r="AC128" t="str">
        <f>INDEX(簡易仕様書!$A$30:$A$61,MATCH(H128,簡易仕様書!$D$30:$D$61,0))</f>
        <v>MIBI/テトロホスミン（安静/負荷心筋1日法:2回目）</v>
      </c>
    </row>
    <row r="129" spans="1:29" ht="42">
      <c r="A129" s="14">
        <v>126</v>
      </c>
      <c r="B129" s="44"/>
      <c r="C129" s="46"/>
      <c r="D129" s="40"/>
      <c r="E129" s="40"/>
      <c r="F129" s="14" t="s">
        <v>267</v>
      </c>
      <c r="G129" s="14" t="s">
        <v>269</v>
      </c>
      <c r="H129" s="27" t="s">
        <v>193</v>
      </c>
      <c r="I129" s="14">
        <v>0.1</v>
      </c>
      <c r="J129" s="11" t="str">
        <f t="shared" si="102"/>
        <v>薬剤にMIBI/TF（負荷1日法2回目）を選択、体重に0.1と入力して計算ボタンを押す</v>
      </c>
      <c r="K129" s="11" t="str">
        <f>("体重:")&amp;I129&amp;("kg、薬剤名:")&amp;Y129&amp;INDEX(簡易仕様書!$A$30:$A$61,MATCH(H129,簡易仕様書!$D$30:$D$61,0))&amp;("、投与量:")&amp;U129&amp;("MBqと表示されること")</f>
        <v>体重:0.1kg、薬剤名:Tc-99mMIBI/テトロホスミン（安静/負荷心筋1日法:2回目）、投与量:160MBqと表示されること</v>
      </c>
      <c r="L129" s="14" t="s">
        <v>337</v>
      </c>
      <c r="M129" s="14" t="s">
        <v>372</v>
      </c>
      <c r="N129" s="26">
        <v>45714.306284722225</v>
      </c>
      <c r="O129" s="11"/>
      <c r="P129" s="11"/>
      <c r="Q129" s="11"/>
      <c r="R129" s="30" t="s">
        <v>377</v>
      </c>
      <c r="U129">
        <f>IF(VLOOKUP(H129,簡易仕様書!$D$30:$J$61,7,FALSE)&gt;V129,VLOOKUP(H129,簡易仕様書!$D$30:$J$61,7,FALSE),V129)</f>
        <v>160</v>
      </c>
      <c r="V129">
        <f t="shared" si="103"/>
        <v>14.1</v>
      </c>
      <c r="W129" t="str">
        <f>VLOOKUP(H129,簡易仕様書!$D$30:$J$61,5,FALSE)</f>
        <v>B</v>
      </c>
      <c r="X129">
        <f>VLOOKUP(H129,簡易仕様書!$D$30:$J$61,6,FALSE)</f>
        <v>84</v>
      </c>
      <c r="Y129" t="str">
        <f>VLOOKUP(H129,簡易仕様書!$D$30:$M$61,10,FALSE)</f>
        <v>Tc-99m</v>
      </c>
      <c r="Z129" t="str">
        <f t="shared" si="104"/>
        <v/>
      </c>
      <c r="AA129" t="str">
        <f t="shared" si="98"/>
        <v/>
      </c>
      <c r="AB129" t="str">
        <f>VLOOKUP(H129,簡易仕様書!$D$30:$F$61,3,FALSE)</f>
        <v>mibis2</v>
      </c>
      <c r="AC129" t="str">
        <f>INDEX(簡易仕様書!$A$30:$A$61,MATCH(H129,簡易仕様書!$D$30:$D$61,0))</f>
        <v>MIBI/テトロホスミン（安静/負荷心筋1日法:2回目）</v>
      </c>
    </row>
    <row r="130" spans="1:29" ht="42">
      <c r="A130" s="14">
        <v>127</v>
      </c>
      <c r="B130" s="44"/>
      <c r="C130" s="46"/>
      <c r="D130" s="40"/>
      <c r="E130" s="40"/>
      <c r="F130" s="14" t="s">
        <v>267</v>
      </c>
      <c r="G130" s="14" t="s">
        <v>269</v>
      </c>
      <c r="H130" s="27" t="s">
        <v>193</v>
      </c>
      <c r="I130" s="14">
        <v>70</v>
      </c>
      <c r="J130" s="11" t="str">
        <f t="shared" ref="J130" si="105">("薬剤に")&amp;H130&amp;("を選択、体重に")&amp;I130&amp;("と入力して計算ボタンを押す")</f>
        <v>薬剤にMIBI/TF（負荷1日法2回目）を選択、体重に70と入力して計算ボタンを押す</v>
      </c>
      <c r="K130" s="11" t="str">
        <f>("体重:")&amp;I130&amp;("kg、薬剤名:")&amp;Y130&amp;INDEX(簡易仕様書!$A$30:$A$61,MATCH(H130,簡易仕様書!$D$30:$D$61,0))&amp;("、投与量:")&amp;U130&amp;("MBqと表示されること")</f>
        <v>体重:70kg、薬剤名:Tc-99mMIBI/テトロホスミン（安静/負荷心筋1日法:2回目）、投与量:1194.3MBqと表示されること</v>
      </c>
      <c r="L130" s="14" t="s">
        <v>337</v>
      </c>
      <c r="M130" s="14" t="s">
        <v>372</v>
      </c>
      <c r="N130" s="26">
        <v>45714.306307870371</v>
      </c>
      <c r="O130" s="11"/>
      <c r="P130" s="11"/>
      <c r="Q130" s="11"/>
      <c r="R130" s="30" t="s">
        <v>377</v>
      </c>
      <c r="U130">
        <f>IF(VLOOKUP(H130,簡易仕様書!$D$30:$J$61,7,FALSE)&gt;V130,VLOOKUP(H130,簡易仕様書!$D$30:$J$61,7,FALSE),V130)</f>
        <v>1194.3</v>
      </c>
      <c r="V130">
        <f t="shared" ref="V130" si="106">ROUND(IF(W130="A",((-0.00000028)*I130^4+0.00004915*I130^3+(-0.00337375)*I130^2+0.1677306*I130+0.53976823)*X130,
IF(W130="B",((-0.00000023)*I130^4+0.00003846*I130^3-0.00262028*I130^2+0.27495836*I130+0.14075609)*X130,
(-0.00000001*I130^4-0.00001462*I130^3+0.00247677*I130^2+0.38073934*I130-0.24312323)*X130)),1)</f>
        <v>1194.3</v>
      </c>
      <c r="W130" t="str">
        <f>VLOOKUP(H130,簡易仕様書!$D$30:$J$61,5,FALSE)</f>
        <v>B</v>
      </c>
      <c r="X130">
        <f>VLOOKUP(H130,簡易仕様書!$D$30:$J$61,6,FALSE)</f>
        <v>84</v>
      </c>
      <c r="Y130" t="str">
        <f>VLOOKUP(H130,簡易仕様書!$D$30:$M$61,10,FALSE)</f>
        <v>Tc-99m</v>
      </c>
      <c r="Z130" t="str">
        <f t="shared" si="104"/>
        <v/>
      </c>
      <c r="AA130" t="str">
        <f t="shared" si="98"/>
        <v/>
      </c>
      <c r="AB130" t="str">
        <f>VLOOKUP(H130,簡易仕様書!$D$30:$F$61,3,FALSE)</f>
        <v>mibis2</v>
      </c>
      <c r="AC130" t="str">
        <f>INDEX(簡易仕様書!$A$30:$A$61,MATCH(H130,簡易仕様書!$D$30:$D$61,0))</f>
        <v>MIBI/テトロホスミン（安静/負荷心筋1日法:2回目）</v>
      </c>
    </row>
    <row r="131" spans="1:29">
      <c r="A131" s="14">
        <v>128</v>
      </c>
      <c r="B131" s="44"/>
      <c r="C131" s="46"/>
      <c r="D131" s="40"/>
      <c r="E131" s="40"/>
      <c r="F131" s="14" t="s">
        <v>267</v>
      </c>
      <c r="G131" s="14" t="s">
        <v>269</v>
      </c>
      <c r="H131" s="14" t="s">
        <v>185</v>
      </c>
      <c r="I131" s="14">
        <f>IF((ROUND(VLOOKUP(H131,簡易仕様書!$D$30:$L$61,8,FALSE),1))&gt;VLOOKUP(H131,簡易仕様書!$D$30:$L$61,7,FALSE),
VLOOKUP(H131,簡易仕様書!$D$30:$L$61,9,FALSE)-0.1,VLOOKUP(H131,簡易仕様書!$D$30:$L$61,9,FALSE))</f>
        <v>7</v>
      </c>
      <c r="J131" s="11" t="str">
        <f t="shared" si="102"/>
        <v>薬剤にGSAを選択、体重に7と入力して計算ボタンを押す</v>
      </c>
      <c r="K131" s="11" t="str">
        <f>("体重:")&amp;I131&amp;("kg、薬剤名:")&amp;Y131&amp;INDEX(簡易仕様書!$A$30:$A$61,MATCH(H131,簡易仕様書!$D$30:$D$61,0))&amp;("、投与量:")&amp;U131&amp;("MBqと表示されること")</f>
        <v>体重:7kg、薬剤名:Tc-99mGSA、投与量:26MBqと表示されること</v>
      </c>
      <c r="L131" s="14" t="s">
        <v>337</v>
      </c>
      <c r="M131" s="14" t="s">
        <v>369</v>
      </c>
      <c r="N131" s="26">
        <v>45714.306331018517</v>
      </c>
      <c r="O131" s="11"/>
      <c r="P131" s="11"/>
      <c r="Q131" s="11"/>
      <c r="R131" s="11"/>
      <c r="U131">
        <f>IF(VLOOKUP(H131,簡易仕様書!$D$30:$J$61,7,FALSE)&gt;V131,VLOOKUP(H131,簡易仕様書!$D$30:$J$61,7,FALSE),V131)</f>
        <v>26</v>
      </c>
      <c r="V131">
        <f t="shared" si="103"/>
        <v>25.7</v>
      </c>
      <c r="W131" t="str">
        <f>VLOOKUP(H131,簡易仕様書!$D$30:$J$61,5,FALSE)</f>
        <v>B</v>
      </c>
      <c r="X131">
        <f>VLOOKUP(H131,簡易仕様書!$D$30:$J$61,6,FALSE)</f>
        <v>13.2</v>
      </c>
      <c r="Y131" t="str">
        <f>VLOOKUP(H131,簡易仕様書!$D$30:$M$61,10,FALSE)</f>
        <v>Tc-99m</v>
      </c>
      <c r="Z131" t="str">
        <f t="shared" si="104"/>
        <v/>
      </c>
      <c r="AA131" t="str">
        <f>IF(H131="IMP","負荷薬剤ダイアモックス（ACZ）",IF(H131="ECD","負荷薬剤ダイアモックス（ACZ）",IF(H131="MAG3","負荷薬剤フロセミド（ラシックス）","")))</f>
        <v/>
      </c>
      <c r="AB131" t="str">
        <f>VLOOKUP(H131,簡易仕様書!$D$30:$F$61,3,FALSE)</f>
        <v>gsa</v>
      </c>
      <c r="AC131" t="str">
        <f>INDEX(簡易仕様書!$A$30:$A$61,MATCH(H131,簡易仕様書!$D$30:$D$61,0))</f>
        <v>GSA</v>
      </c>
    </row>
    <row r="132" spans="1:29">
      <c r="A132" s="14">
        <v>129</v>
      </c>
      <c r="B132" s="44"/>
      <c r="C132" s="46"/>
      <c r="D132" s="40"/>
      <c r="E132" s="40"/>
      <c r="F132" s="14" t="s">
        <v>267</v>
      </c>
      <c r="G132" s="14" t="s">
        <v>269</v>
      </c>
      <c r="H132" s="14" t="s">
        <v>185</v>
      </c>
      <c r="I132" s="14">
        <f t="shared" ref="I132" si="107">I131+0.1</f>
        <v>7.1</v>
      </c>
      <c r="J132" s="11" t="str">
        <f t="shared" si="102"/>
        <v>薬剤にGSAを選択、体重に7.1と入力して計算ボタンを押す</v>
      </c>
      <c r="K132" s="11" t="str">
        <f>("体重:")&amp;I132&amp;("kg、薬剤名:")&amp;Y132&amp;INDEX(簡易仕様書!$A$30:$A$61,MATCH(H132,簡易仕様書!$D$30:$D$61,0))&amp;("、投与量:")&amp;U132&amp;("MBqと表示されること")</f>
        <v>体重:7.1kg、薬剤名:Tc-99mGSA、投与量:26.1MBqと表示されること</v>
      </c>
      <c r="L132" s="14" t="s">
        <v>337</v>
      </c>
      <c r="M132" s="14" t="s">
        <v>369</v>
      </c>
      <c r="N132" s="26">
        <v>45714.306354166663</v>
      </c>
      <c r="O132" s="11"/>
      <c r="P132" s="11"/>
      <c r="Q132" s="11"/>
      <c r="R132" s="11"/>
      <c r="U132">
        <f>IF(VLOOKUP(H132,簡易仕様書!$D$30:$J$61,7,FALSE)&gt;V132,VLOOKUP(H132,簡易仕様書!$D$30:$J$61,7,FALSE),V132)</f>
        <v>26.1</v>
      </c>
      <c r="V132">
        <f t="shared" si="103"/>
        <v>26.1</v>
      </c>
      <c r="W132" t="str">
        <f>VLOOKUP(H132,簡易仕様書!$D$30:$J$61,5,FALSE)</f>
        <v>B</v>
      </c>
      <c r="X132">
        <f>VLOOKUP(H132,簡易仕様書!$D$30:$J$61,6,FALSE)</f>
        <v>13.2</v>
      </c>
      <c r="Y132" t="str">
        <f>VLOOKUP(H132,簡易仕様書!$D$30:$M$61,10,FALSE)</f>
        <v>Tc-99m</v>
      </c>
      <c r="Z132" t="str">
        <f t="shared" si="104"/>
        <v/>
      </c>
      <c r="AA132" t="str">
        <f t="shared" ref="AA132:AA142" si="108">IF(H132="IMP","負荷薬剤ダイアモックス（ACZ）",IF(H132="ECD","負荷薬剤ダイアモックス（ACZ）",IF(H132="MAG3","負荷薬剤フロセミド（ラシックス）","")))</f>
        <v/>
      </c>
      <c r="AB132" t="str">
        <f>VLOOKUP(H132,簡易仕様書!$D$30:$F$61,3,FALSE)</f>
        <v>gsa</v>
      </c>
      <c r="AC132" t="str">
        <f>INDEX(簡易仕様書!$A$30:$A$61,MATCH(H132,簡易仕様書!$D$30:$D$61,0))</f>
        <v>GSA</v>
      </c>
    </row>
    <row r="133" spans="1:29">
      <c r="A133" s="14">
        <v>130</v>
      </c>
      <c r="B133" s="44"/>
      <c r="C133" s="46"/>
      <c r="D133" s="40"/>
      <c r="E133" s="40"/>
      <c r="F133" s="14" t="s">
        <v>267</v>
      </c>
      <c r="G133" s="14" t="s">
        <v>269</v>
      </c>
      <c r="H133" s="14" t="s">
        <v>185</v>
      </c>
      <c r="I133" s="14">
        <v>0.1</v>
      </c>
      <c r="J133" s="11" t="str">
        <f t="shared" ref="J133" si="109">("薬剤に")&amp;H133&amp;("を選択、体重に")&amp;I133&amp;("と入力して計算ボタンを押す")</f>
        <v>薬剤にGSAを選択、体重に0.1と入力して計算ボタンを押す</v>
      </c>
      <c r="K133" s="11" t="str">
        <f>("体重:")&amp;I133&amp;("kg、薬剤名:")&amp;Y133&amp;INDEX(簡易仕様書!$A$30:$A$61,MATCH(H133,簡易仕様書!$D$30:$D$61,0))&amp;("、投与量:")&amp;U133&amp;("MBqと表示されること")</f>
        <v>体重:0.1kg、薬剤名:Tc-99mGSA、投与量:26MBqと表示されること</v>
      </c>
      <c r="L133" s="14" t="s">
        <v>337</v>
      </c>
      <c r="M133" s="14" t="s">
        <v>369</v>
      </c>
      <c r="N133" s="26">
        <v>45714.306377314817</v>
      </c>
      <c r="O133" s="11"/>
      <c r="P133" s="11"/>
      <c r="Q133" s="11"/>
      <c r="R133" s="11"/>
      <c r="U133">
        <f>IF(VLOOKUP(H133,簡易仕様書!$D$30:$J$61,7,FALSE)&gt;V133,VLOOKUP(H133,簡易仕様書!$D$30:$J$61,7,FALSE),V133)</f>
        <v>26</v>
      </c>
      <c r="V133">
        <f t="shared" ref="V133" si="110">ROUND(IF(W133="A",((-0.00000028)*I133^4+0.00004915*I133^3+(-0.00337375)*I133^2+0.1677306*I133+0.53976823)*X133,
IF(W133="B",((-0.00000023)*I133^4+0.00003846*I133^3-0.00262028*I133^2+0.27495836*I133+0.14075609)*X133,
(-0.00000001*I133^4-0.00001462*I133^3+0.00247677*I133^2+0.38073934*I133-0.24312323)*X133)),1)</f>
        <v>2.2000000000000002</v>
      </c>
      <c r="W133" t="str">
        <f>VLOOKUP(H133,簡易仕様書!$D$30:$J$61,5,FALSE)</f>
        <v>B</v>
      </c>
      <c r="X133">
        <f>VLOOKUP(H133,簡易仕様書!$D$30:$J$61,6,FALSE)</f>
        <v>13.2</v>
      </c>
      <c r="Y133" t="str">
        <f>VLOOKUP(H133,簡易仕様書!$D$30:$M$61,10,FALSE)</f>
        <v>Tc-99m</v>
      </c>
      <c r="Z133" t="str">
        <f t="shared" si="104"/>
        <v/>
      </c>
      <c r="AA133" t="str">
        <f t="shared" si="108"/>
        <v/>
      </c>
      <c r="AB133" t="str">
        <f>VLOOKUP(H133,簡易仕様書!$D$30:$F$61,3,FALSE)</f>
        <v>gsa</v>
      </c>
      <c r="AC133" t="str">
        <f>INDEX(簡易仕様書!$A$30:$A$61,MATCH(H133,簡易仕様書!$D$30:$D$61,0))</f>
        <v>GSA</v>
      </c>
    </row>
    <row r="134" spans="1:29">
      <c r="A134" s="14">
        <v>131</v>
      </c>
      <c r="B134" s="44"/>
      <c r="C134" s="46"/>
      <c r="D134" s="40"/>
      <c r="E134" s="40"/>
      <c r="F134" s="14" t="s">
        <v>267</v>
      </c>
      <c r="G134" s="14" t="s">
        <v>269</v>
      </c>
      <c r="H134" s="14" t="s">
        <v>185</v>
      </c>
      <c r="I134" s="14">
        <v>70</v>
      </c>
      <c r="J134" s="11" t="str">
        <f t="shared" si="102"/>
        <v>薬剤にGSAを選択、体重に70と入力して計算ボタンを押す</v>
      </c>
      <c r="K134" s="11" t="str">
        <f>("体重:")&amp;I134&amp;("kg、薬剤名:")&amp;Y134&amp;INDEX(簡易仕様書!$A$30:$A$61,MATCH(H134,簡易仕様書!$D$30:$D$61,0))&amp;("、投与量:")&amp;U134&amp;("MBqと表示されること")</f>
        <v>体重:70kg、薬剤名:Tc-99mGSA、投与量:187.7MBqと表示されること</v>
      </c>
      <c r="L134" s="14" t="s">
        <v>337</v>
      </c>
      <c r="M134" s="14" t="s">
        <v>369</v>
      </c>
      <c r="N134" s="26">
        <v>45714.306400462963</v>
      </c>
      <c r="O134" s="11"/>
      <c r="P134" s="11"/>
      <c r="Q134" s="11"/>
      <c r="R134" s="11"/>
      <c r="U134">
        <f>IF(VLOOKUP(H134,簡易仕様書!$D$30:$J$61,7,FALSE)&gt;V134,VLOOKUP(H134,簡易仕様書!$D$30:$J$61,7,FALSE),V134)</f>
        <v>187.7</v>
      </c>
      <c r="V134">
        <f t="shared" si="103"/>
        <v>187.7</v>
      </c>
      <c r="W134" t="str">
        <f>VLOOKUP(H134,簡易仕様書!$D$30:$J$61,5,FALSE)</f>
        <v>B</v>
      </c>
      <c r="X134">
        <f>VLOOKUP(H134,簡易仕様書!$D$30:$J$61,6,FALSE)</f>
        <v>13.2</v>
      </c>
      <c r="Y134" t="str">
        <f>VLOOKUP(H134,簡易仕様書!$D$30:$M$61,10,FALSE)</f>
        <v>Tc-99m</v>
      </c>
      <c r="Z134" t="str">
        <f t="shared" si="104"/>
        <v/>
      </c>
      <c r="AA134" t="str">
        <f t="shared" si="108"/>
        <v/>
      </c>
      <c r="AB134" t="str">
        <f>VLOOKUP(H134,簡易仕様書!$D$30:$F$61,3,FALSE)</f>
        <v>gsa</v>
      </c>
      <c r="AC134" t="str">
        <f>INDEX(簡易仕様書!$A$30:$A$61,MATCH(H134,簡易仕様書!$D$30:$D$61,0))</f>
        <v>GSA</v>
      </c>
    </row>
    <row r="135" spans="1:29">
      <c r="A135" s="14">
        <v>132</v>
      </c>
      <c r="B135" s="44"/>
      <c r="C135" s="46"/>
      <c r="D135" s="40"/>
      <c r="E135" s="40"/>
      <c r="F135" s="14" t="s">
        <v>267</v>
      </c>
      <c r="G135" s="14" t="s">
        <v>269</v>
      </c>
      <c r="H135" s="14" t="s">
        <v>189</v>
      </c>
      <c r="I135" s="14">
        <f>IF((ROUND(VLOOKUP(H135,簡易仕様書!$D$30:$L$61,8,FALSE),1))&gt;VLOOKUP(H135,簡易仕様書!$D$30:$L$61,7,FALSE),
VLOOKUP(H135,簡易仕様書!$D$30:$L$61,9,FALSE)-0.1,VLOOKUP(H135,簡易仕様書!$D$30:$L$61,9,FALSE))</f>
        <v>7.5</v>
      </c>
      <c r="J135" s="11" t="str">
        <f t="shared" si="102"/>
        <v>薬剤にTlClを選択、体重に7.5と入力して計算ボタンを押す</v>
      </c>
      <c r="K135" s="11" t="str">
        <f>("体重:")&amp;I135&amp;("kg、薬剤名:")&amp;Y135&amp;INDEX(簡易仕様書!$A$30:$A$61,MATCH(H135,簡易仕様書!$D$30:$D$61,0))&amp;("、投与量:")&amp;U135&amp;("MBqと表示されること")</f>
        <v>体重:7.5kg、薬剤名:Tl-201塩化タリウム（腫瘍）、投与量:11MBqと表示されること</v>
      </c>
      <c r="L135" s="14" t="s">
        <v>337</v>
      </c>
      <c r="M135" s="14" t="s">
        <v>369</v>
      </c>
      <c r="N135" s="26">
        <v>45714.306423611109</v>
      </c>
      <c r="O135" s="11"/>
      <c r="P135" s="11"/>
      <c r="Q135" s="11"/>
      <c r="R135" s="11"/>
      <c r="U135">
        <f>IF(VLOOKUP(H135,簡易仕様書!$D$30:$J$61,7,FALSE)&gt;V135,VLOOKUP(H135,簡易仕様書!$D$30:$J$61,7,FALSE),V135)</f>
        <v>11</v>
      </c>
      <c r="V135">
        <f t="shared" si="103"/>
        <v>11</v>
      </c>
      <c r="W135" t="str">
        <f>VLOOKUP(H135,簡易仕様書!$D$30:$J$61,5,FALSE)</f>
        <v>B</v>
      </c>
      <c r="X135">
        <f>VLOOKUP(H135,簡易仕様書!$D$30:$J$61,6,FALSE)</f>
        <v>5.3</v>
      </c>
      <c r="Y135" t="str">
        <f>VLOOKUP(H135,簡易仕様書!$D$30:$M$61,10,FALSE)</f>
        <v>Tl-201</v>
      </c>
      <c r="Z135" t="str">
        <f t="shared" si="104"/>
        <v/>
      </c>
      <c r="AA135" t="str">
        <f t="shared" si="108"/>
        <v/>
      </c>
      <c r="AB135" t="str">
        <f>VLOOKUP(H135,簡易仕様書!$D$30:$F$61,3,FALSE)</f>
        <v>tl</v>
      </c>
      <c r="AC135" t="str">
        <f>INDEX(簡易仕様書!$A$30:$A$61,MATCH(H135,簡易仕様書!$D$30:$D$61,0))</f>
        <v>塩化タリウム（腫瘍）</v>
      </c>
    </row>
    <row r="136" spans="1:29">
      <c r="A136" s="14">
        <v>133</v>
      </c>
      <c r="B136" s="44"/>
      <c r="C136" s="46"/>
      <c r="D136" s="40"/>
      <c r="E136" s="40"/>
      <c r="F136" s="14" t="s">
        <v>267</v>
      </c>
      <c r="G136" s="14" t="s">
        <v>269</v>
      </c>
      <c r="H136" s="14" t="s">
        <v>189</v>
      </c>
      <c r="I136" s="14">
        <f t="shared" ref="I136" si="111">I135+0.1</f>
        <v>7.6</v>
      </c>
      <c r="J136" s="11" t="str">
        <f t="shared" si="102"/>
        <v>薬剤にTlClを選択、体重に7.6と入力して計算ボタンを押す</v>
      </c>
      <c r="K136" s="11" t="str">
        <f>("体重:")&amp;I136&amp;("kg、薬剤名:")&amp;Y136&amp;INDEX(簡易仕様書!$A$30:$A$61,MATCH(H136,簡易仕様書!$D$30:$D$61,0))&amp;("、投与量:")&amp;U136&amp;("MBqと表示されること")</f>
        <v>体重:7.6kg、薬剤名:Tl-201塩化タリウム（腫瘍）、投与量:11.1MBqと表示されること</v>
      </c>
      <c r="L136" s="14" t="s">
        <v>337</v>
      </c>
      <c r="M136" s="14" t="s">
        <v>369</v>
      </c>
      <c r="N136" s="26">
        <v>45714.306446759256</v>
      </c>
      <c r="O136" s="11"/>
      <c r="P136" s="11"/>
      <c r="Q136" s="11"/>
      <c r="R136" s="11"/>
      <c r="U136">
        <f>IF(VLOOKUP(H136,簡易仕様書!$D$30:$J$61,7,FALSE)&gt;V136,VLOOKUP(H136,簡易仕様書!$D$30:$J$61,7,FALSE),V136)</f>
        <v>11.1</v>
      </c>
      <c r="V136">
        <f t="shared" si="103"/>
        <v>11.1</v>
      </c>
      <c r="W136" t="str">
        <f>VLOOKUP(H136,簡易仕様書!$D$30:$J$61,5,FALSE)</f>
        <v>B</v>
      </c>
      <c r="X136">
        <f>VLOOKUP(H136,簡易仕様書!$D$30:$J$61,6,FALSE)</f>
        <v>5.3</v>
      </c>
      <c r="Y136" t="str">
        <f>VLOOKUP(H136,簡易仕様書!$D$30:$M$61,10,FALSE)</f>
        <v>Tl-201</v>
      </c>
      <c r="Z136" t="str">
        <f t="shared" si="104"/>
        <v/>
      </c>
      <c r="AA136" t="str">
        <f t="shared" si="108"/>
        <v/>
      </c>
      <c r="AB136" t="str">
        <f>VLOOKUP(H136,簡易仕様書!$D$30:$F$61,3,FALSE)</f>
        <v>tl</v>
      </c>
      <c r="AC136" t="str">
        <f>INDEX(簡易仕様書!$A$30:$A$61,MATCH(H136,簡易仕様書!$D$30:$D$61,0))</f>
        <v>塩化タリウム（腫瘍）</v>
      </c>
    </row>
    <row r="137" spans="1:29">
      <c r="A137" s="14">
        <v>134</v>
      </c>
      <c r="B137" s="44"/>
      <c r="C137" s="46"/>
      <c r="D137" s="40"/>
      <c r="E137" s="40"/>
      <c r="F137" s="14" t="s">
        <v>267</v>
      </c>
      <c r="G137" s="14" t="s">
        <v>269</v>
      </c>
      <c r="H137" s="14" t="s">
        <v>189</v>
      </c>
      <c r="I137" s="14">
        <v>0.1</v>
      </c>
      <c r="J137" s="11" t="str">
        <f t="shared" ref="J137" si="112">("薬剤に")&amp;H137&amp;("を選択、体重に")&amp;I137&amp;("と入力して計算ボタンを押す")</f>
        <v>薬剤にTlClを選択、体重に0.1と入力して計算ボタンを押す</v>
      </c>
      <c r="K137" s="11" t="str">
        <f>("体重:")&amp;I137&amp;("kg、薬剤名:")&amp;Y137&amp;INDEX(簡易仕様書!$A$30:$A$61,MATCH(H137,簡易仕様書!$D$30:$D$61,0))&amp;("、投与量:")&amp;U137&amp;("MBqと表示されること")</f>
        <v>体重:0.1kg、薬剤名:Tl-201塩化タリウム（腫瘍）、投与量:11MBqと表示されること</v>
      </c>
      <c r="L137" s="14" t="s">
        <v>337</v>
      </c>
      <c r="M137" s="14" t="s">
        <v>369</v>
      </c>
      <c r="N137" s="26">
        <v>45714.306469907409</v>
      </c>
      <c r="O137" s="11"/>
      <c r="P137" s="11"/>
      <c r="Q137" s="11"/>
      <c r="R137" s="11"/>
      <c r="U137">
        <f>IF(VLOOKUP(H137,簡易仕様書!$D$30:$J$61,7,FALSE)&gt;V137,VLOOKUP(H137,簡易仕様書!$D$30:$J$61,7,FALSE),V137)</f>
        <v>11</v>
      </c>
      <c r="V137">
        <f t="shared" ref="V137" si="113">ROUND(IF(W137="A",((-0.00000028)*I137^4+0.00004915*I137^3+(-0.00337375)*I137^2+0.1677306*I137+0.53976823)*X137,
IF(W137="B",((-0.00000023)*I137^4+0.00003846*I137^3-0.00262028*I137^2+0.27495836*I137+0.14075609)*X137,
(-0.00000001*I137^4-0.00001462*I137^3+0.00247677*I137^2+0.38073934*I137-0.24312323)*X137)),1)</f>
        <v>0.9</v>
      </c>
      <c r="W137" t="str">
        <f>VLOOKUP(H137,簡易仕様書!$D$30:$J$61,5,FALSE)</f>
        <v>B</v>
      </c>
      <c r="X137">
        <f>VLOOKUP(H137,簡易仕様書!$D$30:$J$61,6,FALSE)</f>
        <v>5.3</v>
      </c>
      <c r="Y137" t="str">
        <f>VLOOKUP(H137,簡易仕様書!$D$30:$M$61,10,FALSE)</f>
        <v>Tl-201</v>
      </c>
      <c r="Z137" t="str">
        <f t="shared" si="104"/>
        <v/>
      </c>
      <c r="AA137" t="str">
        <f t="shared" si="108"/>
        <v/>
      </c>
      <c r="AB137" t="str">
        <f>VLOOKUP(H137,簡易仕様書!$D$30:$F$61,3,FALSE)</f>
        <v>tl</v>
      </c>
      <c r="AC137" t="str">
        <f>INDEX(簡易仕様書!$A$30:$A$61,MATCH(H137,簡易仕様書!$D$30:$D$61,0))</f>
        <v>塩化タリウム（腫瘍）</v>
      </c>
    </row>
    <row r="138" spans="1:29">
      <c r="A138" s="14">
        <v>135</v>
      </c>
      <c r="B138" s="44"/>
      <c r="C138" s="46"/>
      <c r="D138" s="40"/>
      <c r="E138" s="40"/>
      <c r="F138" s="14" t="s">
        <v>267</v>
      </c>
      <c r="G138" s="14" t="s">
        <v>269</v>
      </c>
      <c r="H138" s="14" t="s">
        <v>189</v>
      </c>
      <c r="I138" s="14">
        <v>70</v>
      </c>
      <c r="J138" s="11" t="str">
        <f t="shared" si="102"/>
        <v>薬剤にTlClを選択、体重に70と入力して計算ボタンを押す</v>
      </c>
      <c r="K138" s="11" t="str">
        <f>("体重:")&amp;I138&amp;("kg、薬剤名:")&amp;Y138&amp;INDEX(簡易仕様書!$A$30:$A$61,MATCH(H138,簡易仕様書!$D$30:$D$61,0))&amp;("、投与量:")&amp;U138&amp;("MBqと表示されること")</f>
        <v>体重:70kg、薬剤名:Tl-201塩化タリウム（腫瘍）、投与量:75.4MBqと表示されること</v>
      </c>
      <c r="L138" s="14" t="s">
        <v>337</v>
      </c>
      <c r="M138" s="14" t="s">
        <v>369</v>
      </c>
      <c r="N138" s="26">
        <v>45714.306493055556</v>
      </c>
      <c r="O138" s="11"/>
      <c r="P138" s="11"/>
      <c r="Q138" s="11"/>
      <c r="R138" s="11"/>
      <c r="U138">
        <f>IF(VLOOKUP(H138,簡易仕様書!$D$30:$J$61,7,FALSE)&gt;V138,VLOOKUP(H138,簡易仕様書!$D$30:$J$61,7,FALSE),V138)</f>
        <v>75.400000000000006</v>
      </c>
      <c r="V138">
        <f t="shared" si="103"/>
        <v>75.400000000000006</v>
      </c>
      <c r="W138" t="str">
        <f>VLOOKUP(H138,簡易仕様書!$D$30:$J$61,5,FALSE)</f>
        <v>B</v>
      </c>
      <c r="X138">
        <f>VLOOKUP(H138,簡易仕様書!$D$30:$J$61,6,FALSE)</f>
        <v>5.3</v>
      </c>
      <c r="Y138" t="str">
        <f>VLOOKUP(H138,簡易仕様書!$D$30:$M$61,10,FALSE)</f>
        <v>Tl-201</v>
      </c>
      <c r="Z138" t="str">
        <f t="shared" si="104"/>
        <v/>
      </c>
      <c r="AA138" t="str">
        <f t="shared" si="108"/>
        <v/>
      </c>
      <c r="AB138" t="str">
        <f>VLOOKUP(H138,簡易仕様書!$D$30:$F$61,3,FALSE)</f>
        <v>tl</v>
      </c>
      <c r="AC138" t="str">
        <f>INDEX(簡易仕様書!$A$30:$A$61,MATCH(H138,簡易仕様書!$D$30:$D$61,0))</f>
        <v>塩化タリウム（腫瘍）</v>
      </c>
    </row>
    <row r="139" spans="1:29">
      <c r="A139" s="14">
        <v>136</v>
      </c>
      <c r="B139" s="44"/>
      <c r="C139" s="46"/>
      <c r="D139" s="40"/>
      <c r="E139" s="40"/>
      <c r="F139" s="14" t="s">
        <v>267</v>
      </c>
      <c r="G139" s="14" t="s">
        <v>269</v>
      </c>
      <c r="H139" s="14" t="s">
        <v>188</v>
      </c>
      <c r="I139" s="14">
        <f>IF((ROUND(VLOOKUP(H139,簡易仕様書!$D$30:$L$61,8,FALSE),1))&gt;VLOOKUP(H139,簡易仕様書!$D$30:$L$61,7,FALSE),
VLOOKUP(H139,簡易仕様書!$D$30:$L$61,9,FALSE)-0.1,VLOOKUP(H139,簡易仕様書!$D$30:$L$61,9,FALSE))</f>
        <v>7.5</v>
      </c>
      <c r="J139" s="11" t="str">
        <f t="shared" si="102"/>
        <v>薬剤にIn-111を選択、体重に7.5と入力して計算ボタンを押す</v>
      </c>
      <c r="K139" s="11" t="str">
        <f>("体重:")&amp;I139&amp;("kg、薬剤名:")&amp;Y139&amp;INDEX(簡易仕様書!$A$30:$A$61,MATCH(H139,簡易仕様書!$D$30:$D$61,0))&amp;("、投与量:")&amp;U139&amp;("MBqと表示されること")</f>
        <v>体重:7.5kg、薬剤名:In-111塩化インジウム、投与量:11MBqと表示されること</v>
      </c>
      <c r="L139" s="14" t="s">
        <v>337</v>
      </c>
      <c r="M139" s="14" t="s">
        <v>369</v>
      </c>
      <c r="N139" s="26">
        <v>45714.306516203702</v>
      </c>
      <c r="O139" s="11"/>
      <c r="P139" s="11"/>
      <c r="Q139" s="11"/>
      <c r="R139" s="11"/>
      <c r="U139">
        <f>IF(VLOOKUP(H139,簡易仕様書!$D$30:$J$61,7,FALSE)&gt;V139,VLOOKUP(H139,簡易仕様書!$D$30:$J$61,7,FALSE),V139)</f>
        <v>11</v>
      </c>
      <c r="V139">
        <f>ROUND(IF(W139="A",((-0.00000028)*I139^4+0.00004915*I139^3+(-0.00337375)*I139^2+0.1677306*I139+0.53976823)*X139,
IF(W139="B",((-0.00000023)*I139^4+0.00003846*I139^3-0.00262028*I139^2+0.27495836*I139+0.14075609)*X139,
(-0.00000001*I139^4-0.00001462*I139^3+0.00247677*I139^2+0.38073934*I139-0.24312323)*X139)),1)</f>
        <v>11</v>
      </c>
      <c r="W139" t="str">
        <f>VLOOKUP(H139,簡易仕様書!$D$30:$J$61,5,FALSE)</f>
        <v>B</v>
      </c>
      <c r="X139">
        <f>VLOOKUP(H139,簡易仕様書!$D$30:$J$61,6,FALSE)</f>
        <v>5.3</v>
      </c>
      <c r="Y139" t="str">
        <f>VLOOKUP(H139,簡易仕様書!$D$30:$M$61,10,FALSE)</f>
        <v>In-111</v>
      </c>
      <c r="Z139" t="str">
        <f t="shared" si="104"/>
        <v/>
      </c>
      <c r="AA139" t="str">
        <f t="shared" si="108"/>
        <v/>
      </c>
      <c r="AB139" t="str">
        <f>VLOOKUP(H139,簡易仕様書!$D$30:$F$61,3,FALSE)</f>
        <v>in</v>
      </c>
      <c r="AC139" t="str">
        <f>INDEX(簡易仕様書!$A$30:$A$61,MATCH(H139,簡易仕様書!$D$30:$D$61,0))</f>
        <v>塩化インジウム</v>
      </c>
    </row>
    <row r="140" spans="1:29">
      <c r="A140" s="14">
        <v>137</v>
      </c>
      <c r="B140" s="44"/>
      <c r="C140" s="46"/>
      <c r="D140" s="40"/>
      <c r="E140" s="40"/>
      <c r="F140" s="14" t="s">
        <v>267</v>
      </c>
      <c r="G140" s="14" t="s">
        <v>269</v>
      </c>
      <c r="H140" s="14" t="s">
        <v>188</v>
      </c>
      <c r="I140" s="14">
        <f t="shared" si="44"/>
        <v>7.6</v>
      </c>
      <c r="J140" s="11" t="str">
        <f t="shared" si="102"/>
        <v>薬剤にIn-111を選択、体重に7.6と入力して計算ボタンを押す</v>
      </c>
      <c r="K140" s="11" t="str">
        <f>("体重:")&amp;I140&amp;("kg、薬剤名:")&amp;Y140&amp;INDEX(簡易仕様書!$A$30:$A$61,MATCH(H140,簡易仕様書!$D$30:$D$61,0))&amp;("、投与量:")&amp;U140&amp;("MBqと表示されること")</f>
        <v>体重:7.6kg、薬剤名:In-111塩化インジウム、投与量:11.1MBqと表示されること</v>
      </c>
      <c r="L140" s="14" t="s">
        <v>337</v>
      </c>
      <c r="M140" s="14" t="s">
        <v>369</v>
      </c>
      <c r="N140" s="26">
        <v>45714.306539351855</v>
      </c>
      <c r="O140" s="11"/>
      <c r="P140" s="11"/>
      <c r="Q140" s="11"/>
      <c r="R140" s="11"/>
      <c r="U140">
        <f>IF(VLOOKUP(H140,簡易仕様書!$D$30:$J$61,7,FALSE)&gt;V140,VLOOKUP(H140,簡易仕様書!$D$30:$J$61,7,FALSE),V140)</f>
        <v>11.1</v>
      </c>
      <c r="V140">
        <f t="shared" si="103"/>
        <v>11.1</v>
      </c>
      <c r="W140" t="str">
        <f>VLOOKUP(H140,簡易仕様書!$D$30:$J$61,5,FALSE)</f>
        <v>B</v>
      </c>
      <c r="X140">
        <f>VLOOKUP(H140,簡易仕様書!$D$30:$J$61,6,FALSE)</f>
        <v>5.3</v>
      </c>
      <c r="Y140" t="str">
        <f>VLOOKUP(H140,簡易仕様書!$D$30:$M$61,10,FALSE)</f>
        <v>In-111</v>
      </c>
      <c r="Z140" t="str">
        <f t="shared" si="104"/>
        <v/>
      </c>
      <c r="AA140" t="str">
        <f t="shared" si="108"/>
        <v/>
      </c>
      <c r="AB140" t="str">
        <f>VLOOKUP(H140,簡易仕様書!$D$30:$F$61,3,FALSE)</f>
        <v>in</v>
      </c>
      <c r="AC140" t="str">
        <f>INDEX(簡易仕様書!$A$30:$A$61,MATCH(H140,簡易仕様書!$D$30:$D$61,0))</f>
        <v>塩化インジウム</v>
      </c>
    </row>
    <row r="141" spans="1:29">
      <c r="A141" s="14">
        <v>138</v>
      </c>
      <c r="B141" s="44"/>
      <c r="C141" s="46"/>
      <c r="D141" s="40"/>
      <c r="E141" s="40"/>
      <c r="F141" s="14" t="s">
        <v>267</v>
      </c>
      <c r="G141" s="14" t="s">
        <v>269</v>
      </c>
      <c r="H141" s="14" t="s">
        <v>188</v>
      </c>
      <c r="I141" s="14">
        <v>0.1</v>
      </c>
      <c r="J141" s="11" t="str">
        <f t="shared" ref="J141" si="114">("薬剤に")&amp;H141&amp;("を選択、体重に")&amp;I141&amp;("と入力して計算ボタンを押す")</f>
        <v>薬剤にIn-111を選択、体重に0.1と入力して計算ボタンを押す</v>
      </c>
      <c r="K141" s="11" t="str">
        <f>("体重:")&amp;I141&amp;("kg、薬剤名:")&amp;Y141&amp;INDEX(簡易仕様書!$A$30:$A$61,MATCH(H141,簡易仕様書!$D$30:$D$61,0))&amp;("、投与量:")&amp;U141&amp;("MBqと表示されること")</f>
        <v>体重:0.1kg、薬剤名:In-111塩化インジウム、投与量:11MBqと表示されること</v>
      </c>
      <c r="L141" s="14" t="s">
        <v>337</v>
      </c>
      <c r="M141" s="14" t="s">
        <v>369</v>
      </c>
      <c r="N141" s="26">
        <v>45714.306562500002</v>
      </c>
      <c r="O141" s="11"/>
      <c r="P141" s="11"/>
      <c r="Q141" s="11"/>
      <c r="R141" s="11"/>
      <c r="U141">
        <f>IF(VLOOKUP(H141,簡易仕様書!$D$30:$J$61,7,FALSE)&gt;V141,VLOOKUP(H141,簡易仕様書!$D$30:$J$61,7,FALSE),V141)</f>
        <v>11</v>
      </c>
      <c r="V141">
        <f t="shared" ref="V141" si="115">ROUND(IF(W141="A",((-0.00000028)*I141^4+0.00004915*I141^3+(-0.00337375)*I141^2+0.1677306*I141+0.53976823)*X141,
IF(W141="B",((-0.00000023)*I141^4+0.00003846*I141^3-0.00262028*I141^2+0.27495836*I141+0.14075609)*X141,
(-0.00000001*I141^4-0.00001462*I141^3+0.00247677*I141^2+0.38073934*I141-0.24312323)*X141)),1)</f>
        <v>0.9</v>
      </c>
      <c r="W141" t="str">
        <f>VLOOKUP(H141,簡易仕様書!$D$30:$J$61,5,FALSE)</f>
        <v>B</v>
      </c>
      <c r="X141">
        <f>VLOOKUP(H141,簡易仕様書!$D$30:$J$61,6,FALSE)</f>
        <v>5.3</v>
      </c>
      <c r="Y141" t="str">
        <f>VLOOKUP(H141,簡易仕様書!$D$30:$M$61,10,FALSE)</f>
        <v>In-111</v>
      </c>
      <c r="Z141" t="str">
        <f t="shared" si="104"/>
        <v/>
      </c>
      <c r="AA141" t="str">
        <f t="shared" si="108"/>
        <v/>
      </c>
      <c r="AB141" t="str">
        <f>VLOOKUP(H141,簡易仕様書!$D$30:$F$61,3,FALSE)</f>
        <v>in</v>
      </c>
      <c r="AC141" t="str">
        <f>INDEX(簡易仕様書!$A$30:$A$61,MATCH(H141,簡易仕様書!$D$30:$D$61,0))</f>
        <v>塩化インジウム</v>
      </c>
    </row>
    <row r="142" spans="1:29">
      <c r="A142" s="14">
        <v>139</v>
      </c>
      <c r="B142" s="44"/>
      <c r="C142" s="46"/>
      <c r="D142" s="40"/>
      <c r="E142" s="40"/>
      <c r="F142" s="14" t="s">
        <v>267</v>
      </c>
      <c r="G142" s="14" t="s">
        <v>269</v>
      </c>
      <c r="H142" s="14" t="s">
        <v>188</v>
      </c>
      <c r="I142" s="14">
        <v>70</v>
      </c>
      <c r="J142" s="11" t="str">
        <f t="shared" si="102"/>
        <v>薬剤にIn-111を選択、体重に70と入力して計算ボタンを押す</v>
      </c>
      <c r="K142" s="11" t="str">
        <f>("体重:")&amp;I142&amp;("kg、薬剤名:")&amp;Y142&amp;INDEX(簡易仕様書!$A$30:$A$61,MATCH(H142,簡易仕様書!$D$30:$D$61,0))&amp;("、投与量:")&amp;U142&amp;("MBqと表示されること")</f>
        <v>体重:70kg、薬剤名:In-111塩化インジウム、投与量:75.4MBqと表示されること</v>
      </c>
      <c r="L142" s="14" t="s">
        <v>337</v>
      </c>
      <c r="M142" s="14" t="s">
        <v>369</v>
      </c>
      <c r="N142" s="26">
        <v>45714.306574074071</v>
      </c>
      <c r="O142" s="11"/>
      <c r="P142" s="11"/>
      <c r="Q142" s="11"/>
      <c r="R142" s="11"/>
      <c r="U142">
        <f>IF(VLOOKUP(H142,簡易仕様書!$D$30:$J$61,7,FALSE)&gt;V142,VLOOKUP(H142,簡易仕様書!$D$30:$J$61,7,FALSE),V142)</f>
        <v>75.400000000000006</v>
      </c>
      <c r="V142">
        <f t="shared" si="103"/>
        <v>75.400000000000006</v>
      </c>
      <c r="W142" t="str">
        <f>VLOOKUP(H142,簡易仕様書!$D$30:$J$61,5,FALSE)</f>
        <v>B</v>
      </c>
      <c r="X142">
        <f>VLOOKUP(H142,簡易仕様書!$D$30:$J$61,6,FALSE)</f>
        <v>5.3</v>
      </c>
      <c r="Y142" t="str">
        <f>VLOOKUP(H142,簡易仕様書!$D$30:$M$61,10,FALSE)</f>
        <v>In-111</v>
      </c>
      <c r="Z142" t="str">
        <f t="shared" si="104"/>
        <v/>
      </c>
      <c r="AA142" t="str">
        <f t="shared" si="108"/>
        <v/>
      </c>
      <c r="AB142" t="str">
        <f>VLOOKUP(H142,簡易仕様書!$D$30:$F$61,3,FALSE)</f>
        <v>in</v>
      </c>
      <c r="AC142" t="str">
        <f>INDEX(簡易仕様書!$A$30:$A$61,MATCH(H142,簡易仕様書!$D$30:$D$61,0))</f>
        <v>塩化インジウム</v>
      </c>
    </row>
    <row r="143" spans="1:29">
      <c r="A143" s="14">
        <v>140</v>
      </c>
      <c r="B143" s="44"/>
      <c r="C143" s="43" t="s">
        <v>135</v>
      </c>
      <c r="D143" s="40" t="s">
        <v>23</v>
      </c>
      <c r="E143" s="43" t="s">
        <v>18</v>
      </c>
      <c r="F143" s="14" t="s">
        <v>267</v>
      </c>
      <c r="G143" s="14" t="s">
        <v>269</v>
      </c>
      <c r="H143" s="14" t="s">
        <v>269</v>
      </c>
      <c r="I143" s="14" t="s">
        <v>269</v>
      </c>
      <c r="J143" s="11" t="s">
        <v>281</v>
      </c>
      <c r="K143" s="11" t="s">
        <v>279</v>
      </c>
      <c r="L143" s="14" t="s">
        <v>250</v>
      </c>
      <c r="M143" s="14"/>
      <c r="N143" s="26"/>
      <c r="O143" s="26"/>
      <c r="P143" s="11"/>
      <c r="Q143" s="11"/>
      <c r="R143" s="11"/>
    </row>
    <row r="144" spans="1:29">
      <c r="A144" s="14">
        <v>141</v>
      </c>
      <c r="B144" s="44"/>
      <c r="C144" s="44"/>
      <c r="D144" s="40"/>
      <c r="E144" s="44"/>
      <c r="F144" s="14" t="s">
        <v>268</v>
      </c>
      <c r="G144" s="11" t="s">
        <v>294</v>
      </c>
      <c r="H144" s="14" t="s">
        <v>269</v>
      </c>
      <c r="I144" s="14" t="s">
        <v>269</v>
      </c>
      <c r="J144" s="11" t="s">
        <v>292</v>
      </c>
      <c r="K144" s="11" t="s">
        <v>284</v>
      </c>
      <c r="L144" s="14" t="s">
        <v>250</v>
      </c>
      <c r="M144" s="14"/>
      <c r="N144" s="26"/>
      <c r="O144" s="26"/>
      <c r="P144" s="11"/>
      <c r="Q144" s="11"/>
      <c r="R144" s="11"/>
    </row>
    <row r="145" spans="1:18">
      <c r="A145" s="14">
        <v>142</v>
      </c>
      <c r="B145" s="44"/>
      <c r="C145" s="44"/>
      <c r="D145" s="40"/>
      <c r="E145" s="44"/>
      <c r="F145" s="14" t="s">
        <v>268</v>
      </c>
      <c r="G145" s="11" t="s">
        <v>295</v>
      </c>
      <c r="H145" s="14" t="s">
        <v>269</v>
      </c>
      <c r="I145" s="14" t="s">
        <v>269</v>
      </c>
      <c r="J145" s="11" t="s">
        <v>296</v>
      </c>
      <c r="K145" s="11" t="s">
        <v>297</v>
      </c>
      <c r="L145" s="14" t="s">
        <v>250</v>
      </c>
      <c r="M145" s="14"/>
      <c r="N145" s="11"/>
      <c r="O145" s="11"/>
      <c r="P145" s="11"/>
      <c r="Q145" s="11"/>
      <c r="R145" s="11"/>
    </row>
    <row r="146" spans="1:18">
      <c r="A146" s="14">
        <v>143</v>
      </c>
      <c r="B146" s="44"/>
      <c r="C146" s="44"/>
      <c r="D146" s="40"/>
      <c r="E146" s="44"/>
      <c r="F146" s="14" t="s">
        <v>268</v>
      </c>
      <c r="G146" s="11" t="s">
        <v>295</v>
      </c>
      <c r="H146" s="14" t="s">
        <v>269</v>
      </c>
      <c r="I146" s="14" t="s">
        <v>269</v>
      </c>
      <c r="J146" s="11" t="s">
        <v>352</v>
      </c>
      <c r="K146" s="11" t="s">
        <v>353</v>
      </c>
      <c r="L146" s="14" t="s">
        <v>250</v>
      </c>
      <c r="M146" s="14"/>
      <c r="N146" s="11"/>
      <c r="O146" s="11"/>
      <c r="P146" s="11"/>
      <c r="Q146" s="11"/>
      <c r="R146" s="11"/>
    </row>
    <row r="147" spans="1:18">
      <c r="A147" s="14">
        <v>144</v>
      </c>
      <c r="B147" s="44"/>
      <c r="C147" s="44"/>
      <c r="D147" s="40"/>
      <c r="E147" s="44"/>
      <c r="F147" s="14" t="s">
        <v>268</v>
      </c>
      <c r="G147" s="11" t="s">
        <v>298</v>
      </c>
      <c r="H147" s="14" t="s">
        <v>269</v>
      </c>
      <c r="I147" s="14" t="s">
        <v>269</v>
      </c>
      <c r="J147" s="11" t="s">
        <v>291</v>
      </c>
      <c r="K147" s="11" t="s">
        <v>285</v>
      </c>
      <c r="L147" s="14" t="s">
        <v>250</v>
      </c>
      <c r="M147" s="14"/>
      <c r="N147" s="11"/>
      <c r="O147" s="11"/>
      <c r="P147" s="11"/>
      <c r="Q147" s="11"/>
      <c r="R147" s="11"/>
    </row>
    <row r="148" spans="1:18">
      <c r="A148" s="14">
        <v>145</v>
      </c>
      <c r="B148" s="44"/>
      <c r="C148" s="44"/>
      <c r="D148" s="40"/>
      <c r="E148" s="44"/>
      <c r="F148" s="14" t="s">
        <v>268</v>
      </c>
      <c r="G148" s="11" t="s">
        <v>298</v>
      </c>
      <c r="H148" s="14" t="s">
        <v>269</v>
      </c>
      <c r="I148" s="14" t="s">
        <v>269</v>
      </c>
      <c r="J148" s="11" t="s">
        <v>352</v>
      </c>
      <c r="K148" s="11" t="s">
        <v>353</v>
      </c>
      <c r="L148" s="14" t="s">
        <v>250</v>
      </c>
      <c r="M148" s="14"/>
      <c r="N148" s="11"/>
      <c r="O148" s="11"/>
      <c r="P148" s="11"/>
      <c r="Q148" s="11"/>
      <c r="R148" s="11"/>
    </row>
    <row r="149" spans="1:18">
      <c r="A149" s="14">
        <v>146</v>
      </c>
      <c r="B149" s="44"/>
      <c r="C149" s="44"/>
      <c r="D149" s="40"/>
      <c r="E149" s="44"/>
      <c r="F149" s="14" t="s">
        <v>268</v>
      </c>
      <c r="G149" s="11" t="s">
        <v>354</v>
      </c>
      <c r="H149" s="14" t="s">
        <v>269</v>
      </c>
      <c r="I149" s="14" t="s">
        <v>269</v>
      </c>
      <c r="J149" s="11" t="s">
        <v>299</v>
      </c>
      <c r="K149" s="11" t="s">
        <v>285</v>
      </c>
      <c r="L149" s="14" t="s">
        <v>250</v>
      </c>
      <c r="M149" s="14"/>
      <c r="N149" s="11"/>
      <c r="O149" s="11"/>
      <c r="P149" s="11"/>
      <c r="Q149" s="11"/>
      <c r="R149" s="11"/>
    </row>
    <row r="150" spans="1:18">
      <c r="A150" s="14">
        <v>147</v>
      </c>
      <c r="B150" s="44"/>
      <c r="C150" s="44"/>
      <c r="D150" s="44" t="s">
        <v>288</v>
      </c>
      <c r="E150" s="44"/>
      <c r="F150" s="14" t="s">
        <v>268</v>
      </c>
      <c r="G150" s="14" t="s">
        <v>269</v>
      </c>
      <c r="H150" s="14" t="s">
        <v>269</v>
      </c>
      <c r="I150" s="14" t="s">
        <v>269</v>
      </c>
      <c r="J150" s="11" t="s">
        <v>357</v>
      </c>
      <c r="K150" s="11" t="s">
        <v>358</v>
      </c>
      <c r="L150" s="14" t="s">
        <v>250</v>
      </c>
      <c r="M150" s="14"/>
      <c r="N150" s="26"/>
      <c r="O150" s="26"/>
      <c r="P150" s="11"/>
      <c r="Q150" s="11"/>
      <c r="R150" s="11"/>
    </row>
    <row r="151" spans="1:18">
      <c r="A151" s="14">
        <v>148</v>
      </c>
      <c r="B151" s="44"/>
      <c r="C151" s="44"/>
      <c r="D151" s="44"/>
      <c r="E151" s="44"/>
      <c r="F151" s="14" t="s">
        <v>268</v>
      </c>
      <c r="G151" s="14" t="s">
        <v>269</v>
      </c>
      <c r="H151" s="14" t="s">
        <v>269</v>
      </c>
      <c r="I151" s="14" t="s">
        <v>269</v>
      </c>
      <c r="J151" s="11" t="s">
        <v>282</v>
      </c>
      <c r="K151" s="11" t="s">
        <v>283</v>
      </c>
      <c r="L151" s="14" t="s">
        <v>250</v>
      </c>
      <c r="M151" s="14"/>
      <c r="N151" s="26"/>
      <c r="O151" s="26"/>
      <c r="P151" s="11"/>
      <c r="Q151" s="11"/>
      <c r="R151" s="11"/>
    </row>
    <row r="152" spans="1:18">
      <c r="A152" s="14">
        <v>149</v>
      </c>
      <c r="B152" s="44"/>
      <c r="C152" s="44"/>
      <c r="D152" s="44"/>
      <c r="E152" s="45"/>
      <c r="F152" s="14" t="s">
        <v>268</v>
      </c>
      <c r="G152" s="14" t="s">
        <v>269</v>
      </c>
      <c r="H152" s="14" t="s">
        <v>269</v>
      </c>
      <c r="I152" s="14" t="s">
        <v>269</v>
      </c>
      <c r="J152" s="11" t="s">
        <v>325</v>
      </c>
      <c r="K152" s="11" t="s">
        <v>286</v>
      </c>
      <c r="L152" s="14" t="s">
        <v>250</v>
      </c>
      <c r="M152" s="14"/>
      <c r="N152" s="26"/>
      <c r="O152" s="26"/>
      <c r="P152" s="11"/>
      <c r="Q152" s="11"/>
      <c r="R152" s="11"/>
    </row>
    <row r="153" spans="1:18">
      <c r="A153" s="14">
        <v>150</v>
      </c>
      <c r="B153" s="44"/>
      <c r="C153" s="44"/>
      <c r="D153" s="44"/>
      <c r="E153" s="29" t="s">
        <v>289</v>
      </c>
      <c r="F153" s="29" t="s">
        <v>267</v>
      </c>
      <c r="G153" s="29" t="s">
        <v>269</v>
      </c>
      <c r="H153" s="29" t="s">
        <v>269</v>
      </c>
      <c r="I153" s="29" t="s">
        <v>269</v>
      </c>
      <c r="J153" s="11" t="s">
        <v>290</v>
      </c>
      <c r="K153" s="11" t="s">
        <v>293</v>
      </c>
      <c r="L153" s="14" t="s">
        <v>365</v>
      </c>
      <c r="M153" s="14" t="s">
        <v>369</v>
      </c>
      <c r="N153" s="26">
        <v>45714.303425925929</v>
      </c>
      <c r="O153" s="11"/>
      <c r="P153" s="11"/>
      <c r="Q153" s="11"/>
      <c r="R153" s="11" t="s">
        <v>370</v>
      </c>
    </row>
    <row r="154" spans="1:18" ht="21" customHeight="1">
      <c r="A154" s="14">
        <v>151</v>
      </c>
      <c r="B154" s="44"/>
      <c r="C154" s="41" t="s">
        <v>307</v>
      </c>
      <c r="D154" s="43" t="s">
        <v>23</v>
      </c>
      <c r="E154" s="43" t="s">
        <v>309</v>
      </c>
      <c r="F154" s="14" t="s">
        <v>267</v>
      </c>
      <c r="G154" s="14" t="s">
        <v>269</v>
      </c>
      <c r="H154" s="14" t="s">
        <v>269</v>
      </c>
      <c r="I154" s="14" t="s">
        <v>269</v>
      </c>
      <c r="J154" s="11" t="s">
        <v>300</v>
      </c>
      <c r="K154" s="11" t="s">
        <v>302</v>
      </c>
      <c r="L154" s="14" t="s">
        <v>250</v>
      </c>
      <c r="M154" s="14"/>
      <c r="N154" s="26"/>
      <c r="O154" s="26"/>
      <c r="P154" s="11"/>
      <c r="Q154" s="11"/>
      <c r="R154" s="11"/>
    </row>
    <row r="155" spans="1:18">
      <c r="A155" s="14">
        <v>152</v>
      </c>
      <c r="B155" s="44"/>
      <c r="C155" s="42"/>
      <c r="D155" s="44"/>
      <c r="E155" s="44"/>
      <c r="F155" s="14" t="s">
        <v>267</v>
      </c>
      <c r="G155" s="14" t="s">
        <v>269</v>
      </c>
      <c r="H155" s="14" t="s">
        <v>269</v>
      </c>
      <c r="I155" s="14" t="s">
        <v>269</v>
      </c>
      <c r="J155" s="11" t="s">
        <v>301</v>
      </c>
      <c r="K155" s="11" t="s">
        <v>303</v>
      </c>
      <c r="L155" s="14" t="s">
        <v>250</v>
      </c>
      <c r="M155" s="14"/>
      <c r="N155" s="26"/>
      <c r="O155" s="26"/>
      <c r="P155" s="11"/>
      <c r="Q155" s="11"/>
      <c r="R155" s="11"/>
    </row>
    <row r="156" spans="1:18">
      <c r="A156" s="14">
        <v>153</v>
      </c>
      <c r="B156" s="44"/>
      <c r="C156" s="42"/>
      <c r="D156" s="45"/>
      <c r="E156" s="14" t="s">
        <v>310</v>
      </c>
      <c r="F156" s="14" t="s">
        <v>267</v>
      </c>
      <c r="G156" s="14" t="s">
        <v>269</v>
      </c>
      <c r="H156" s="14" t="s">
        <v>169</v>
      </c>
      <c r="I156" s="14">
        <v>1</v>
      </c>
      <c r="J156" s="11" t="s">
        <v>305</v>
      </c>
      <c r="K156" s="11" t="s">
        <v>304</v>
      </c>
      <c r="L156" s="14" t="s">
        <v>250</v>
      </c>
      <c r="M156" s="14"/>
      <c r="N156" s="26"/>
      <c r="O156" s="26"/>
      <c r="P156" s="11"/>
      <c r="Q156" s="11"/>
      <c r="R156" s="11"/>
    </row>
    <row r="157" spans="1:18" ht="20" customHeight="1">
      <c r="A157" s="14">
        <v>154</v>
      </c>
      <c r="B157" s="44"/>
      <c r="C157" s="42"/>
      <c r="D157" s="40" t="s">
        <v>249</v>
      </c>
      <c r="E157" s="41" t="s">
        <v>280</v>
      </c>
      <c r="F157" s="14" t="s">
        <v>267</v>
      </c>
      <c r="G157" s="14" t="s">
        <v>269</v>
      </c>
      <c r="H157" s="14" t="s">
        <v>269</v>
      </c>
      <c r="I157" s="14" t="s">
        <v>269</v>
      </c>
      <c r="J157" s="11" t="s">
        <v>341</v>
      </c>
      <c r="K157" s="11" t="s">
        <v>338</v>
      </c>
      <c r="L157" s="14" t="s">
        <v>250</v>
      </c>
      <c r="M157" s="28"/>
      <c r="N157" s="11"/>
      <c r="O157" s="11"/>
      <c r="P157" s="11"/>
      <c r="Q157" s="11"/>
      <c r="R157" s="11"/>
    </row>
    <row r="158" spans="1:18" ht="20" customHeight="1">
      <c r="A158" s="14">
        <v>155</v>
      </c>
      <c r="B158" s="44"/>
      <c r="C158" s="42"/>
      <c r="D158" s="40"/>
      <c r="E158" s="42"/>
      <c r="F158" s="14" t="s">
        <v>267</v>
      </c>
      <c r="G158" s="14" t="s">
        <v>269</v>
      </c>
      <c r="H158" s="14" t="s">
        <v>269</v>
      </c>
      <c r="I158" s="14" t="s">
        <v>269</v>
      </c>
      <c r="J158" s="11" t="s">
        <v>340</v>
      </c>
      <c r="K158" s="11" t="s">
        <v>339</v>
      </c>
      <c r="L158" s="14" t="s">
        <v>250</v>
      </c>
      <c r="M158" s="28"/>
      <c r="N158" s="11"/>
      <c r="O158" s="11"/>
      <c r="P158" s="11"/>
      <c r="Q158" s="11"/>
      <c r="R158" s="11"/>
    </row>
    <row r="159" spans="1:18">
      <c r="A159" s="14">
        <v>156</v>
      </c>
      <c r="B159" s="44"/>
      <c r="C159" s="42"/>
      <c r="D159" s="40"/>
      <c r="E159" s="42"/>
      <c r="F159" s="14" t="s">
        <v>267</v>
      </c>
      <c r="G159" s="14" t="s">
        <v>269</v>
      </c>
      <c r="H159" s="14" t="s">
        <v>269</v>
      </c>
      <c r="I159" s="14">
        <v>10</v>
      </c>
      <c r="J159" s="11" t="s">
        <v>342</v>
      </c>
      <c r="K159" s="11" t="s">
        <v>343</v>
      </c>
      <c r="L159" s="14" t="s">
        <v>250</v>
      </c>
      <c r="M159" s="14"/>
      <c r="N159" s="11"/>
      <c r="O159" s="11"/>
      <c r="P159" s="11"/>
      <c r="Q159" s="11"/>
      <c r="R159" s="11"/>
    </row>
    <row r="160" spans="1:18">
      <c r="A160" s="14">
        <v>157</v>
      </c>
      <c r="B160" s="44"/>
      <c r="C160" s="42"/>
      <c r="D160" s="40"/>
      <c r="E160" s="44"/>
      <c r="F160" s="14" t="s">
        <v>267</v>
      </c>
      <c r="G160" s="14" t="s">
        <v>269</v>
      </c>
      <c r="H160" s="14" t="s">
        <v>269</v>
      </c>
      <c r="I160" s="14">
        <v>10</v>
      </c>
      <c r="J160" s="11" t="s">
        <v>344</v>
      </c>
      <c r="K160" s="11" t="s">
        <v>339</v>
      </c>
      <c r="L160" s="14" t="s">
        <v>250</v>
      </c>
      <c r="M160" s="14"/>
      <c r="N160" s="11"/>
      <c r="O160" s="11"/>
      <c r="P160" s="11"/>
      <c r="Q160" s="11"/>
      <c r="R160" s="11"/>
    </row>
    <row r="161" spans="1:29">
      <c r="A161" s="14">
        <v>158</v>
      </c>
      <c r="B161" s="44"/>
      <c r="C161" s="42"/>
      <c r="D161" s="40"/>
      <c r="E161" s="44"/>
      <c r="F161" s="14" t="s">
        <v>267</v>
      </c>
      <c r="G161" s="14" t="s">
        <v>269</v>
      </c>
      <c r="H161" s="14" t="s">
        <v>269</v>
      </c>
      <c r="I161" s="14">
        <v>0</v>
      </c>
      <c r="J161" s="11" t="s">
        <v>345</v>
      </c>
      <c r="K161" s="11" t="s">
        <v>343</v>
      </c>
      <c r="L161" s="14" t="s">
        <v>250</v>
      </c>
      <c r="M161" s="14"/>
      <c r="N161" s="11"/>
      <c r="O161" s="11"/>
      <c r="P161" s="11"/>
      <c r="Q161" s="11"/>
      <c r="R161" s="11"/>
    </row>
    <row r="162" spans="1:29">
      <c r="A162" s="14">
        <v>159</v>
      </c>
      <c r="B162" s="44"/>
      <c r="C162" s="42"/>
      <c r="D162" s="40"/>
      <c r="E162" s="44"/>
      <c r="F162" s="14" t="s">
        <v>267</v>
      </c>
      <c r="G162" s="14" t="s">
        <v>269</v>
      </c>
      <c r="H162" s="14" t="s">
        <v>269</v>
      </c>
      <c r="I162" s="14">
        <v>71</v>
      </c>
      <c r="J162" s="11" t="s">
        <v>346</v>
      </c>
      <c r="K162" s="11" t="s">
        <v>343</v>
      </c>
      <c r="L162" s="14" t="s">
        <v>250</v>
      </c>
      <c r="M162" s="14"/>
      <c r="N162" s="11"/>
      <c r="O162" s="11"/>
      <c r="P162" s="11"/>
      <c r="Q162" s="11"/>
      <c r="R162" s="11"/>
    </row>
    <row r="163" spans="1:29">
      <c r="A163" s="14">
        <v>160</v>
      </c>
      <c r="B163" s="44"/>
      <c r="C163" s="42"/>
      <c r="D163" s="40"/>
      <c r="E163" s="44"/>
      <c r="F163" s="14" t="s">
        <v>267</v>
      </c>
      <c r="G163" s="14" t="s">
        <v>269</v>
      </c>
      <c r="H163" s="14" t="s">
        <v>269</v>
      </c>
      <c r="I163" s="14" t="s">
        <v>251</v>
      </c>
      <c r="J163" s="11" t="s">
        <v>347</v>
      </c>
      <c r="K163" s="11" t="s">
        <v>343</v>
      </c>
      <c r="L163" s="14" t="s">
        <v>250</v>
      </c>
      <c r="M163" s="14"/>
      <c r="N163" s="11"/>
      <c r="O163" s="11"/>
      <c r="P163" s="11"/>
      <c r="Q163" s="11"/>
      <c r="R163" s="11"/>
    </row>
    <row r="164" spans="1:29">
      <c r="A164" s="14">
        <v>161</v>
      </c>
      <c r="B164" s="44"/>
      <c r="C164" s="42"/>
      <c r="D164" s="40"/>
      <c r="E164" s="44"/>
      <c r="F164" s="14" t="s">
        <v>267</v>
      </c>
      <c r="G164" s="14" t="s">
        <v>269</v>
      </c>
      <c r="H164" s="14" t="s">
        <v>269</v>
      </c>
      <c r="I164" s="14" t="s">
        <v>252</v>
      </c>
      <c r="J164" s="11" t="s">
        <v>348</v>
      </c>
      <c r="K164" s="11" t="s">
        <v>343</v>
      </c>
      <c r="L164" s="14" t="s">
        <v>250</v>
      </c>
      <c r="M164" s="14"/>
      <c r="N164" s="11"/>
      <c r="O164" s="11"/>
      <c r="P164" s="11"/>
      <c r="Q164" s="11"/>
      <c r="R164" s="11"/>
    </row>
    <row r="165" spans="1:29">
      <c r="A165" s="14">
        <v>162</v>
      </c>
      <c r="B165" s="44"/>
      <c r="C165" s="42"/>
      <c r="D165" s="40"/>
      <c r="E165" s="44"/>
      <c r="F165" s="14" t="s">
        <v>267</v>
      </c>
      <c r="G165" s="14" t="s">
        <v>269</v>
      </c>
      <c r="H165" s="14" t="s">
        <v>154</v>
      </c>
      <c r="I165" s="14" t="s">
        <v>269</v>
      </c>
      <c r="J165" s="11" t="s">
        <v>349</v>
      </c>
      <c r="K165" s="11" t="s">
        <v>351</v>
      </c>
      <c r="L165" s="14" t="s">
        <v>250</v>
      </c>
      <c r="M165" s="14"/>
      <c r="N165" s="11"/>
      <c r="O165" s="11"/>
      <c r="P165" s="11"/>
      <c r="Q165" s="11"/>
      <c r="R165" s="11"/>
    </row>
    <row r="166" spans="1:29">
      <c r="A166" s="14">
        <v>163</v>
      </c>
      <c r="B166" s="44"/>
      <c r="C166" s="42"/>
      <c r="D166" s="40"/>
      <c r="E166" s="44"/>
      <c r="F166" s="14" t="s">
        <v>267</v>
      </c>
      <c r="G166" s="14" t="s">
        <v>269</v>
      </c>
      <c r="H166" s="14" t="s">
        <v>154</v>
      </c>
      <c r="I166" s="14" t="s">
        <v>269</v>
      </c>
      <c r="J166" s="11" t="s">
        <v>350</v>
      </c>
      <c r="K166" s="11" t="s">
        <v>339</v>
      </c>
      <c r="L166" s="14" t="s">
        <v>250</v>
      </c>
      <c r="M166" s="14"/>
      <c r="N166" s="11"/>
      <c r="O166" s="11"/>
      <c r="P166" s="11"/>
      <c r="Q166" s="11"/>
      <c r="R166" s="11"/>
    </row>
    <row r="167" spans="1:29">
      <c r="A167" s="14">
        <v>164</v>
      </c>
      <c r="B167" s="44"/>
      <c r="C167" s="42"/>
      <c r="D167" s="40"/>
      <c r="E167" s="44"/>
      <c r="F167" s="14" t="s">
        <v>267</v>
      </c>
      <c r="G167" s="14" t="s">
        <v>269</v>
      </c>
      <c r="H167" s="14" t="s">
        <v>154</v>
      </c>
      <c r="I167" s="14">
        <v>0</v>
      </c>
      <c r="J167" s="11" t="str">
        <f>("薬剤に")&amp;H167&amp;("を選択、体重に")&amp;I167&amp;("と入力して計算ボタンを押す。エラーメッセージの内容を確認する")</f>
        <v>薬剤にNaIを選択、体重に0と入力して計算ボタンを押す。エラーメッセージの内容を確認する</v>
      </c>
      <c r="K167" s="11" t="s">
        <v>351</v>
      </c>
      <c r="L167" s="14" t="s">
        <v>250</v>
      </c>
      <c r="M167" s="14"/>
      <c r="N167" s="11"/>
      <c r="O167" s="11"/>
      <c r="P167" s="11"/>
      <c r="Q167" s="11"/>
      <c r="R167" s="11"/>
    </row>
    <row r="168" spans="1:29">
      <c r="A168" s="14">
        <v>165</v>
      </c>
      <c r="B168" s="44"/>
      <c r="C168" s="42"/>
      <c r="D168" s="40"/>
      <c r="E168" s="44"/>
      <c r="F168" s="14" t="s">
        <v>267</v>
      </c>
      <c r="G168" s="14" t="s">
        <v>269</v>
      </c>
      <c r="H168" s="14" t="s">
        <v>154</v>
      </c>
      <c r="I168" s="14">
        <v>71</v>
      </c>
      <c r="J168" s="11" t="str">
        <f t="shared" ref="J168:J176" si="116">("薬剤に")&amp;H168&amp;("を選択、体重に")&amp;I168&amp;("と入力して計算ボタンを押す。エラーメッセージの内容を確認する")</f>
        <v>薬剤にNaIを選択、体重に71と入力して計算ボタンを押す。エラーメッセージの内容を確認する</v>
      </c>
      <c r="K168" s="11" t="s">
        <v>351</v>
      </c>
      <c r="L168" s="14" t="s">
        <v>250</v>
      </c>
      <c r="M168" s="14"/>
      <c r="N168" s="11"/>
      <c r="O168" s="11"/>
      <c r="P168" s="11"/>
      <c r="Q168" s="11"/>
      <c r="R168" s="11"/>
    </row>
    <row r="169" spans="1:29">
      <c r="A169" s="14">
        <v>166</v>
      </c>
      <c r="B169" s="44"/>
      <c r="C169" s="42"/>
      <c r="D169" s="40"/>
      <c r="E169" s="44"/>
      <c r="F169" s="14" t="s">
        <v>267</v>
      </c>
      <c r="G169" s="14" t="s">
        <v>269</v>
      </c>
      <c r="H169" s="14" t="s">
        <v>154</v>
      </c>
      <c r="I169" s="14">
        <v>10.11</v>
      </c>
      <c r="J169" s="11" t="str">
        <f t="shared" ref="J169" si="117">("薬剤に")&amp;H169&amp;("を選択、体重に")&amp;I169&amp;("と入力して計算ボタンを押す。エラーメッセージの内容を確認する")</f>
        <v>薬剤にNaIを選択、体重に10.11と入力して計算ボタンを押す。エラーメッセージの内容を確認する</v>
      </c>
      <c r="K169" s="11" t="s">
        <v>351</v>
      </c>
      <c r="L169" s="14" t="s">
        <v>250</v>
      </c>
      <c r="M169" s="14"/>
      <c r="N169" s="11"/>
      <c r="O169" s="11"/>
      <c r="P169" s="11"/>
      <c r="Q169" s="11"/>
      <c r="R169" s="11"/>
      <c r="U169">
        <f>IF(VLOOKUP(H169,簡易仕様書!$D$30:$J$61,7,FALSE)&gt;V169,VLOOKUP(H169,簡易仕様書!$D$30:$J$61,7,FALSE),V169)</f>
        <v>3</v>
      </c>
      <c r="V169">
        <f t="shared" ref="V169" si="118">ROUND(IF(W169="A",((-0.00000028)*I169^4+0.00004915*I169^3+(-0.00337375)*I169^2+0.1677306*I169+0.53976823)*X169,
IF(W169="B",((-0.00000023)*I169^4+0.00003846*I169^3-0.00262028*I169^2+0.27495836*I169+0.14075609)*X169,
(-0.00000001*I169^4-0.00001462*I169^3+0.00247677*I169^2+0.38073934*I169-0.24312323)*X169)),1)</f>
        <v>2.2999999999999998</v>
      </c>
      <c r="W169" t="str">
        <f>VLOOKUP(H169,簡易仕様書!$D$30:$J$61,5,FALSE)</f>
        <v>C</v>
      </c>
      <c r="X169">
        <f>VLOOKUP(H169,簡易仕様書!$D$30:$J$61,6,FALSE)</f>
        <v>0.6</v>
      </c>
      <c r="Y169" t="str">
        <f>VLOOKUP(H169,簡易仕様書!$D$30:$M$61,10,FALSE)</f>
        <v>I-123</v>
      </c>
      <c r="Z169" t="str">
        <f t="shared" ref="Z169" si="119">IF(H169="IMP",IF(ROUND(I169*20,0)&gt;=1000,1000,ROUND(I169*20,0)),IF(H169="ECD",IF(ROUND(I169*20,0)&gt;=1000,1000,ROUND(I169*20,0)),IF(H169="MAG3",IF(ROUND(I169/10,1)&gt;=2,2,ROUND(I169/10,1)),"")))</f>
        <v/>
      </c>
      <c r="AA169" t="str">
        <f t="shared" ref="AA169" si="120">IF(H169="IMP","負荷薬剤ダイアモックス（ACZ）",IF(H169="ECD","負荷薬剤ダイアモックス（ACZ）",IF(H169="MAG3","負荷薬剤フロセミド（ラシックス）","")))</f>
        <v/>
      </c>
      <c r="AB169" t="str">
        <f>VLOOKUP(H169,簡易仕様書!$D$30:$F$61,3,FALSE)</f>
        <v>nai</v>
      </c>
      <c r="AC169" t="str">
        <f>INDEX(簡易仕様書!$A$30:$A$61,MATCH(H169,簡易仕様書!$D$30:$D$61,0))</f>
        <v>NaI</v>
      </c>
    </row>
    <row r="170" spans="1:29">
      <c r="A170" s="14">
        <v>167</v>
      </c>
      <c r="B170" s="44"/>
      <c r="C170" s="42"/>
      <c r="D170" s="40"/>
      <c r="E170" s="44"/>
      <c r="F170" s="14" t="s">
        <v>267</v>
      </c>
      <c r="G170" s="14" t="s">
        <v>269</v>
      </c>
      <c r="H170" s="14" t="s">
        <v>154</v>
      </c>
      <c r="I170" s="14" t="s">
        <v>251</v>
      </c>
      <c r="J170" s="11" t="str">
        <f t="shared" si="116"/>
        <v>薬剤にNaIを選択、体重にaと入力して計算ボタンを押す。エラーメッセージの内容を確認する</v>
      </c>
      <c r="K170" s="11" t="s">
        <v>351</v>
      </c>
      <c r="L170" s="14" t="s">
        <v>250</v>
      </c>
      <c r="M170" s="14"/>
      <c r="N170" s="11"/>
      <c r="O170" s="11"/>
      <c r="P170" s="11"/>
      <c r="Q170" s="11"/>
      <c r="R170" s="11"/>
    </row>
    <row r="171" spans="1:29">
      <c r="A171" s="14">
        <v>168</v>
      </c>
      <c r="B171" s="44"/>
      <c r="C171" s="42"/>
      <c r="D171" s="40"/>
      <c r="E171" s="44"/>
      <c r="F171" s="14" t="s">
        <v>267</v>
      </c>
      <c r="G171" s="14" t="s">
        <v>269</v>
      </c>
      <c r="H171" s="14" t="s">
        <v>154</v>
      </c>
      <c r="I171" s="14" t="s">
        <v>252</v>
      </c>
      <c r="J171" s="11" t="str">
        <f>("薬剤に")&amp;H171&amp;("を選択、体重に")&amp;I171&amp;("と入力して計算ボタンを押す。エラーメッセージの内容を確認する")</f>
        <v>薬剤にNaIを選択、体重に+と入力して計算ボタンを押す。エラーメッセージの内容を確認する</v>
      </c>
      <c r="K171" s="11" t="s">
        <v>351</v>
      </c>
      <c r="L171" s="14" t="s">
        <v>250</v>
      </c>
      <c r="M171" s="14"/>
      <c r="N171" s="11"/>
      <c r="O171" s="11"/>
      <c r="P171" s="11"/>
      <c r="Q171" s="11"/>
      <c r="R171" s="11"/>
    </row>
    <row r="172" spans="1:29">
      <c r="A172" s="14">
        <v>169</v>
      </c>
      <c r="B172" s="44"/>
      <c r="C172" s="42"/>
      <c r="D172" s="40"/>
      <c r="E172" s="44"/>
      <c r="F172" s="14" t="s">
        <v>267</v>
      </c>
      <c r="G172" s="14" t="s">
        <v>269</v>
      </c>
      <c r="H172" s="14" t="s">
        <v>155</v>
      </c>
      <c r="I172" s="14" t="s">
        <v>269</v>
      </c>
      <c r="J172" s="11" t="str">
        <f>("薬剤に")&amp;H172&amp;("を選択、体重に何も入力せず計算ボタンを押す。エラーメッセージの内容を確認する")</f>
        <v>薬剤にIMPを選択、体重に何も入力せず計算ボタンを押す。エラーメッセージの内容を確認する</v>
      </c>
      <c r="K172" s="11" t="s">
        <v>351</v>
      </c>
      <c r="L172" s="14" t="s">
        <v>250</v>
      </c>
      <c r="M172" s="14"/>
      <c r="N172" s="11"/>
      <c r="O172" s="11"/>
      <c r="P172" s="11"/>
      <c r="Q172" s="11"/>
      <c r="R172" s="11"/>
    </row>
    <row r="173" spans="1:29">
      <c r="A173" s="14">
        <v>170</v>
      </c>
      <c r="B173" s="44"/>
      <c r="C173" s="42"/>
      <c r="D173" s="40"/>
      <c r="E173" s="44"/>
      <c r="F173" s="14" t="s">
        <v>267</v>
      </c>
      <c r="G173" s="14" t="s">
        <v>269</v>
      </c>
      <c r="H173" s="14" t="s">
        <v>155</v>
      </c>
      <c r="I173" s="14">
        <v>0</v>
      </c>
      <c r="J173" s="11" t="str">
        <f t="shared" si="116"/>
        <v>薬剤にIMPを選択、体重に0と入力して計算ボタンを押す。エラーメッセージの内容を確認する</v>
      </c>
      <c r="K173" s="11" t="s">
        <v>351</v>
      </c>
      <c r="L173" s="14" t="s">
        <v>250</v>
      </c>
      <c r="M173" s="14"/>
      <c r="N173" s="11"/>
      <c r="O173" s="11"/>
      <c r="P173" s="11"/>
      <c r="Q173" s="11"/>
      <c r="R173" s="11"/>
    </row>
    <row r="174" spans="1:29">
      <c r="A174" s="14">
        <v>171</v>
      </c>
      <c r="B174" s="44"/>
      <c r="C174" s="42"/>
      <c r="D174" s="40"/>
      <c r="E174" s="44"/>
      <c r="F174" s="14" t="s">
        <v>267</v>
      </c>
      <c r="G174" s="14" t="s">
        <v>269</v>
      </c>
      <c r="H174" s="14" t="s">
        <v>155</v>
      </c>
      <c r="I174" s="14">
        <v>71</v>
      </c>
      <c r="J174" s="11" t="str">
        <f t="shared" si="116"/>
        <v>薬剤にIMPを選択、体重に71と入力して計算ボタンを押す。エラーメッセージの内容を確認する</v>
      </c>
      <c r="K174" s="11" t="s">
        <v>351</v>
      </c>
      <c r="L174" s="14" t="s">
        <v>250</v>
      </c>
      <c r="M174" s="14"/>
      <c r="N174" s="11"/>
      <c r="O174" s="11"/>
      <c r="P174" s="11"/>
      <c r="Q174" s="11"/>
      <c r="R174" s="11"/>
    </row>
    <row r="175" spans="1:29">
      <c r="A175" s="14">
        <v>172</v>
      </c>
      <c r="B175" s="44"/>
      <c r="C175" s="42"/>
      <c r="D175" s="40"/>
      <c r="E175" s="44"/>
      <c r="F175" s="14" t="s">
        <v>267</v>
      </c>
      <c r="G175" s="14" t="s">
        <v>269</v>
      </c>
      <c r="H175" s="14" t="s">
        <v>155</v>
      </c>
      <c r="I175" s="14" t="s">
        <v>251</v>
      </c>
      <c r="J175" s="11" t="str">
        <f t="shared" si="116"/>
        <v>薬剤にIMPを選択、体重にaと入力して計算ボタンを押す。エラーメッセージの内容を確認する</v>
      </c>
      <c r="K175" s="11" t="s">
        <v>351</v>
      </c>
      <c r="L175" s="14" t="s">
        <v>250</v>
      </c>
      <c r="M175" s="14"/>
      <c r="N175" s="11"/>
      <c r="O175" s="11"/>
      <c r="P175" s="11"/>
      <c r="Q175" s="11"/>
      <c r="R175" s="11"/>
    </row>
    <row r="176" spans="1:29">
      <c r="A176" s="14">
        <v>173</v>
      </c>
      <c r="B176" s="44"/>
      <c r="C176" s="42"/>
      <c r="D176" s="40"/>
      <c r="E176" s="44"/>
      <c r="F176" s="14" t="s">
        <v>267</v>
      </c>
      <c r="G176" s="14" t="s">
        <v>269</v>
      </c>
      <c r="H176" s="14" t="s">
        <v>155</v>
      </c>
      <c r="I176" s="14" t="s">
        <v>252</v>
      </c>
      <c r="J176" s="11" t="str">
        <f t="shared" si="116"/>
        <v>薬剤にIMPを選択、体重に+と入力して計算ボタンを押す。エラーメッセージの内容を確認する</v>
      </c>
      <c r="K176" s="11" t="s">
        <v>351</v>
      </c>
      <c r="L176" s="14" t="s">
        <v>250</v>
      </c>
      <c r="M176" s="14"/>
      <c r="N176" s="11"/>
      <c r="O176" s="11"/>
      <c r="P176" s="11"/>
      <c r="Q176" s="11"/>
      <c r="R176" s="11"/>
    </row>
    <row r="177" spans="1:18" ht="37" customHeight="1">
      <c r="A177" s="14">
        <v>174</v>
      </c>
      <c r="B177" s="40" t="s">
        <v>22</v>
      </c>
      <c r="C177" s="40" t="s">
        <v>21</v>
      </c>
      <c r="D177" s="40" t="s">
        <v>144</v>
      </c>
      <c r="E177" s="40" t="s">
        <v>18</v>
      </c>
      <c r="F177" s="14" t="s">
        <v>267</v>
      </c>
      <c r="G177" s="14" t="s">
        <v>269</v>
      </c>
      <c r="H177" s="14" t="s">
        <v>270</v>
      </c>
      <c r="I177" s="14">
        <v>35</v>
      </c>
      <c r="J177" s="30" t="str">
        <f>("薬剤に")&amp;H177&amp;("を選択、体重に")&amp;I177&amp;("と入力して計算ボタンを押す。")&amp;CHAR(10)&amp;("結果画面に表示されるすべてのテキストに誤字・脱字がないか確認する")</f>
        <v>薬剤にMIBG（腫瘍）を選択、体重に35と入力して計算ボタンを押す。
結果画面に表示されるすべてのテキストに誤字・脱字がないか確認する</v>
      </c>
      <c r="K177" s="11" t="s">
        <v>326</v>
      </c>
      <c r="L177" s="14" t="s">
        <v>250</v>
      </c>
      <c r="M177" s="11"/>
      <c r="N177" s="11"/>
      <c r="O177" s="11"/>
      <c r="P177" s="11"/>
      <c r="Q177" s="11"/>
      <c r="R177" s="11"/>
    </row>
    <row r="178" spans="1:18" ht="37" customHeight="1">
      <c r="A178" s="14">
        <v>175</v>
      </c>
      <c r="B178" s="40"/>
      <c r="C178" s="40"/>
      <c r="D178" s="40"/>
      <c r="E178" s="40"/>
      <c r="F178" s="14" t="s">
        <v>268</v>
      </c>
      <c r="G178" s="11" t="s">
        <v>294</v>
      </c>
      <c r="H178" s="14" t="s">
        <v>270</v>
      </c>
      <c r="I178" s="14">
        <v>35</v>
      </c>
      <c r="J178" s="30" t="str">
        <f>("薬剤に")&amp;H178&amp;("を選択、体重に")&amp;I178&amp;("と入力して計算ボタンを押す。")&amp;CHAR(10)&amp;("結果画面がウィンドウ内に適切に表示されているか確認する")</f>
        <v>薬剤にMIBG（腫瘍）を選択、体重に35と入力して計算ボタンを押す。
結果画面がウィンドウ内に適切に表示されているか確認する</v>
      </c>
      <c r="K178" s="11" t="s">
        <v>330</v>
      </c>
      <c r="L178" s="14" t="s">
        <v>250</v>
      </c>
      <c r="M178" s="11"/>
      <c r="N178" s="11"/>
      <c r="O178" s="11"/>
      <c r="P178" s="11"/>
      <c r="Q178" s="11"/>
      <c r="R178" s="11"/>
    </row>
    <row r="179" spans="1:18" ht="37" customHeight="1">
      <c r="A179" s="14">
        <v>176</v>
      </c>
      <c r="B179" s="40"/>
      <c r="C179" s="40"/>
      <c r="D179" s="40"/>
      <c r="E179" s="40"/>
      <c r="F179" s="14" t="s">
        <v>268</v>
      </c>
      <c r="G179" s="11" t="s">
        <v>295</v>
      </c>
      <c r="H179" s="14" t="s">
        <v>270</v>
      </c>
      <c r="I179" s="14">
        <v>35</v>
      </c>
      <c r="J179" s="30" t="str">
        <f t="shared" ref="J179:J181" si="121">("薬剤に")&amp;H179&amp;("を選択、体重に")&amp;I179&amp;("と入力して計算ボタンを押す。")&amp;CHAR(10)&amp;("結果画面がウィンドウ内に適切に表示されているか確認する")</f>
        <v>薬剤にMIBG（腫瘍）を選択、体重に35と入力して計算ボタンを押す。
結果画面がウィンドウ内に適切に表示されているか確認する</v>
      </c>
      <c r="K179" s="11" t="s">
        <v>330</v>
      </c>
      <c r="L179" s="14" t="s">
        <v>250</v>
      </c>
      <c r="M179" s="11"/>
      <c r="N179" s="11"/>
      <c r="O179" s="11"/>
      <c r="P179" s="11"/>
      <c r="Q179" s="11"/>
      <c r="R179" s="11"/>
    </row>
    <row r="180" spans="1:18" ht="37" customHeight="1">
      <c r="A180" s="14">
        <v>177</v>
      </c>
      <c r="B180" s="40"/>
      <c r="C180" s="40"/>
      <c r="D180" s="40"/>
      <c r="E180" s="40"/>
      <c r="F180" s="14" t="s">
        <v>268</v>
      </c>
      <c r="G180" s="11" t="s">
        <v>298</v>
      </c>
      <c r="H180" s="14" t="s">
        <v>270</v>
      </c>
      <c r="I180" s="14">
        <v>35</v>
      </c>
      <c r="J180" s="30" t="str">
        <f t="shared" si="121"/>
        <v>薬剤にMIBG（腫瘍）を選択、体重に35と入力して計算ボタンを押す。
結果画面がウィンドウ内に適切に表示されているか確認する</v>
      </c>
      <c r="K180" s="11" t="s">
        <v>330</v>
      </c>
      <c r="L180" s="14" t="s">
        <v>250</v>
      </c>
      <c r="M180" s="11"/>
      <c r="N180" s="11"/>
      <c r="O180" s="11"/>
      <c r="P180" s="11"/>
      <c r="Q180" s="11"/>
      <c r="R180" s="11"/>
    </row>
    <row r="181" spans="1:18" ht="37" customHeight="1">
      <c r="A181" s="14">
        <v>178</v>
      </c>
      <c r="B181" s="40"/>
      <c r="C181" s="40"/>
      <c r="D181" s="40"/>
      <c r="E181" s="40"/>
      <c r="F181" s="14" t="s">
        <v>268</v>
      </c>
      <c r="G181" s="11" t="s">
        <v>354</v>
      </c>
      <c r="H181" s="14" t="s">
        <v>270</v>
      </c>
      <c r="I181" s="14">
        <v>35</v>
      </c>
      <c r="J181" s="30" t="str">
        <f t="shared" si="121"/>
        <v>薬剤にMIBG（腫瘍）を選択、体重に35と入力して計算ボタンを押す。
結果画面がウィンドウ内に適切に表示されているか確認する</v>
      </c>
      <c r="K181" s="11" t="s">
        <v>330</v>
      </c>
      <c r="L181" s="14" t="s">
        <v>250</v>
      </c>
      <c r="M181" s="11"/>
      <c r="N181" s="11"/>
      <c r="O181" s="11"/>
      <c r="P181" s="11"/>
      <c r="Q181" s="11"/>
      <c r="R181" s="11"/>
    </row>
    <row r="182" spans="1:18" ht="37" customHeight="1">
      <c r="A182" s="14">
        <v>179</v>
      </c>
      <c r="B182" s="40"/>
      <c r="C182" s="40"/>
      <c r="D182" s="40" t="s">
        <v>288</v>
      </c>
      <c r="E182" s="40"/>
      <c r="F182" s="14" t="s">
        <v>268</v>
      </c>
      <c r="G182" s="14" t="s">
        <v>269</v>
      </c>
      <c r="H182" s="14" t="s">
        <v>270</v>
      </c>
      <c r="I182" s="14">
        <v>35</v>
      </c>
      <c r="J182" s="30" t="str">
        <f>("薬剤に")&amp;H182&amp;("を選択、体重に")&amp;I182&amp;("と入力して計算ボタンを押す。")&amp;CHAR(10)&amp;("表記揺れがないか確認する")</f>
        <v>薬剤にMIBG（腫瘍）を選択、体重に35と入力して計算ボタンを押す。
表記揺れがないか確認する</v>
      </c>
      <c r="K182" s="11" t="s">
        <v>283</v>
      </c>
      <c r="L182" s="14" t="s">
        <v>250</v>
      </c>
      <c r="M182" s="14"/>
      <c r="N182" s="26"/>
      <c r="O182" s="26"/>
      <c r="P182" s="11"/>
      <c r="Q182" s="11"/>
      <c r="R182" s="11"/>
    </row>
    <row r="183" spans="1:18" ht="37" customHeight="1">
      <c r="A183" s="14">
        <v>180</v>
      </c>
      <c r="B183" s="40"/>
      <c r="C183" s="40"/>
      <c r="D183" s="40"/>
      <c r="E183" s="40"/>
      <c r="F183" s="14" t="s">
        <v>268</v>
      </c>
      <c r="G183" s="14" t="s">
        <v>269</v>
      </c>
      <c r="H183" s="14" t="s">
        <v>270</v>
      </c>
      <c r="I183" s="14">
        <v>35</v>
      </c>
      <c r="J183" s="30" t="str">
        <f>("薬剤に")&amp;H183&amp;("を選択、体重に")&amp;I183&amp;("と入力して計算ボタンを押す。")&amp;CHAR(10)&amp;("ブラウザのズーム機能を使った時に、レイアウトが崩れないこと")</f>
        <v>薬剤にMIBG（腫瘍）を選択、体重に35と入力して計算ボタンを押す。
ブラウザのズーム機能を使った時に、レイアウトが崩れないこと</v>
      </c>
      <c r="K183" s="11" t="s">
        <v>359</v>
      </c>
      <c r="L183" s="14" t="s">
        <v>250</v>
      </c>
      <c r="M183" s="14"/>
      <c r="N183" s="26"/>
      <c r="O183" s="26"/>
      <c r="P183" s="11"/>
      <c r="Q183" s="11"/>
      <c r="R183" s="11"/>
    </row>
    <row r="184" spans="1:18" ht="37" customHeight="1">
      <c r="A184" s="14">
        <v>181</v>
      </c>
      <c r="B184" s="40"/>
      <c r="C184" s="40"/>
      <c r="D184" s="40"/>
      <c r="E184" s="40"/>
      <c r="F184" s="14" t="s">
        <v>268</v>
      </c>
      <c r="G184" s="14" t="s">
        <v>269</v>
      </c>
      <c r="H184" s="14" t="s">
        <v>270</v>
      </c>
      <c r="I184" s="14">
        <v>35</v>
      </c>
      <c r="J184" s="30" t="str">
        <f>("薬剤に")&amp;H184&amp;("を選択、体重に")&amp;I184&amp;("と入力して計算ボタンを押す。")&amp;CHAR(10)&amp;("文字のフォントやサイズ、色が適切か確認する")</f>
        <v>薬剤にMIBG（腫瘍）を選択、体重に35と入力して計算ボタンを押す。
文字のフォントやサイズ、色が適切か確認する</v>
      </c>
      <c r="K184" s="11" t="s">
        <v>286</v>
      </c>
      <c r="L184" s="14" t="s">
        <v>250</v>
      </c>
      <c r="M184" s="14"/>
      <c r="N184" s="26"/>
      <c r="O184" s="26"/>
      <c r="P184" s="11"/>
      <c r="Q184" s="11"/>
      <c r="R184" s="11"/>
    </row>
    <row r="185" spans="1:18" ht="37" customHeight="1">
      <c r="A185" s="14">
        <v>182</v>
      </c>
      <c r="B185" s="40"/>
      <c r="C185" s="40"/>
      <c r="D185" s="40"/>
      <c r="E185" s="14" t="s">
        <v>329</v>
      </c>
      <c r="F185" s="14" t="s">
        <v>268</v>
      </c>
      <c r="G185" s="14" t="s">
        <v>269</v>
      </c>
      <c r="H185" s="14" t="s">
        <v>270</v>
      </c>
      <c r="I185" s="14">
        <v>35</v>
      </c>
      <c r="J185" s="30" t="str">
        <f>("薬剤に")&amp;H185&amp;("を選択、体重に")&amp;I185&amp;("と入力して計算ボタンを押す。")&amp;CHAR(10)&amp;("計算ボタンが押されてから1秒以内に結果画面が表示されるか確認する")</f>
        <v>薬剤にMIBG（腫瘍）を選択、体重に35と入力して計算ボタンを押す。
計算ボタンが押されてから1秒以内に結果画面が表示されるか確認する</v>
      </c>
      <c r="K185" s="11" t="s">
        <v>327</v>
      </c>
      <c r="L185" s="14" t="s">
        <v>365</v>
      </c>
      <c r="M185" s="14" t="s">
        <v>369</v>
      </c>
      <c r="N185" s="26">
        <v>45714.303449074076</v>
      </c>
      <c r="O185" s="11"/>
      <c r="P185" s="11"/>
      <c r="Q185" s="11"/>
      <c r="R185" s="11" t="s">
        <v>371</v>
      </c>
    </row>
  </sheetData>
  <mergeCells count="24">
    <mergeCell ref="A1:B1"/>
    <mergeCell ref="A2:B2"/>
    <mergeCell ref="E4:E142"/>
    <mergeCell ref="D4:D142"/>
    <mergeCell ref="B4:B176"/>
    <mergeCell ref="C143:C153"/>
    <mergeCell ref="D143:D149"/>
    <mergeCell ref="D150:D153"/>
    <mergeCell ref="E143:E152"/>
    <mergeCell ref="C4:C142"/>
    <mergeCell ref="D182:D185"/>
    <mergeCell ref="D177:D181"/>
    <mergeCell ref="E177:E184"/>
    <mergeCell ref="B177:B185"/>
    <mergeCell ref="C177:C185"/>
    <mergeCell ref="H1:I1"/>
    <mergeCell ref="H2:I2"/>
    <mergeCell ref="C154:C176"/>
    <mergeCell ref="D154:D156"/>
    <mergeCell ref="E154:E155"/>
    <mergeCell ref="D157:D176"/>
    <mergeCell ref="E157:E176"/>
    <mergeCell ref="C1:E1"/>
    <mergeCell ref="C2:E2"/>
  </mergeCells>
  <phoneticPr fontId="1"/>
  <conditionalFormatting sqref="M4:M153">
    <cfRule type="containsText" dxfId="31" priority="38" operator="containsText" text="非該当">
      <formula>NOT(ISERROR(SEARCH("非該当",M4)))</formula>
    </cfRule>
    <cfRule type="containsText" dxfId="30" priority="45" operator="containsText" text="修正中">
      <formula>NOT(ISERROR(SEARCH("修正中",M4)))</formula>
    </cfRule>
    <cfRule type="containsText" dxfId="29" priority="46" operator="containsText" text="テスト待ち">
      <formula>NOT(ISERROR(SEARCH("テスト待ち",M4)))</formula>
    </cfRule>
    <cfRule type="containsText" dxfId="28" priority="47" operator="containsText" text="保留">
      <formula>NOT(ISERROR(SEARCH("保留",M4)))</formula>
    </cfRule>
    <cfRule type="containsText" dxfId="27" priority="48" operator="containsText" text="NG">
      <formula>NOT(ISERROR(SEARCH("NG",M4)))</formula>
    </cfRule>
    <cfRule type="cellIs" dxfId="26" priority="50" stopIfTrue="1" operator="equal">
      <formula>"OK"</formula>
    </cfRule>
  </conditionalFormatting>
  <conditionalFormatting sqref="F4:F185">
    <cfRule type="cellIs" dxfId="25" priority="42" operator="equal">
      <formula>"低"</formula>
    </cfRule>
    <cfRule type="cellIs" dxfId="24" priority="43" operator="equal">
      <formula>"中"</formula>
    </cfRule>
    <cfRule type="cellIs" dxfId="23" priority="44" operator="equal">
      <formula>"高"</formula>
    </cfRule>
  </conditionalFormatting>
  <conditionalFormatting sqref="G91:G143 G4:I90 H91:I153">
    <cfRule type="cellIs" dxfId="22" priority="41" operator="equal">
      <formula>"なし"</formula>
    </cfRule>
  </conditionalFormatting>
  <conditionalFormatting sqref="G153 G177">
    <cfRule type="cellIs" dxfId="21" priority="40" operator="equal">
      <formula>"なし"</formula>
    </cfRule>
  </conditionalFormatting>
  <conditionalFormatting sqref="H177:H185">
    <cfRule type="cellIs" dxfId="20" priority="32" operator="equal">
      <formula>"なし"</formula>
    </cfRule>
  </conditionalFormatting>
  <conditionalFormatting sqref="G150:G152">
    <cfRule type="cellIs" dxfId="19" priority="31" operator="equal">
      <formula>"なし"</formula>
    </cfRule>
  </conditionalFormatting>
  <conditionalFormatting sqref="M182:M185">
    <cfRule type="containsText" dxfId="18" priority="23" operator="containsText" text="非該当">
      <formula>NOT(ISERROR(SEARCH("非該当",M182)))</formula>
    </cfRule>
    <cfRule type="containsText" dxfId="17" priority="26" operator="containsText" text="修正中">
      <formula>NOT(ISERROR(SEARCH("修正中",M182)))</formula>
    </cfRule>
    <cfRule type="containsText" dxfId="16" priority="27" operator="containsText" text="テスト待ち">
      <formula>NOT(ISERROR(SEARCH("テスト待ち",M182)))</formula>
    </cfRule>
    <cfRule type="containsText" dxfId="15" priority="28" operator="containsText" text="保留">
      <formula>NOT(ISERROR(SEARCH("保留",M182)))</formula>
    </cfRule>
    <cfRule type="containsText" dxfId="14" priority="29" operator="containsText" text="NG">
      <formula>NOT(ISERROR(SEARCH("NG",M182)))</formula>
    </cfRule>
    <cfRule type="cellIs" dxfId="13" priority="30" stopIfTrue="1" operator="equal">
      <formula>"OK"</formula>
    </cfRule>
  </conditionalFormatting>
  <conditionalFormatting sqref="G185">
    <cfRule type="cellIs" dxfId="12" priority="24" operator="equal">
      <formula>"なし"</formula>
    </cfRule>
  </conditionalFormatting>
  <conditionalFormatting sqref="G182:G184">
    <cfRule type="cellIs" dxfId="11" priority="22" operator="equal">
      <formula>"なし"</formula>
    </cfRule>
  </conditionalFormatting>
  <conditionalFormatting sqref="M154:M176">
    <cfRule type="containsText" dxfId="10" priority="4" operator="containsText" text="非該当">
      <formula>NOT(ISERROR(SEARCH("非該当",M154)))</formula>
    </cfRule>
    <cfRule type="containsText" dxfId="9" priority="7" operator="containsText" text="修正中">
      <formula>NOT(ISERROR(SEARCH("修正中",M154)))</formula>
    </cfRule>
    <cfRule type="containsText" dxfId="8" priority="8" operator="containsText" text="テスト待ち">
      <formula>NOT(ISERROR(SEARCH("テスト待ち",M154)))</formula>
    </cfRule>
    <cfRule type="containsText" dxfId="7" priority="9" operator="containsText" text="保留">
      <formula>NOT(ISERROR(SEARCH("保留",M154)))</formula>
    </cfRule>
    <cfRule type="containsText" dxfId="6" priority="10" operator="containsText" text="NG">
      <formula>NOT(ISERROR(SEARCH("NG",M154)))</formula>
    </cfRule>
    <cfRule type="cellIs" dxfId="5" priority="11" stopIfTrue="1" operator="equal">
      <formula>"OK"</formula>
    </cfRule>
  </conditionalFormatting>
  <conditionalFormatting sqref="G157:I176">
    <cfRule type="cellIs" dxfId="4" priority="6" operator="equal">
      <formula>"なし"</formula>
    </cfRule>
  </conditionalFormatting>
  <conditionalFormatting sqref="G154:G156">
    <cfRule type="cellIs" dxfId="3" priority="5" operator="equal">
      <formula>"なし"</formula>
    </cfRule>
  </conditionalFormatting>
  <conditionalFormatting sqref="H154:I155">
    <cfRule type="cellIs" dxfId="2" priority="3" operator="equal">
      <formula>"なし"</formula>
    </cfRule>
  </conditionalFormatting>
  <conditionalFormatting sqref="H156:I156">
    <cfRule type="cellIs" dxfId="1" priority="2" operator="equal">
      <formula>"なし"</formula>
    </cfRule>
  </conditionalFormatting>
  <conditionalFormatting sqref="L4:L185">
    <cfRule type="cellIs" dxfId="0" priority="1" operator="equal">
      <formula>"-"</formula>
    </cfRule>
  </conditionalFormatting>
  <dataValidations count="3">
    <dataValidation type="list" allowBlank="1" showInputMessage="1" showErrorMessage="1" sqref="M4:M176 M182:M185" xr:uid="{BA38A504-3863-C94F-9211-F0339E13523D}">
      <formula1>"OK,NG,保留,修正中,テスト待ち,非該当"</formula1>
    </dataValidation>
    <dataValidation type="list" allowBlank="1" showInputMessage="1" showErrorMessage="1" sqref="F4:F185" xr:uid="{F8E24F6C-90F0-A743-A9AB-71D5F2E4ACF0}">
      <formula1>"高,中,低"</formula1>
    </dataValidation>
    <dataValidation type="list" allowBlank="1" showInputMessage="1" showErrorMessage="1" sqref="L4:L185" xr:uid="{EBC16D83-D2F9-CB40-8D2E-63A321216AFA}">
      <formula1>"◯,-,値のみ"</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A8221-A32C-8E49-B3C0-C2B2672E527B}">
  <sheetPr codeName="Sheet3"/>
  <dimension ref="A1"/>
  <sheetViews>
    <sheetView workbookViewId="0"/>
  </sheetViews>
  <sheetFormatPr baseColWidth="10" defaultRowHeight="20"/>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D09C-DD5A-4F4A-A722-D4CC505A244D}">
  <sheetPr codeName="Sheet4"/>
  <dimension ref="A1:E56"/>
  <sheetViews>
    <sheetView topLeftCell="A36" workbookViewId="0">
      <selection activeCell="A56" sqref="A46:C56"/>
    </sheetView>
  </sheetViews>
  <sheetFormatPr baseColWidth="10" defaultRowHeight="20"/>
  <cols>
    <col min="1" max="1" width="10.7109375" customWidth="1"/>
    <col min="2" max="2" width="30.7109375" customWidth="1"/>
    <col min="3" max="3" width="62.140625" customWidth="1"/>
    <col min="4" max="4" width="20.42578125" customWidth="1"/>
    <col min="5" max="5" width="14.28515625" customWidth="1"/>
  </cols>
  <sheetData>
    <row r="1" spans="1:5">
      <c r="A1" s="2" t="s">
        <v>26</v>
      </c>
      <c r="B1" s="2" t="s">
        <v>29</v>
      </c>
      <c r="C1" s="2" t="s">
        <v>30</v>
      </c>
      <c r="D1" s="2" t="s">
        <v>31</v>
      </c>
      <c r="E1" s="2" t="s">
        <v>37</v>
      </c>
    </row>
    <row r="2" spans="1:5">
      <c r="A2" s="1" t="s">
        <v>28</v>
      </c>
      <c r="B2" t="s">
        <v>32</v>
      </c>
      <c r="C2" t="s">
        <v>59</v>
      </c>
      <c r="D2" t="s">
        <v>60</v>
      </c>
      <c r="E2" t="s">
        <v>107</v>
      </c>
    </row>
    <row r="3" spans="1:5">
      <c r="A3" s="1" t="s">
        <v>19</v>
      </c>
      <c r="B3" t="s">
        <v>35</v>
      </c>
      <c r="C3" t="s">
        <v>38</v>
      </c>
      <c r="D3" t="s">
        <v>39</v>
      </c>
      <c r="E3" t="s">
        <v>108</v>
      </c>
    </row>
    <row r="4" spans="1:5">
      <c r="A4" s="1" t="s">
        <v>33</v>
      </c>
      <c r="B4" t="s">
        <v>61</v>
      </c>
      <c r="C4" t="s">
        <v>36</v>
      </c>
      <c r="D4" t="s">
        <v>40</v>
      </c>
      <c r="E4" t="s">
        <v>109</v>
      </c>
    </row>
    <row r="5" spans="1:5">
      <c r="A5" s="1" t="s">
        <v>34</v>
      </c>
      <c r="B5" s="3" t="s">
        <v>41</v>
      </c>
      <c r="C5" s="3" t="s">
        <v>57</v>
      </c>
      <c r="D5" t="s">
        <v>34</v>
      </c>
      <c r="E5" t="s">
        <v>110</v>
      </c>
    </row>
    <row r="6" spans="1:5">
      <c r="A6" s="1" t="s">
        <v>21</v>
      </c>
      <c r="B6" s="3" t="s">
        <v>42</v>
      </c>
      <c r="C6" s="3" t="s">
        <v>43</v>
      </c>
      <c r="D6" t="s">
        <v>313</v>
      </c>
      <c r="E6" t="s">
        <v>111</v>
      </c>
    </row>
    <row r="7" spans="1:5">
      <c r="A7" s="1" t="s">
        <v>307</v>
      </c>
      <c r="B7" s="3" t="s">
        <v>311</v>
      </c>
      <c r="C7" s="3" t="s">
        <v>312</v>
      </c>
      <c r="D7" t="s">
        <v>314</v>
      </c>
      <c r="E7" t="s">
        <v>308</v>
      </c>
    </row>
    <row r="9" spans="1:5">
      <c r="A9" s="3" t="s">
        <v>106</v>
      </c>
    </row>
    <row r="10" spans="1:5">
      <c r="A10" s="3" t="s">
        <v>62</v>
      </c>
    </row>
    <row r="11" spans="1:5">
      <c r="A11" t="s">
        <v>321</v>
      </c>
    </row>
    <row r="12" spans="1:5">
      <c r="A12" s="3" t="s">
        <v>63</v>
      </c>
    </row>
    <row r="13" spans="1:5">
      <c r="A13" s="3" t="s">
        <v>64</v>
      </c>
    </row>
    <row r="14" spans="1:5">
      <c r="A14" s="3"/>
    </row>
    <row r="15" spans="1:5">
      <c r="A15" s="3" t="s">
        <v>105</v>
      </c>
      <c r="B15" s="3"/>
    </row>
    <row r="16" spans="1:5">
      <c r="A16" s="3" t="s">
        <v>320</v>
      </c>
    </row>
    <row r="17" spans="1:2">
      <c r="A17" s="3" t="s">
        <v>65</v>
      </c>
    </row>
    <row r="18" spans="1:2">
      <c r="A18" s="3" t="s">
        <v>71</v>
      </c>
    </row>
    <row r="19" spans="1:2">
      <c r="A19" s="3" t="s">
        <v>66</v>
      </c>
      <c r="B19" s="4" t="s">
        <v>72</v>
      </c>
    </row>
    <row r="20" spans="1:2">
      <c r="A20" s="3" t="s">
        <v>67</v>
      </c>
      <c r="B20" s="4" t="s">
        <v>69</v>
      </c>
    </row>
    <row r="21" spans="1:2">
      <c r="A21" s="3" t="s">
        <v>68</v>
      </c>
      <c r="B21" s="4" t="s">
        <v>70</v>
      </c>
    </row>
    <row r="23" spans="1:2">
      <c r="A23" s="3" t="s">
        <v>104</v>
      </c>
      <c r="B23" s="5"/>
    </row>
    <row r="24" spans="1:2">
      <c r="A24" s="3" t="s">
        <v>73</v>
      </c>
    </row>
    <row r="25" spans="1:2">
      <c r="A25" s="3" t="s">
        <v>75</v>
      </c>
    </row>
    <row r="26" spans="1:2">
      <c r="A26" s="3" t="s">
        <v>74</v>
      </c>
    </row>
    <row r="27" spans="1:2">
      <c r="A27" s="3" t="s">
        <v>78</v>
      </c>
    </row>
    <row r="28" spans="1:2">
      <c r="A28" s="3" t="s">
        <v>76</v>
      </c>
    </row>
    <row r="29" spans="1:2">
      <c r="A29" s="3" t="s">
        <v>332</v>
      </c>
    </row>
    <row r="30" spans="1:2">
      <c r="A30" s="3" t="s">
        <v>77</v>
      </c>
    </row>
    <row r="32" spans="1:2">
      <c r="A32" s="3" t="s">
        <v>103</v>
      </c>
    </row>
    <row r="33" spans="1:2">
      <c r="A33" s="3" t="s">
        <v>80</v>
      </c>
    </row>
    <row r="34" spans="1:2">
      <c r="A34" s="1" t="s">
        <v>96</v>
      </c>
      <c r="B34" t="s">
        <v>95</v>
      </c>
    </row>
    <row r="35" spans="1:2">
      <c r="A35" s="1" t="s">
        <v>94</v>
      </c>
      <c r="B35" t="s">
        <v>93</v>
      </c>
    </row>
    <row r="36" spans="1:2">
      <c r="A36" s="1" t="s">
        <v>92</v>
      </c>
      <c r="B36" t="s">
        <v>91</v>
      </c>
    </row>
    <row r="37" spans="1:2">
      <c r="A37" s="1" t="s">
        <v>90</v>
      </c>
      <c r="B37" t="s">
        <v>89</v>
      </c>
    </row>
    <row r="38" spans="1:2">
      <c r="A38" s="1" t="s">
        <v>88</v>
      </c>
      <c r="B38" t="s">
        <v>87</v>
      </c>
    </row>
    <row r="39" spans="1:2">
      <c r="A39" s="1" t="s">
        <v>86</v>
      </c>
      <c r="B39" t="s">
        <v>85</v>
      </c>
    </row>
    <row r="40" spans="1:2">
      <c r="A40" s="1" t="s">
        <v>83</v>
      </c>
      <c r="B40" t="s">
        <v>84</v>
      </c>
    </row>
    <row r="41" spans="1:2">
      <c r="A41" s="1" t="s">
        <v>81</v>
      </c>
      <c r="B41" t="s">
        <v>82</v>
      </c>
    </row>
    <row r="42" spans="1:2">
      <c r="A42" s="3" t="s">
        <v>97</v>
      </c>
    </row>
    <row r="43" spans="1:2">
      <c r="A43" s="3" t="s">
        <v>79</v>
      </c>
    </row>
    <row r="44" spans="1:2">
      <c r="A44" s="3" t="s">
        <v>98</v>
      </c>
    </row>
    <row r="46" spans="1:2">
      <c r="A46" s="3" t="s">
        <v>102</v>
      </c>
    </row>
    <row r="47" spans="1:2">
      <c r="A47" s="3" t="s">
        <v>99</v>
      </c>
    </row>
    <row r="48" spans="1:2">
      <c r="A48" s="3" t="s">
        <v>100</v>
      </c>
    </row>
    <row r="49" spans="1:1">
      <c r="A49" s="3" t="s">
        <v>101</v>
      </c>
    </row>
    <row r="50" spans="1:1">
      <c r="A50" s="3" t="s">
        <v>331</v>
      </c>
    </row>
    <row r="52" spans="1:1">
      <c r="A52" s="3" t="s">
        <v>315</v>
      </c>
    </row>
    <row r="53" spans="1:1">
      <c r="A53" s="3" t="s">
        <v>316</v>
      </c>
    </row>
    <row r="54" spans="1:1">
      <c r="A54" s="3" t="s">
        <v>319</v>
      </c>
    </row>
    <row r="55" spans="1:1">
      <c r="A55" s="3" t="s">
        <v>317</v>
      </c>
    </row>
    <row r="56" spans="1:1">
      <c r="A56" t="s">
        <v>318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5A6B3-002D-084B-917F-017C1C7A0D6E}">
  <sheetPr codeName="Sheet5"/>
  <dimension ref="A1:B9"/>
  <sheetViews>
    <sheetView workbookViewId="0">
      <selection activeCell="B9" sqref="A1:B9"/>
    </sheetView>
  </sheetViews>
  <sheetFormatPr baseColWidth="10" defaultRowHeight="20"/>
  <cols>
    <col min="1" max="1" width="19.42578125" customWidth="1"/>
    <col min="2" max="2" width="61.42578125" customWidth="1"/>
  </cols>
  <sheetData>
    <row r="1" spans="1:2">
      <c r="A1" s="2" t="s">
        <v>17</v>
      </c>
      <c r="B1" s="2" t="s">
        <v>58</v>
      </c>
    </row>
    <row r="2" spans="1:2">
      <c r="A2" t="s">
        <v>3</v>
      </c>
      <c r="B2" t="s">
        <v>45</v>
      </c>
    </row>
    <row r="3" spans="1:2">
      <c r="A3" t="s">
        <v>49</v>
      </c>
      <c r="B3" t="s">
        <v>46</v>
      </c>
    </row>
    <row r="4" spans="1:2">
      <c r="A4" t="s">
        <v>52</v>
      </c>
      <c r="B4" t="s">
        <v>54</v>
      </c>
    </row>
    <row r="5" spans="1:2">
      <c r="A5" t="s">
        <v>47</v>
      </c>
      <c r="B5" t="s">
        <v>48</v>
      </c>
    </row>
    <row r="6" spans="1:2">
      <c r="A6" s="3" t="s">
        <v>44</v>
      </c>
      <c r="B6" t="s">
        <v>50</v>
      </c>
    </row>
    <row r="7" spans="1:2" ht="42">
      <c r="A7" s="3" t="s">
        <v>287</v>
      </c>
      <c r="B7" s="21" t="s">
        <v>328</v>
      </c>
    </row>
    <row r="8" spans="1:2">
      <c r="A8" s="3" t="s">
        <v>55</v>
      </c>
      <c r="B8" t="s">
        <v>56</v>
      </c>
    </row>
    <row r="9" spans="1:2">
      <c r="A9" s="3" t="s">
        <v>51</v>
      </c>
      <c r="B9" t="s">
        <v>53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簡易仕様書</vt:lpstr>
      <vt:lpstr>テストケース</vt:lpstr>
      <vt:lpstr>テスト報告</vt:lpstr>
      <vt:lpstr>機能要件</vt:lpstr>
      <vt:lpstr>非機能要件</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2025-02-21T07:58:56Z</dcterms:created>
  <dcterms:modified xsi:type="dcterms:W3CDTF">2025-02-26T12:33:47Z</dcterms:modified>
</cp:coreProperties>
</file>