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edro\Desktop\Estrutural\Atualizado\"/>
    </mc:Choice>
  </mc:AlternateContent>
  <xr:revisionPtr revIDLastSave="0" documentId="13_ncr:1_{F7BB3396-09B6-4DFE-96F3-F9FE050B15E3}" xr6:coauthVersionLast="47" xr6:coauthVersionMax="47" xr10:uidLastSave="{00000000-0000-0000-0000-000000000000}"/>
  <bookViews>
    <workbookView xWindow="-98" yWindow="-98" windowWidth="23236" windowHeight="13996" activeTab="4" xr2:uid="{888A6D22-D5F6-4316-BCF6-51E52A0EEF22}"/>
  </bookViews>
  <sheets>
    <sheet name="READ ME" sheetId="2" r:id="rId1"/>
    <sheet name="Materials" sheetId="3" r:id="rId2"/>
    <sheet name="Loading" sheetId="5" r:id="rId3"/>
    <sheet name="Input" sheetId="1" r:id="rId4"/>
    <sheet name="Folha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6" l="1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4" i="6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J2" i="1"/>
  <c r="F7" i="3"/>
  <c r="F6" i="3"/>
  <c r="F5" i="3"/>
  <c r="F3" i="3"/>
  <c r="E6" i="3"/>
  <c r="E5" i="3"/>
  <c r="E3" i="3"/>
  <c r="J3" i="1"/>
  <c r="J4" i="1"/>
  <c r="E7" i="3" l="1"/>
  <c r="E3" i="1"/>
  <c r="E4" i="1"/>
  <c r="E2" i="1"/>
  <c r="M2" i="5"/>
  <c r="Q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F8" i="3" l="1"/>
  <c r="E8" i="3"/>
  <c r="D8" i="3"/>
  <c r="D7" i="3"/>
  <c r="D6" i="3"/>
  <c r="D5" i="3"/>
  <c r="D3" i="3"/>
  <c r="J9" i="1"/>
  <c r="D9" i="1"/>
  <c r="D8" i="1"/>
  <c r="D7" i="1"/>
  <c r="D6" i="1"/>
  <c r="D5" i="1"/>
  <c r="D4" i="1"/>
  <c r="D3" i="1"/>
  <c r="D2" i="1"/>
  <c r="C9" i="1"/>
  <c r="C8" i="1"/>
  <c r="C7" i="1"/>
  <c r="C6" i="1"/>
  <c r="C5" i="1"/>
  <c r="C4" i="1"/>
  <c r="C3" i="1"/>
  <c r="C2" i="1"/>
  <c r="A2" i="1"/>
  <c r="A2" i="3"/>
  <c r="L4" i="1" l="1"/>
  <c r="J7" i="1"/>
  <c r="L6" i="1"/>
  <c r="L3" i="1"/>
  <c r="L2" i="1"/>
  <c r="L7" i="1"/>
  <c r="L5" i="1"/>
  <c r="M2" i="1" l="1"/>
  <c r="N2" i="1" s="1"/>
  <c r="M8" i="1"/>
  <c r="N8" i="1" s="1"/>
  <c r="M6" i="1"/>
  <c r="N6" i="1" s="1"/>
  <c r="M3" i="1"/>
  <c r="N3" i="1" s="1"/>
  <c r="M4" i="1"/>
  <c r="N4" i="1" s="1"/>
  <c r="M5" i="1"/>
  <c r="N5" i="1" s="1"/>
  <c r="M7" i="1"/>
  <c r="N7" i="1" s="1"/>
  <c r="K18" i="1" l="1"/>
</calcChain>
</file>

<file path=xl/sharedStrings.xml><?xml version="1.0" encoding="utf-8"?>
<sst xmlns="http://schemas.openxmlformats.org/spreadsheetml/2006/main" count="81" uniqueCount="81">
  <si>
    <t>Points</t>
  </si>
  <si>
    <t>z</t>
  </si>
  <si>
    <t>r</t>
  </si>
  <si>
    <t>Ne</t>
  </si>
  <si>
    <t>Material</t>
  </si>
  <si>
    <t>Informations</t>
  </si>
  <si>
    <t>pip install pandas</t>
  </si>
  <si>
    <t>Run this commands on Terminal</t>
  </si>
  <si>
    <t>Conditions</t>
  </si>
  <si>
    <t>Conditions1</t>
  </si>
  <si>
    <t>Boundary Conditions1 are for elements in between points</t>
  </si>
  <si>
    <t>Boundary Conditions:  0-Encastrado; 1-Deslocamento Vertical; 2-Deslocamento Horizontal;   3-Rotação; 4-Deslocamento Vertical + Horizontal; 5-Deslocamemto Vertical + Rotação;   6-Deslocamento Horizontal + Rotação; 7-Livre</t>
  </si>
  <si>
    <t>Poisson Ratio</t>
  </si>
  <si>
    <t>Density [kg/m^3]</t>
  </si>
  <si>
    <t>Material Properties</t>
  </si>
  <si>
    <t>thi</t>
  </si>
  <si>
    <t>Element_Dimension - Size of the element, so we are able to do a study of the mesh</t>
  </si>
  <si>
    <t>Material: 1-Aluminium ; 0-Steel (Properties at the temperature that the engine will work)</t>
  </si>
  <si>
    <t>The coloured cells are for the user to input data</t>
  </si>
  <si>
    <t>Ne - Number of elements between 2 points</t>
  </si>
  <si>
    <t>Discontinuity</t>
  </si>
  <si>
    <t>NumRowsRead</t>
  </si>
  <si>
    <t>Nn</t>
  </si>
  <si>
    <t>Nn - Number of nods to add</t>
  </si>
  <si>
    <t>All the input data has to be in SI Units</t>
  </si>
  <si>
    <t>pip install numpy</t>
  </si>
  <si>
    <t>Material 1</t>
  </si>
  <si>
    <t>Material 2</t>
  </si>
  <si>
    <t>Loading</t>
  </si>
  <si>
    <t>Material 3</t>
  </si>
  <si>
    <t xml:space="preserve">Distance </t>
  </si>
  <si>
    <t>AL6061-T6 @ 316ºC</t>
  </si>
  <si>
    <t>AL2024-T3 @ 260ºC</t>
  </si>
  <si>
    <t>Material 4</t>
  </si>
  <si>
    <t xml:space="preserve">Number of Materials </t>
  </si>
  <si>
    <t>Estimated as 85% of the Tensile Strength</t>
  </si>
  <si>
    <t>AnalysisType</t>
  </si>
  <si>
    <t>Static</t>
  </si>
  <si>
    <t>Modal</t>
  </si>
  <si>
    <t>Dynamic</t>
  </si>
  <si>
    <t>Ne_Total</t>
  </si>
  <si>
    <t>Elastic Modulus [Pa]</t>
  </si>
  <si>
    <t>Tensile Yield Stress [Pa]</t>
  </si>
  <si>
    <t>Tensile Strength [Pa]</t>
  </si>
  <si>
    <t>Compressive Strength [Pa]</t>
  </si>
  <si>
    <t>Shear Strength [Pa]</t>
  </si>
  <si>
    <t>Material 5</t>
  </si>
  <si>
    <t xml:space="preserve"> AISI-316 @ 1100ºC</t>
  </si>
  <si>
    <t>4th</t>
  </si>
  <si>
    <t>3rd</t>
  </si>
  <si>
    <t>2nd</t>
  </si>
  <si>
    <t>1st</t>
  </si>
  <si>
    <t>Inicial Pressure</t>
  </si>
  <si>
    <t>Configuration</t>
  </si>
  <si>
    <t>p = A</t>
  </si>
  <si>
    <t>Constante</t>
  </si>
  <si>
    <t>p = A * t</t>
  </si>
  <si>
    <t>Linear</t>
  </si>
  <si>
    <t>p = A * e **(B*t)</t>
  </si>
  <si>
    <t>Exponencial</t>
  </si>
  <si>
    <t>p = A * sin(w*t + b)</t>
  </si>
  <si>
    <t>Sinusoidal</t>
  </si>
  <si>
    <t>P_col [bar]</t>
  </si>
  <si>
    <t>t_col</t>
  </si>
  <si>
    <t>Time</t>
  </si>
  <si>
    <t>b</t>
  </si>
  <si>
    <t>w</t>
  </si>
  <si>
    <t>B</t>
  </si>
  <si>
    <t>A</t>
  </si>
  <si>
    <t>Curve Definition</t>
  </si>
  <si>
    <t xml:space="preserve">Função </t>
  </si>
  <si>
    <t>Coefficients</t>
  </si>
  <si>
    <t>User</t>
  </si>
  <si>
    <t>READ</t>
  </si>
  <si>
    <t>PressureCol</t>
  </si>
  <si>
    <t xml:space="preserve">AL6061-T6 </t>
  </si>
  <si>
    <t>AISI 316</t>
  </si>
  <si>
    <t>ERRO MODAL</t>
  </si>
  <si>
    <t>Código</t>
  </si>
  <si>
    <t>Ansys</t>
  </si>
  <si>
    <t>Percentagem 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</si>
</sst>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2"/>
      <color rgb="FFFF0000"/>
      <name val="Arial"/>
      <family val="2"/>
    </font>
    <font>
      <u/>
      <sz val="11"/>
      <color theme="1"/>
      <name val="Arial"/>
      <family val="2"/>
    </font>
    <font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3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8" fillId="0" borderId="0" xfId="0" applyFont="1"/>
    <xf numFmtId="0" fontId="4" fillId="6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Pressure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Loading!$O$2:$O$81</c:f>
              <c:numCache>
                <c:formatCode>General</c:formatCode>
                <c:ptCount val="80"/>
                <c:pt idx="0">
                  <c:v>0</c:v>
                </c:pt>
                <c:pt idx="1">
                  <c:v>6.4000000000000001E-2</c:v>
                </c:pt>
                <c:pt idx="2">
                  <c:v>0.129</c:v>
                </c:pt>
                <c:pt idx="3">
                  <c:v>0.192</c:v>
                </c:pt>
                <c:pt idx="4">
                  <c:v>0.25700000000000001</c:v>
                </c:pt>
                <c:pt idx="5">
                  <c:v>0.32100000000000001</c:v>
                </c:pt>
                <c:pt idx="6">
                  <c:v>0.38600000000000001</c:v>
                </c:pt>
                <c:pt idx="7">
                  <c:v>0.44900000000000001</c:v>
                </c:pt>
                <c:pt idx="8">
                  <c:v>0.51400000000000001</c:v>
                </c:pt>
                <c:pt idx="9">
                  <c:v>0.57800000000000007</c:v>
                </c:pt>
                <c:pt idx="10">
                  <c:v>0.64300000000000002</c:v>
                </c:pt>
                <c:pt idx="11">
                  <c:v>0.70599999999999996</c:v>
                </c:pt>
                <c:pt idx="12">
                  <c:v>0.77099999999999991</c:v>
                </c:pt>
                <c:pt idx="13">
                  <c:v>0.83499999999999996</c:v>
                </c:pt>
                <c:pt idx="14">
                  <c:v>0.89999999999999991</c:v>
                </c:pt>
                <c:pt idx="15">
                  <c:v>0.96299999999999986</c:v>
                </c:pt>
                <c:pt idx="16">
                  <c:v>1.0279999999999998</c:v>
                </c:pt>
                <c:pt idx="17">
                  <c:v>1.0919999999999999</c:v>
                </c:pt>
                <c:pt idx="18">
                  <c:v>1.1569999999999998</c:v>
                </c:pt>
                <c:pt idx="19">
                  <c:v>1.2199999999999998</c:v>
                </c:pt>
                <c:pt idx="20">
                  <c:v>1.2849999999999997</c:v>
                </c:pt>
                <c:pt idx="21">
                  <c:v>1.3489999999999998</c:v>
                </c:pt>
                <c:pt idx="22">
                  <c:v>1.4139999999999997</c:v>
                </c:pt>
                <c:pt idx="23">
                  <c:v>1.4769999999999996</c:v>
                </c:pt>
                <c:pt idx="24">
                  <c:v>1.5419999999999996</c:v>
                </c:pt>
                <c:pt idx="25">
                  <c:v>1.6059999999999997</c:v>
                </c:pt>
                <c:pt idx="26">
                  <c:v>1.6709999999999996</c:v>
                </c:pt>
                <c:pt idx="27">
                  <c:v>1.7339999999999995</c:v>
                </c:pt>
                <c:pt idx="28">
                  <c:v>1.7989999999999995</c:v>
                </c:pt>
                <c:pt idx="29">
                  <c:v>1.8629999999999995</c:v>
                </c:pt>
                <c:pt idx="30">
                  <c:v>1.9279999999999995</c:v>
                </c:pt>
                <c:pt idx="31">
                  <c:v>1.9909999999999994</c:v>
                </c:pt>
                <c:pt idx="32">
                  <c:v>2.0559999999999996</c:v>
                </c:pt>
                <c:pt idx="33">
                  <c:v>2.1199999999999997</c:v>
                </c:pt>
                <c:pt idx="34">
                  <c:v>2.1849999999999996</c:v>
                </c:pt>
                <c:pt idx="35">
                  <c:v>2.2479999999999998</c:v>
                </c:pt>
                <c:pt idx="36">
                  <c:v>2.3129999999999997</c:v>
                </c:pt>
                <c:pt idx="37">
                  <c:v>2.3769999999999998</c:v>
                </c:pt>
                <c:pt idx="38">
                  <c:v>2.4419999999999997</c:v>
                </c:pt>
                <c:pt idx="39">
                  <c:v>2.5049999999999999</c:v>
                </c:pt>
                <c:pt idx="40">
                  <c:v>2.57</c:v>
                </c:pt>
                <c:pt idx="41">
                  <c:v>2.6339999999999999</c:v>
                </c:pt>
                <c:pt idx="42">
                  <c:v>2.6989999999999998</c:v>
                </c:pt>
                <c:pt idx="43">
                  <c:v>2.762</c:v>
                </c:pt>
                <c:pt idx="44">
                  <c:v>2.827</c:v>
                </c:pt>
                <c:pt idx="45">
                  <c:v>2.891</c:v>
                </c:pt>
                <c:pt idx="46">
                  <c:v>2.956</c:v>
                </c:pt>
                <c:pt idx="47">
                  <c:v>3.0190000000000001</c:v>
                </c:pt>
                <c:pt idx="48">
                  <c:v>3.0840000000000001</c:v>
                </c:pt>
                <c:pt idx="49">
                  <c:v>3.1480000000000001</c:v>
                </c:pt>
                <c:pt idx="50">
                  <c:v>3.2130000000000001</c:v>
                </c:pt>
                <c:pt idx="51">
                  <c:v>3.2760000000000002</c:v>
                </c:pt>
                <c:pt idx="52">
                  <c:v>3.3410000000000002</c:v>
                </c:pt>
                <c:pt idx="53">
                  <c:v>3.4050000000000002</c:v>
                </c:pt>
                <c:pt idx="54">
                  <c:v>3.47</c:v>
                </c:pt>
                <c:pt idx="55">
                  <c:v>3.5330000000000004</c:v>
                </c:pt>
                <c:pt idx="56">
                  <c:v>3.5980000000000003</c:v>
                </c:pt>
                <c:pt idx="57">
                  <c:v>3.6620000000000004</c:v>
                </c:pt>
                <c:pt idx="58">
                  <c:v>3.7260000000000004</c:v>
                </c:pt>
                <c:pt idx="59">
                  <c:v>3.7900000000000005</c:v>
                </c:pt>
                <c:pt idx="60">
                  <c:v>3.8550000000000004</c:v>
                </c:pt>
                <c:pt idx="61">
                  <c:v>3.9190000000000005</c:v>
                </c:pt>
                <c:pt idx="62">
                  <c:v>3.9830000000000005</c:v>
                </c:pt>
                <c:pt idx="63">
                  <c:v>4.0470000000000006</c:v>
                </c:pt>
                <c:pt idx="64">
                  <c:v>4.112000000000001</c:v>
                </c:pt>
                <c:pt idx="65">
                  <c:v>4.1770000000000014</c:v>
                </c:pt>
                <c:pt idx="66">
                  <c:v>4.2400000000000011</c:v>
                </c:pt>
                <c:pt idx="67">
                  <c:v>4.3050000000000015</c:v>
                </c:pt>
                <c:pt idx="68">
                  <c:v>4.3690000000000015</c:v>
                </c:pt>
                <c:pt idx="69">
                  <c:v>4.4340000000000019</c:v>
                </c:pt>
                <c:pt idx="70">
                  <c:v>4.4970000000000017</c:v>
                </c:pt>
                <c:pt idx="71">
                  <c:v>4.5620000000000021</c:v>
                </c:pt>
                <c:pt idx="72">
                  <c:v>4.6260000000000021</c:v>
                </c:pt>
                <c:pt idx="73">
                  <c:v>4.6910000000000025</c:v>
                </c:pt>
                <c:pt idx="74">
                  <c:v>4.7540000000000022</c:v>
                </c:pt>
                <c:pt idx="75">
                  <c:v>4.8190000000000026</c:v>
                </c:pt>
                <c:pt idx="76">
                  <c:v>4.8830000000000027</c:v>
                </c:pt>
                <c:pt idx="77">
                  <c:v>4.9480000000000031</c:v>
                </c:pt>
                <c:pt idx="78">
                  <c:v>5.0110000000000028</c:v>
                </c:pt>
                <c:pt idx="79">
                  <c:v>5.0740000000000025</c:v>
                </c:pt>
              </c:numCache>
            </c:numRef>
          </c:xVal>
          <c:yVal>
            <c:numRef>
              <c:f>Loading!$Q$2:$Q$81</c:f>
              <c:numCache>
                <c:formatCode>General</c:formatCode>
                <c:ptCount val="80"/>
                <c:pt idx="0">
                  <c:v>51000</c:v>
                </c:pt>
                <c:pt idx="1">
                  <c:v>125000</c:v>
                </c:pt>
                <c:pt idx="2">
                  <c:v>491000</c:v>
                </c:pt>
                <c:pt idx="3">
                  <c:v>1591000</c:v>
                </c:pt>
                <c:pt idx="4">
                  <c:v>1884000</c:v>
                </c:pt>
                <c:pt idx="5">
                  <c:v>1811000</c:v>
                </c:pt>
                <c:pt idx="6">
                  <c:v>1811000</c:v>
                </c:pt>
                <c:pt idx="7">
                  <c:v>1884000</c:v>
                </c:pt>
                <c:pt idx="8">
                  <c:v>1957000</c:v>
                </c:pt>
                <c:pt idx="9">
                  <c:v>2030999.9999999998</c:v>
                </c:pt>
                <c:pt idx="10">
                  <c:v>2104000</c:v>
                </c:pt>
                <c:pt idx="11">
                  <c:v>2177000</c:v>
                </c:pt>
                <c:pt idx="12">
                  <c:v>2324000</c:v>
                </c:pt>
                <c:pt idx="13">
                  <c:v>2324000</c:v>
                </c:pt>
                <c:pt idx="14">
                  <c:v>2471000</c:v>
                </c:pt>
                <c:pt idx="15">
                  <c:v>2471000</c:v>
                </c:pt>
                <c:pt idx="16">
                  <c:v>2544000</c:v>
                </c:pt>
                <c:pt idx="17">
                  <c:v>2544000</c:v>
                </c:pt>
                <c:pt idx="18">
                  <c:v>2617000</c:v>
                </c:pt>
                <c:pt idx="19">
                  <c:v>2617000</c:v>
                </c:pt>
                <c:pt idx="20">
                  <c:v>2617000</c:v>
                </c:pt>
                <c:pt idx="21">
                  <c:v>2617000</c:v>
                </c:pt>
                <c:pt idx="22">
                  <c:v>2691000</c:v>
                </c:pt>
                <c:pt idx="23">
                  <c:v>2691000</c:v>
                </c:pt>
                <c:pt idx="24">
                  <c:v>2691000</c:v>
                </c:pt>
                <c:pt idx="25">
                  <c:v>2691000</c:v>
                </c:pt>
                <c:pt idx="26">
                  <c:v>2691000</c:v>
                </c:pt>
                <c:pt idx="27">
                  <c:v>2691000</c:v>
                </c:pt>
                <c:pt idx="28">
                  <c:v>2691000</c:v>
                </c:pt>
                <c:pt idx="29">
                  <c:v>2691000</c:v>
                </c:pt>
                <c:pt idx="30">
                  <c:v>2764000</c:v>
                </c:pt>
                <c:pt idx="31">
                  <c:v>2764000</c:v>
                </c:pt>
                <c:pt idx="32">
                  <c:v>2764000</c:v>
                </c:pt>
                <c:pt idx="33">
                  <c:v>2764000</c:v>
                </c:pt>
                <c:pt idx="34">
                  <c:v>2764000</c:v>
                </c:pt>
                <c:pt idx="35">
                  <c:v>2764000</c:v>
                </c:pt>
                <c:pt idx="36">
                  <c:v>2764000</c:v>
                </c:pt>
                <c:pt idx="37">
                  <c:v>2764000</c:v>
                </c:pt>
                <c:pt idx="38">
                  <c:v>2764000</c:v>
                </c:pt>
                <c:pt idx="39">
                  <c:v>2764000</c:v>
                </c:pt>
                <c:pt idx="40">
                  <c:v>2764000</c:v>
                </c:pt>
                <c:pt idx="41">
                  <c:v>2764000</c:v>
                </c:pt>
                <c:pt idx="42">
                  <c:v>2764000</c:v>
                </c:pt>
                <c:pt idx="43">
                  <c:v>2764000</c:v>
                </c:pt>
                <c:pt idx="44">
                  <c:v>2764000</c:v>
                </c:pt>
                <c:pt idx="45">
                  <c:v>2764000</c:v>
                </c:pt>
                <c:pt idx="46">
                  <c:v>2764000</c:v>
                </c:pt>
                <c:pt idx="47">
                  <c:v>2764000</c:v>
                </c:pt>
                <c:pt idx="48">
                  <c:v>2764000</c:v>
                </c:pt>
                <c:pt idx="49">
                  <c:v>2764000</c:v>
                </c:pt>
                <c:pt idx="50">
                  <c:v>2764000</c:v>
                </c:pt>
                <c:pt idx="51">
                  <c:v>2764000</c:v>
                </c:pt>
                <c:pt idx="52">
                  <c:v>2764000</c:v>
                </c:pt>
                <c:pt idx="53">
                  <c:v>2764000</c:v>
                </c:pt>
                <c:pt idx="54">
                  <c:v>2764000</c:v>
                </c:pt>
                <c:pt idx="55">
                  <c:v>2764000</c:v>
                </c:pt>
                <c:pt idx="56">
                  <c:v>2764000</c:v>
                </c:pt>
                <c:pt idx="57">
                  <c:v>2764000</c:v>
                </c:pt>
                <c:pt idx="58">
                  <c:v>2691000</c:v>
                </c:pt>
                <c:pt idx="59">
                  <c:v>2544000</c:v>
                </c:pt>
                <c:pt idx="60">
                  <c:v>2397000</c:v>
                </c:pt>
                <c:pt idx="61">
                  <c:v>2177000</c:v>
                </c:pt>
                <c:pt idx="62">
                  <c:v>1884000</c:v>
                </c:pt>
                <c:pt idx="63">
                  <c:v>1591000</c:v>
                </c:pt>
                <c:pt idx="64">
                  <c:v>1444000</c:v>
                </c:pt>
                <c:pt idx="65">
                  <c:v>1371000</c:v>
                </c:pt>
                <c:pt idx="66">
                  <c:v>1371000</c:v>
                </c:pt>
                <c:pt idx="67">
                  <c:v>1224000</c:v>
                </c:pt>
                <c:pt idx="68">
                  <c:v>1151000</c:v>
                </c:pt>
                <c:pt idx="69">
                  <c:v>1078000</c:v>
                </c:pt>
                <c:pt idx="70">
                  <c:v>1003999.9999999999</c:v>
                </c:pt>
                <c:pt idx="71">
                  <c:v>931000</c:v>
                </c:pt>
                <c:pt idx="72">
                  <c:v>858000</c:v>
                </c:pt>
                <c:pt idx="73">
                  <c:v>711000</c:v>
                </c:pt>
                <c:pt idx="74">
                  <c:v>565000</c:v>
                </c:pt>
                <c:pt idx="75">
                  <c:v>418000</c:v>
                </c:pt>
                <c:pt idx="76">
                  <c:v>271000</c:v>
                </c:pt>
                <c:pt idx="77">
                  <c:v>198000</c:v>
                </c:pt>
                <c:pt idx="78">
                  <c:v>51000</c:v>
                </c:pt>
                <c:pt idx="79">
                  <c:v>51000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D1-4205-886C-A605AD848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90671"/>
        <c:axId val="518653535"/>
      </c:scatterChart>
      <c:valAx>
        <c:axId val="4189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53535"/>
        <c:crosses val="autoZero"/>
        <c:crossBetween val="midCat"/>
      </c:valAx>
      <c:valAx>
        <c:axId val="51865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Pressure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9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528064993517517"/>
          <c:y val="6.4732372053452253E-2"/>
          <c:w val="0.61610279364036491"/>
          <c:h val="0.9191322077655377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Input!$D$2:$D$25</c:f>
              <c:numCache>
                <c:formatCode>General</c:formatCode>
                <c:ptCount val="24"/>
                <c:pt idx="0">
                  <c:v>0</c:v>
                </c:pt>
                <c:pt idx="1">
                  <c:v>4.9399999999999999E-2</c:v>
                </c:pt>
                <c:pt idx="2">
                  <c:v>4.9399999999999999E-2</c:v>
                </c:pt>
                <c:pt idx="3">
                  <c:v>1.7170000000000001E-2</c:v>
                </c:pt>
                <c:pt idx="4">
                  <c:v>1.6239999999999997E-2</c:v>
                </c:pt>
                <c:pt idx="5">
                  <c:v>1.585E-2</c:v>
                </c:pt>
                <c:pt idx="6">
                  <c:v>1.5939999999999999E-2</c:v>
                </c:pt>
                <c:pt idx="7">
                  <c:v>2.3379999999999998E-2</c:v>
                </c:pt>
              </c:numCache>
            </c:numRef>
          </c:xVal>
          <c:yVal>
            <c:numRef>
              <c:f>Input!$C$2:$C$25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0.91363000000000005</c:v>
                </c:pt>
                <c:pt idx="3">
                  <c:v>0.96945000000000003</c:v>
                </c:pt>
                <c:pt idx="4">
                  <c:v>0.97162000000000004</c:v>
                </c:pt>
                <c:pt idx="5">
                  <c:v>0.97377999999999998</c:v>
                </c:pt>
                <c:pt idx="6">
                  <c:v>0.9759500000000001</c:v>
                </c:pt>
                <c:pt idx="7">
                  <c:v>1.02522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3-489C-93CA-20CADA14D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67088"/>
        <c:axId val="1681096207"/>
      </c:scatterChart>
      <c:valAx>
        <c:axId val="383670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81096207"/>
        <c:crosses val="autoZero"/>
        <c:crossBetween val="midCat"/>
      </c:valAx>
      <c:valAx>
        <c:axId val="16810962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z [m]</a:t>
                </a:r>
              </a:p>
            </c:rich>
          </c:tx>
          <c:layout>
            <c:manualLayout>
              <c:xMode val="edge"/>
              <c:yMode val="edge"/>
              <c:x val="0"/>
              <c:y val="0.521706231068406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36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716755</xdr:colOff>
      <xdr:row>2</xdr:row>
      <xdr:rowOff>21432</xdr:rowOff>
    </xdr:from>
    <xdr:to>
      <xdr:col>21</xdr:col>
      <xdr:colOff>116680</xdr:colOff>
      <xdr:row>15</xdr:row>
      <xdr:rowOff>154782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5CB193-3596-4E12-BFF2-0AD199388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353523</xdr:colOff>
      <xdr:row>4</xdr:row>
      <xdr:rowOff>125288</xdr:rowOff>
    </xdr:from>
    <xdr:to>
      <xdr:col>43</xdr:col>
      <xdr:colOff>227133</xdr:colOff>
      <xdr:row>45</xdr:row>
      <xdr:rowOff>95249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3700075F-AC57-664F-8C94-20B6322F39FD}"/>
            </a:ext>
          </a:extLst>
        </xdr:cNvPr>
        <xdr:cNvGrpSpPr/>
      </xdr:nvGrpSpPr>
      <xdr:grpSpPr>
        <a:xfrm>
          <a:off x="42229985" y="856433"/>
          <a:ext cx="5078821" cy="7395436"/>
          <a:chOff x="16846428" y="389059"/>
          <a:chExt cx="2086708" cy="2509107"/>
        </a:xfrm>
      </xdr:grpSpPr>
      <xdr:cxnSp macro="">
        <xdr:nvCxnSpPr>
          <xdr:cNvPr id="3" name="Conexão reta unidirecional 2">
            <a:extLst>
              <a:ext uri="{FF2B5EF4-FFF2-40B4-BE49-F238E27FC236}">
                <a16:creationId xmlns:a16="http://schemas.microsoft.com/office/drawing/2014/main" id="{F08E1AFE-52AA-5552-1ED3-21D1BDB05177}"/>
              </a:ext>
            </a:extLst>
          </xdr:cNvPr>
          <xdr:cNvCxnSpPr/>
        </xdr:nvCxnSpPr>
        <xdr:spPr>
          <a:xfrm>
            <a:off x="17098839" y="429725"/>
            <a:ext cx="0" cy="2468441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Conexão reta unidirecional 3">
            <a:extLst>
              <a:ext uri="{FF2B5EF4-FFF2-40B4-BE49-F238E27FC236}">
                <a16:creationId xmlns:a16="http://schemas.microsoft.com/office/drawing/2014/main" id="{719D8B32-0FD6-4807-A6DB-93B44C268FAB}"/>
              </a:ext>
            </a:extLst>
          </xdr:cNvPr>
          <xdr:cNvCxnSpPr/>
        </xdr:nvCxnSpPr>
        <xdr:spPr>
          <a:xfrm rot="-5400000">
            <a:off x="17937407" y="-372940"/>
            <a:ext cx="0" cy="1991458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34912EED-D2B9-0177-53A6-C410C0B0DAF4}"/>
              </a:ext>
            </a:extLst>
          </xdr:cNvPr>
          <xdr:cNvSpPr txBox="1"/>
        </xdr:nvSpPr>
        <xdr:spPr>
          <a:xfrm>
            <a:off x="16846428" y="2539880"/>
            <a:ext cx="71437" cy="1890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>
                <a:latin typeface="Arial" panose="020B0604020202020204" pitchFamily="34" charset="0"/>
                <a:cs typeface="Arial" panose="020B0604020202020204" pitchFamily="34" charset="0"/>
              </a:rPr>
              <a:t>z</a:t>
            </a:r>
          </a:p>
        </xdr:txBody>
      </xdr: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05983A90-DD5D-4AF1-B2F0-E991269DF9B2}"/>
              </a:ext>
            </a:extLst>
          </xdr:cNvPr>
          <xdr:cNvSpPr txBox="1"/>
        </xdr:nvSpPr>
        <xdr:spPr>
          <a:xfrm>
            <a:off x="18766448" y="389059"/>
            <a:ext cx="112394" cy="12162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  <a:effectLst/>
        </xdr:spPr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8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</a:t>
            </a:r>
          </a:p>
        </xdr:txBody>
      </xdr:sp>
    </xdr:grpSp>
    <xdr:clientData/>
  </xdr:twoCellAnchor>
  <xdr:twoCellAnchor>
    <xdr:from>
      <xdr:col>36</xdr:col>
      <xdr:colOff>241787</xdr:colOff>
      <xdr:row>6</xdr:row>
      <xdr:rowOff>14653</xdr:rowOff>
    </xdr:from>
    <xdr:to>
      <xdr:col>36</xdr:col>
      <xdr:colOff>373671</xdr:colOff>
      <xdr:row>6</xdr:row>
      <xdr:rowOff>139211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A7FF8DC-D717-DEBB-6AFE-F46B93461F00}"/>
            </a:ext>
          </a:extLst>
        </xdr:cNvPr>
        <xdr:cNvSpPr/>
      </xdr:nvSpPr>
      <xdr:spPr>
        <a:xfrm>
          <a:off x="13781941" y="148003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254690</xdr:colOff>
      <xdr:row>37</xdr:row>
      <xdr:rowOff>175847</xdr:rowOff>
    </xdr:from>
    <xdr:to>
      <xdr:col>38</xdr:col>
      <xdr:colOff>386574</xdr:colOff>
      <xdr:row>38</xdr:row>
      <xdr:rowOff>117232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64A39E3-4F12-4153-8B6C-28439921DA27}"/>
            </a:ext>
          </a:extLst>
        </xdr:cNvPr>
        <xdr:cNvSpPr/>
      </xdr:nvSpPr>
      <xdr:spPr>
        <a:xfrm>
          <a:off x="22967120" y="7373260"/>
          <a:ext cx="131884" cy="12249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527540</xdr:colOff>
      <xdr:row>43</xdr:row>
      <xdr:rowOff>109904</xdr:rowOff>
    </xdr:from>
    <xdr:to>
      <xdr:col>39</xdr:col>
      <xdr:colOff>7327</xdr:colOff>
      <xdr:row>44</xdr:row>
      <xdr:rowOff>51290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3DB278A-C5D3-46D1-A49B-905D436C7DD0}"/>
            </a:ext>
          </a:extLst>
        </xdr:cNvPr>
        <xdr:cNvSpPr/>
      </xdr:nvSpPr>
      <xdr:spPr>
        <a:xfrm>
          <a:off x="15357232" y="848457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293078</xdr:colOff>
      <xdr:row>30</xdr:row>
      <xdr:rowOff>109904</xdr:rowOff>
    </xdr:from>
    <xdr:to>
      <xdr:col>39</xdr:col>
      <xdr:colOff>424962</xdr:colOff>
      <xdr:row>31</xdr:row>
      <xdr:rowOff>51288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1F60F0E2-92FA-401F-90E8-D98AC81A0FF6}"/>
            </a:ext>
          </a:extLst>
        </xdr:cNvPr>
        <xdr:cNvSpPr/>
      </xdr:nvSpPr>
      <xdr:spPr>
        <a:xfrm>
          <a:off x="15774867" y="6103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219809</xdr:colOff>
      <xdr:row>36</xdr:row>
      <xdr:rowOff>36635</xdr:rowOff>
    </xdr:from>
    <xdr:to>
      <xdr:col>38</xdr:col>
      <xdr:colOff>351693</xdr:colOff>
      <xdr:row>36</xdr:row>
      <xdr:rowOff>161193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F9E1ADE-2C11-4253-84B2-1DC5DB2235D5}"/>
            </a:ext>
          </a:extLst>
        </xdr:cNvPr>
        <xdr:cNvSpPr/>
      </xdr:nvSpPr>
      <xdr:spPr>
        <a:xfrm>
          <a:off x="15049501" y="712909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395656</xdr:colOff>
      <xdr:row>34</xdr:row>
      <xdr:rowOff>139212</xdr:rowOff>
    </xdr:from>
    <xdr:to>
      <xdr:col>38</xdr:col>
      <xdr:colOff>527540</xdr:colOff>
      <xdr:row>35</xdr:row>
      <xdr:rowOff>80596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8B7D57E8-2CA3-48DF-80A5-FC5DA7A6989C}"/>
            </a:ext>
          </a:extLst>
        </xdr:cNvPr>
        <xdr:cNvSpPr/>
      </xdr:nvSpPr>
      <xdr:spPr>
        <a:xfrm>
          <a:off x="15225348" y="6865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298940</xdr:colOff>
      <xdr:row>6</xdr:row>
      <xdr:rowOff>5863</xdr:rowOff>
    </xdr:from>
    <xdr:to>
      <xdr:col>39</xdr:col>
      <xdr:colOff>430824</xdr:colOff>
      <xdr:row>6</xdr:row>
      <xdr:rowOff>130421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A122DB3-B923-4956-B1A8-408FD3E06429}"/>
            </a:ext>
          </a:extLst>
        </xdr:cNvPr>
        <xdr:cNvSpPr/>
      </xdr:nvSpPr>
      <xdr:spPr>
        <a:xfrm>
          <a:off x="15780729" y="147124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367548</xdr:colOff>
      <xdr:row>6</xdr:row>
      <xdr:rowOff>97526</xdr:rowOff>
    </xdr:from>
    <xdr:to>
      <xdr:col>39</xdr:col>
      <xdr:colOff>405648</xdr:colOff>
      <xdr:row>31</xdr:row>
      <xdr:rowOff>25720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AA799DF1-FC0E-8BAE-B984-2E6CA7D7420C}"/>
            </a:ext>
          </a:extLst>
        </xdr:cNvPr>
        <xdr:cNvCxnSpPr/>
      </xdr:nvCxnSpPr>
      <xdr:spPr>
        <a:xfrm>
          <a:off x="15849337" y="1562911"/>
          <a:ext cx="38100" cy="463940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508226</xdr:colOff>
      <xdr:row>31</xdr:row>
      <xdr:rowOff>51288</xdr:rowOff>
    </xdr:from>
    <xdr:to>
      <xdr:col>39</xdr:col>
      <xdr:colOff>359020</xdr:colOff>
      <xdr:row>34</xdr:row>
      <xdr:rowOff>157453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F491E0EB-9619-2490-E272-D772172E871C}"/>
            </a:ext>
          </a:extLst>
        </xdr:cNvPr>
        <xdr:cNvCxnSpPr>
          <a:stCxn id="9" idx="4"/>
          <a:endCxn id="12" idx="7"/>
        </xdr:cNvCxnSpPr>
      </xdr:nvCxnSpPr>
      <xdr:spPr>
        <a:xfrm flipH="1">
          <a:off x="15337918" y="6227885"/>
          <a:ext cx="502891" cy="65568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320632</xdr:colOff>
      <xdr:row>38</xdr:row>
      <xdr:rowOff>117232</xdr:rowOff>
    </xdr:from>
    <xdr:to>
      <xdr:col>38</xdr:col>
      <xdr:colOff>592760</xdr:colOff>
      <xdr:row>44</xdr:row>
      <xdr:rowOff>51290</xdr:rowOff>
    </xdr:to>
    <xdr:cxnSp macro="">
      <xdr:nvCxnSpPr>
        <xdr:cNvPr id="19" name="Conexão reta 18">
          <a:extLst>
            <a:ext uri="{FF2B5EF4-FFF2-40B4-BE49-F238E27FC236}">
              <a16:creationId xmlns:a16="http://schemas.microsoft.com/office/drawing/2014/main" id="{AFD84CFA-78AF-95BA-E9A4-2B917E80A10C}"/>
            </a:ext>
          </a:extLst>
        </xdr:cNvPr>
        <xdr:cNvCxnSpPr>
          <a:stCxn id="7" idx="4"/>
          <a:endCxn id="8" idx="4"/>
        </xdr:cNvCxnSpPr>
      </xdr:nvCxnSpPr>
      <xdr:spPr>
        <a:xfrm>
          <a:off x="23033062" y="7495753"/>
          <a:ext cx="272128" cy="102071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273323</xdr:colOff>
      <xdr:row>35</xdr:row>
      <xdr:rowOff>58615</xdr:rowOff>
    </xdr:from>
    <xdr:to>
      <xdr:col>38</xdr:col>
      <xdr:colOff>432289</xdr:colOff>
      <xdr:row>38</xdr:row>
      <xdr:rowOff>80596</xdr:rowOff>
    </xdr:to>
    <xdr:sp macro="" textlink="">
      <xdr:nvSpPr>
        <xdr:cNvPr id="21" name="Forma livre: Forma 20">
          <a:extLst>
            <a:ext uri="{FF2B5EF4-FFF2-40B4-BE49-F238E27FC236}">
              <a16:creationId xmlns:a16="http://schemas.microsoft.com/office/drawing/2014/main" id="{C9385D42-746B-28BB-8E09-7A0C2AA24A4D}"/>
            </a:ext>
          </a:extLst>
        </xdr:cNvPr>
        <xdr:cNvSpPr/>
      </xdr:nvSpPr>
      <xdr:spPr>
        <a:xfrm>
          <a:off x="15103015" y="6967904"/>
          <a:ext cx="158966" cy="571500"/>
        </a:xfrm>
        <a:custGeom>
          <a:avLst/>
          <a:gdLst>
            <a:gd name="connsiteX0" fmla="*/ 158966 w 158966"/>
            <a:gd name="connsiteY0" fmla="*/ 0 h 571500"/>
            <a:gd name="connsiteX1" fmla="*/ 12427 w 158966"/>
            <a:gd name="connsiteY1" fmla="*/ 227134 h 571500"/>
            <a:gd name="connsiteX2" fmla="*/ 71043 w 158966"/>
            <a:gd name="connsiteY2" fmla="*/ 57150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8966" h="571500">
              <a:moveTo>
                <a:pt x="158966" y="0"/>
              </a:moveTo>
              <a:cubicBezTo>
                <a:pt x="93023" y="65942"/>
                <a:pt x="27081" y="131884"/>
                <a:pt x="12427" y="227134"/>
              </a:cubicBezTo>
              <a:cubicBezTo>
                <a:pt x="-2227" y="322384"/>
                <a:pt x="-21765" y="504337"/>
                <a:pt x="71043" y="571500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261101</xdr:colOff>
      <xdr:row>6</xdr:row>
      <xdr:rowOff>24104</xdr:rowOff>
    </xdr:from>
    <xdr:to>
      <xdr:col>39</xdr:col>
      <xdr:colOff>411510</xdr:colOff>
      <xdr:row>6</xdr:row>
      <xdr:rowOff>32894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AB5A37A1-0AFE-7DD4-204D-9FE64CC0FF6C}"/>
            </a:ext>
          </a:extLst>
        </xdr:cNvPr>
        <xdr:cNvCxnSpPr>
          <a:stCxn id="6" idx="1"/>
          <a:endCxn id="13" idx="7"/>
        </xdr:cNvCxnSpPr>
      </xdr:nvCxnSpPr>
      <xdr:spPr>
        <a:xfrm flipV="1">
          <a:off x="21672228" y="1479686"/>
          <a:ext cx="2102364" cy="87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221809</xdr:colOff>
      <xdr:row>0</xdr:row>
      <xdr:rowOff>150567</xdr:rowOff>
    </xdr:from>
    <xdr:to>
      <xdr:col>17</xdr:col>
      <xdr:colOff>92506</xdr:colOff>
      <xdr:row>48</xdr:row>
      <xdr:rowOff>48655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E835C40-D4AB-E5EE-12C8-209D89456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Office 2013 - 2022">
  <a:themeElements>
    <a:clrScheme name="Amarelo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2EB7-77CC-487B-A9F9-0DAE1F6C6E4D}">
  <dimension ref="B1:B25"/>
  <sheetViews>
    <sheetView workbookViewId="0">
      <selection activeCell="F22" sqref="F22"/>
    </sheetView>
  </sheetViews>
  <sheetFormatPr defaultRowHeight="14.25" x14ac:dyDescent="0.45"/>
  <cols>
    <col min="2" max="2" width="83.6640625" bestFit="1" customWidth="1"/>
  </cols>
  <sheetData>
    <row r="1" spans="2:2" x14ac:dyDescent="0.45">
      <c r="B1" s="13"/>
    </row>
    <row r="2" spans="2:2" x14ac:dyDescent="0.45">
      <c r="B2" s="13"/>
    </row>
    <row r="3" spans="2:2" ht="17.649999999999999" x14ac:dyDescent="0.45">
      <c r="B3" s="3" t="s">
        <v>5</v>
      </c>
    </row>
    <row r="4" spans="2:2" ht="15" x14ac:dyDescent="0.45">
      <c r="B4" s="9" t="s">
        <v>18</v>
      </c>
    </row>
    <row r="5" spans="2:2" ht="15" x14ac:dyDescent="0.45">
      <c r="B5" s="14" t="s">
        <v>24</v>
      </c>
    </row>
    <row r="6" spans="2:2" ht="15" x14ac:dyDescent="0.45">
      <c r="B6" s="12" t="s">
        <v>10</v>
      </c>
    </row>
    <row r="7" spans="2:2" ht="45" x14ac:dyDescent="0.45">
      <c r="B7" s="4" t="s">
        <v>11</v>
      </c>
    </row>
    <row r="8" spans="2:2" ht="15" x14ac:dyDescent="0.45">
      <c r="B8" s="14" t="s">
        <v>17</v>
      </c>
    </row>
    <row r="9" spans="2:2" ht="15" x14ac:dyDescent="0.45">
      <c r="B9" s="14" t="s">
        <v>16</v>
      </c>
    </row>
    <row r="10" spans="2:2" ht="15" x14ac:dyDescent="0.45">
      <c r="B10" s="15" t="s">
        <v>19</v>
      </c>
    </row>
    <row r="11" spans="2:2" ht="15" x14ac:dyDescent="0.45">
      <c r="B11" s="15" t="s">
        <v>23</v>
      </c>
    </row>
    <row r="15" spans="2:2" x14ac:dyDescent="0.45">
      <c r="B15" s="13"/>
    </row>
    <row r="16" spans="2:2" x14ac:dyDescent="0.45">
      <c r="B16" s="13"/>
    </row>
    <row r="17" spans="2:2" x14ac:dyDescent="0.45">
      <c r="B17" s="13"/>
    </row>
    <row r="18" spans="2:2" x14ac:dyDescent="0.45">
      <c r="B18" s="13"/>
    </row>
    <row r="19" spans="2:2" ht="17.649999999999999" x14ac:dyDescent="0.45">
      <c r="B19" s="3" t="s">
        <v>7</v>
      </c>
    </row>
    <row r="20" spans="2:2" ht="15" x14ac:dyDescent="0.45">
      <c r="B20" s="12" t="s">
        <v>25</v>
      </c>
    </row>
    <row r="21" spans="2:2" ht="15" x14ac:dyDescent="0.45">
      <c r="B21" s="12" t="s">
        <v>6</v>
      </c>
    </row>
    <row r="22" spans="2:2" x14ac:dyDescent="0.45">
      <c r="B22" s="16"/>
    </row>
    <row r="23" spans="2:2" x14ac:dyDescent="0.45">
      <c r="B23" s="16"/>
    </row>
    <row r="24" spans="2:2" x14ac:dyDescent="0.45">
      <c r="B24" s="16"/>
    </row>
    <row r="25" spans="2:2" x14ac:dyDescent="0.45">
      <c r="B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F1FA-C62B-4B59-8919-F5A7A9E45D64}">
  <dimension ref="A1:I21"/>
  <sheetViews>
    <sheetView zoomScale="90" zoomScaleNormal="90" workbookViewId="0">
      <selection activeCell="B37" sqref="B37"/>
    </sheetView>
  </sheetViews>
  <sheetFormatPr defaultRowHeight="14.25" x14ac:dyDescent="0.45"/>
  <cols>
    <col min="1" max="1" width="22.33203125" bestFit="1" customWidth="1"/>
    <col min="2" max="2" width="11.9296875" customWidth="1"/>
    <col min="3" max="3" width="31.59765625" bestFit="1" customWidth="1"/>
    <col min="4" max="6" width="20.9296875" bestFit="1" customWidth="1"/>
    <col min="7" max="7" width="20.3984375" bestFit="1" customWidth="1"/>
    <col min="8" max="8" width="20.9296875" bestFit="1" customWidth="1"/>
  </cols>
  <sheetData>
    <row r="1" spans="1:9" ht="15" customHeight="1" x14ac:dyDescent="0.45">
      <c r="A1" s="21" t="s">
        <v>34</v>
      </c>
      <c r="B1" s="8"/>
      <c r="C1" s="26" t="s">
        <v>14</v>
      </c>
      <c r="D1" s="20" t="s">
        <v>26</v>
      </c>
      <c r="E1" s="20" t="s">
        <v>27</v>
      </c>
      <c r="F1" s="20" t="s">
        <v>29</v>
      </c>
      <c r="G1" s="20" t="s">
        <v>33</v>
      </c>
      <c r="H1" s="21" t="s">
        <v>46</v>
      </c>
    </row>
    <row r="2" spans="1:9" ht="15" customHeight="1" x14ac:dyDescent="0.5">
      <c r="A2" s="18">
        <f>COUNTIF(D1:BE1, "&lt;&gt;")</f>
        <v>5</v>
      </c>
      <c r="B2" s="25"/>
      <c r="C2" s="19" t="s">
        <v>13</v>
      </c>
      <c r="D2" s="83">
        <v>2700</v>
      </c>
      <c r="E2" s="12">
        <v>2700</v>
      </c>
      <c r="F2" s="97">
        <v>8000</v>
      </c>
      <c r="G2" s="9"/>
      <c r="H2" s="85">
        <v>2780</v>
      </c>
      <c r="I2" s="40"/>
    </row>
    <row r="3" spans="1:9" ht="15.75" x14ac:dyDescent="0.5">
      <c r="C3" s="19" t="s">
        <v>41</v>
      </c>
      <c r="D3" s="83">
        <f>68.9*10^9</f>
        <v>68900000000</v>
      </c>
      <c r="E3" s="12">
        <f>68.9*10^9</f>
        <v>68900000000</v>
      </c>
      <c r="F3" s="97">
        <f>193*10^9</f>
        <v>193000000000</v>
      </c>
      <c r="G3" s="9"/>
      <c r="H3" s="85">
        <v>73.099999999999994</v>
      </c>
      <c r="I3" s="40"/>
    </row>
    <row r="4" spans="1:9" ht="15.75" x14ac:dyDescent="0.5">
      <c r="C4" s="19" t="s">
        <v>12</v>
      </c>
      <c r="D4" s="83">
        <v>0.33</v>
      </c>
      <c r="E4" s="12">
        <v>0.33</v>
      </c>
      <c r="F4" s="97">
        <v>0.33</v>
      </c>
      <c r="G4" s="9"/>
      <c r="H4" s="85">
        <v>0.33</v>
      </c>
      <c r="I4" s="40"/>
    </row>
    <row r="5" spans="1:9" ht="15" customHeight="1" x14ac:dyDescent="0.5">
      <c r="C5" s="19" t="s">
        <v>42</v>
      </c>
      <c r="D5" s="83">
        <f>19*10^6</f>
        <v>19000000</v>
      </c>
      <c r="E5" s="12">
        <f>276*10^6</f>
        <v>276000000</v>
      </c>
      <c r="F5" s="97">
        <f>240 *10^6</f>
        <v>240000000</v>
      </c>
      <c r="G5" s="9"/>
      <c r="H5" s="85">
        <v>62</v>
      </c>
      <c r="I5" s="40"/>
    </row>
    <row r="6" spans="1:9" ht="15.75" x14ac:dyDescent="0.5">
      <c r="C6" s="19" t="s">
        <v>43</v>
      </c>
      <c r="D6" s="83">
        <f>32*10^6</f>
        <v>32000000</v>
      </c>
      <c r="E6" s="12">
        <f>310*10^6</f>
        <v>310000000</v>
      </c>
      <c r="F6" s="97">
        <f>550*10^6</f>
        <v>550000000</v>
      </c>
      <c r="G6" s="9"/>
      <c r="H6" s="85">
        <v>76</v>
      </c>
      <c r="I6" s="40"/>
    </row>
    <row r="7" spans="1:9" ht="15.75" x14ac:dyDescent="0.5">
      <c r="C7" s="19" t="s">
        <v>44</v>
      </c>
      <c r="D7" s="84">
        <f>27*10^6</f>
        <v>27000000</v>
      </c>
      <c r="E7" s="22">
        <f>E6*0.85</f>
        <v>263500000</v>
      </c>
      <c r="F7" s="22">
        <f>F6*0.85</f>
        <v>467500000</v>
      </c>
      <c r="G7" s="41"/>
      <c r="H7" s="86">
        <v>65</v>
      </c>
      <c r="I7" s="40"/>
    </row>
    <row r="8" spans="1:9" ht="15.75" x14ac:dyDescent="0.5">
      <c r="C8" s="19" t="s">
        <v>45</v>
      </c>
      <c r="D8" s="83">
        <f>207*10^6</f>
        <v>207000000</v>
      </c>
      <c r="E8" s="83">
        <f>207*10^6</f>
        <v>207000000</v>
      </c>
      <c r="F8" s="83">
        <f>207*10^6</f>
        <v>207000000</v>
      </c>
      <c r="G8" s="12"/>
      <c r="H8" s="85">
        <v>283</v>
      </c>
      <c r="I8" s="40"/>
    </row>
    <row r="9" spans="1:9" ht="15.75" x14ac:dyDescent="0.5">
      <c r="C9" s="40"/>
      <c r="D9" s="9" t="s">
        <v>31</v>
      </c>
      <c r="E9" s="9" t="s">
        <v>75</v>
      </c>
      <c r="F9" s="9" t="s">
        <v>76</v>
      </c>
      <c r="G9" s="9" t="s">
        <v>47</v>
      </c>
      <c r="H9" s="9" t="s">
        <v>32</v>
      </c>
      <c r="I9" s="40"/>
    </row>
    <row r="10" spans="1:9" ht="15.75" x14ac:dyDescent="0.5">
      <c r="C10" s="40"/>
      <c r="D10" s="40"/>
      <c r="E10" s="40"/>
      <c r="F10" s="40"/>
      <c r="G10" s="40"/>
      <c r="H10" s="40"/>
      <c r="I10" s="40"/>
    </row>
    <row r="11" spans="1:9" ht="15.75" x14ac:dyDescent="0.5">
      <c r="C11" s="40"/>
      <c r="D11" s="40"/>
      <c r="E11" s="40"/>
      <c r="F11" s="40"/>
      <c r="G11" s="40"/>
      <c r="H11" s="40"/>
      <c r="I11" s="40"/>
    </row>
    <row r="12" spans="1:9" ht="14.25" customHeight="1" x14ac:dyDescent="0.5">
      <c r="C12" s="40"/>
      <c r="D12" s="40"/>
      <c r="E12" s="87" t="s">
        <v>35</v>
      </c>
      <c r="F12" s="87"/>
      <c r="G12" s="42"/>
      <c r="H12" s="40"/>
      <c r="I12" s="40"/>
    </row>
    <row r="13" spans="1:9" ht="15.75" x14ac:dyDescent="0.5">
      <c r="C13" s="40"/>
      <c r="D13" s="40"/>
      <c r="E13" s="87"/>
      <c r="F13" s="87"/>
      <c r="G13" s="42"/>
      <c r="H13" s="40"/>
      <c r="I13" s="40"/>
    </row>
    <row r="14" spans="1:9" ht="15.75" x14ac:dyDescent="0.5">
      <c r="C14" s="40"/>
      <c r="D14" s="40"/>
      <c r="E14" s="42"/>
      <c r="F14" s="42"/>
      <c r="G14" s="42"/>
      <c r="H14" s="40"/>
      <c r="I14" s="40"/>
    </row>
    <row r="15" spans="1:9" ht="15.75" x14ac:dyDescent="0.5">
      <c r="C15" s="40"/>
      <c r="D15" s="40"/>
      <c r="E15" s="40"/>
      <c r="F15" s="40"/>
      <c r="G15" s="40"/>
      <c r="H15" s="40"/>
      <c r="I15" s="40"/>
    </row>
    <row r="16" spans="1:9" ht="15.75" x14ac:dyDescent="0.5">
      <c r="C16" s="40"/>
      <c r="D16" s="40"/>
      <c r="E16" s="40"/>
      <c r="F16" s="40"/>
      <c r="G16" s="40"/>
      <c r="H16" s="40"/>
      <c r="I16" s="40"/>
    </row>
    <row r="17" spans="3:9" ht="15.75" x14ac:dyDescent="0.5">
      <c r="C17" s="40"/>
      <c r="D17" s="40"/>
      <c r="E17" s="40"/>
      <c r="F17" s="40"/>
      <c r="G17" s="40"/>
      <c r="H17" s="40"/>
      <c r="I17" s="40"/>
    </row>
    <row r="18" spans="3:9" ht="15.75" x14ac:dyDescent="0.5">
      <c r="C18" s="40"/>
      <c r="D18" s="40"/>
      <c r="E18" s="40"/>
      <c r="F18" s="40"/>
      <c r="G18" s="40"/>
      <c r="H18" s="40"/>
      <c r="I18" s="40"/>
    </row>
    <row r="19" spans="3:9" ht="15.75" x14ac:dyDescent="0.5">
      <c r="C19" s="40"/>
      <c r="D19" s="40"/>
      <c r="E19" s="40"/>
      <c r="F19" s="40"/>
      <c r="G19" s="40"/>
      <c r="H19" s="40"/>
      <c r="I19" s="40"/>
    </row>
    <row r="20" spans="3:9" ht="15.75" x14ac:dyDescent="0.5">
      <c r="C20" s="40"/>
      <c r="D20" s="40"/>
      <c r="E20" s="40"/>
      <c r="F20" s="40"/>
      <c r="G20" s="40"/>
      <c r="H20" s="40"/>
      <c r="I20" s="40"/>
    </row>
    <row r="21" spans="3:9" ht="15.75" x14ac:dyDescent="0.5">
      <c r="C21" s="40"/>
      <c r="D21" s="40"/>
      <c r="E21" s="40"/>
      <c r="F21" s="40"/>
      <c r="G21" s="40"/>
      <c r="H21" s="40"/>
      <c r="I21" s="40"/>
    </row>
  </sheetData>
  <mergeCells count="1">
    <mergeCell ref="E12:F1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D36B-8DEB-4362-8948-9CFC06A35BB2}">
  <dimension ref="A1:AD81"/>
  <sheetViews>
    <sheetView workbookViewId="0">
      <selection activeCell="D32" sqref="D32"/>
    </sheetView>
  </sheetViews>
  <sheetFormatPr defaultRowHeight="14.25" x14ac:dyDescent="0.45"/>
  <cols>
    <col min="1" max="1" width="15.59765625" bestFit="1" customWidth="1"/>
    <col min="3" max="3" width="3.9296875" bestFit="1" customWidth="1"/>
    <col min="4" max="4" width="12.265625" bestFit="1" customWidth="1"/>
    <col min="5" max="5" width="17" bestFit="1" customWidth="1"/>
    <col min="6" max="6" width="10.59765625" customWidth="1"/>
    <col min="7" max="8" width="10.73046875" customWidth="1"/>
    <col min="9" max="9" width="10.59765625" customWidth="1"/>
    <col min="10" max="10" width="10.73046875" customWidth="1"/>
    <col min="11" max="11" width="8.6640625" customWidth="1"/>
    <col min="12" max="12" width="1.73046875" style="93" customWidth="1"/>
    <col min="13" max="13" width="7.19921875" style="5" customWidth="1"/>
    <col min="14" max="14" width="8.6640625" customWidth="1"/>
    <col min="15" max="16" width="12.6640625" customWidth="1"/>
    <col min="17" max="17" width="12.06640625" bestFit="1" customWidth="1"/>
    <col min="18" max="18" width="15.33203125" bestFit="1" customWidth="1"/>
    <col min="19" max="19" width="21.9296875" customWidth="1"/>
    <col min="20" max="20" width="13" customWidth="1"/>
    <col min="21" max="21" width="22.1328125" customWidth="1"/>
    <col min="22" max="22" width="11.9296875" bestFit="1" customWidth="1"/>
    <col min="27" max="27" width="9" bestFit="1" customWidth="1"/>
    <col min="30" max="30" width="18.06640625" customWidth="1"/>
  </cols>
  <sheetData>
    <row r="1" spans="1:30" ht="14.65" thickBot="1" x14ac:dyDescent="0.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M1" s="31" t="s">
        <v>73</v>
      </c>
      <c r="O1" s="77" t="s">
        <v>63</v>
      </c>
      <c r="P1" s="76" t="s">
        <v>62</v>
      </c>
      <c r="Q1" s="82" t="s">
        <v>74</v>
      </c>
    </row>
    <row r="2" spans="1:30" ht="15.4" thickBot="1" x14ac:dyDescent="0.5">
      <c r="A2" s="74" t="s">
        <v>72</v>
      </c>
      <c r="B2" s="5"/>
      <c r="C2" s="5"/>
      <c r="D2" s="5"/>
      <c r="E2" s="5"/>
      <c r="F2" s="88" t="s">
        <v>71</v>
      </c>
      <c r="G2" s="89"/>
      <c r="H2" s="89"/>
      <c r="I2" s="90"/>
      <c r="J2" s="5"/>
      <c r="K2" s="5"/>
      <c r="M2" s="1">
        <f>COUNTA(O2:O697)</f>
        <v>80</v>
      </c>
      <c r="O2" s="79">
        <v>0</v>
      </c>
      <c r="P2" s="80">
        <v>0.51</v>
      </c>
      <c r="Q2" s="81">
        <f t="shared" ref="Q2:Q33" si="0">P2*10^5</f>
        <v>51000</v>
      </c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</row>
    <row r="3" spans="1:30" ht="16.149999999999999" thickBot="1" x14ac:dyDescent="0.55000000000000004">
      <c r="A3" s="1">
        <v>1</v>
      </c>
      <c r="B3" s="5"/>
      <c r="C3" s="94" t="s">
        <v>70</v>
      </c>
      <c r="D3" s="95"/>
      <c r="E3" s="78" t="s">
        <v>69</v>
      </c>
      <c r="F3" s="77" t="s">
        <v>68</v>
      </c>
      <c r="G3" s="76" t="s">
        <v>67</v>
      </c>
      <c r="H3" s="76" t="s">
        <v>66</v>
      </c>
      <c r="I3" s="75" t="s">
        <v>65</v>
      </c>
      <c r="J3" s="56" t="s">
        <v>64</v>
      </c>
      <c r="K3" s="5"/>
      <c r="N3" s="5"/>
      <c r="O3" s="47">
        <v>6.4000000000000001E-2</v>
      </c>
      <c r="P3" s="1">
        <v>1.25</v>
      </c>
      <c r="Q3" s="46">
        <f t="shared" si="0"/>
        <v>125000</v>
      </c>
      <c r="R3" s="54"/>
      <c r="S3" s="54"/>
      <c r="T3" s="54"/>
      <c r="U3" s="54"/>
      <c r="V3" s="53"/>
      <c r="W3" s="48"/>
      <c r="X3" s="48"/>
      <c r="Y3" s="48"/>
      <c r="Z3" s="48"/>
      <c r="AA3" s="48"/>
      <c r="AB3" s="48"/>
      <c r="AC3" s="48"/>
      <c r="AD3" s="48"/>
    </row>
    <row r="4" spans="1:30" ht="15.75" x14ac:dyDescent="0.5">
      <c r="B4" s="5"/>
      <c r="C4" s="47">
        <v>1</v>
      </c>
      <c r="D4" s="46" t="s">
        <v>61</v>
      </c>
      <c r="E4" s="62" t="s">
        <v>60</v>
      </c>
      <c r="F4" s="73">
        <v>25</v>
      </c>
      <c r="G4" s="72"/>
      <c r="H4" s="38">
        <v>5</v>
      </c>
      <c r="I4" s="71">
        <v>1</v>
      </c>
      <c r="J4" s="70"/>
      <c r="K4" s="5"/>
      <c r="N4" s="5"/>
      <c r="O4" s="47">
        <v>0.129</v>
      </c>
      <c r="P4" s="1">
        <v>4.91</v>
      </c>
      <c r="Q4" s="46">
        <f t="shared" si="0"/>
        <v>491000</v>
      </c>
      <c r="R4" s="54"/>
      <c r="S4" s="54"/>
      <c r="T4" s="54"/>
      <c r="U4" s="54"/>
      <c r="V4" s="48"/>
      <c r="W4" s="48"/>
      <c r="X4" s="48"/>
      <c r="Y4" s="48"/>
      <c r="Z4" s="48"/>
      <c r="AA4" s="53"/>
      <c r="AB4" s="53"/>
      <c r="AC4" s="53"/>
      <c r="AD4" s="53"/>
    </row>
    <row r="5" spans="1:30" ht="15.75" x14ac:dyDescent="0.5">
      <c r="A5" s="5"/>
      <c r="B5" s="5"/>
      <c r="C5" s="47">
        <v>2</v>
      </c>
      <c r="D5" s="46" t="s">
        <v>59</v>
      </c>
      <c r="E5" s="62" t="s">
        <v>58</v>
      </c>
      <c r="F5" s="69">
        <v>1</v>
      </c>
      <c r="G5" s="36">
        <v>1</v>
      </c>
      <c r="H5" s="68"/>
      <c r="I5" s="67"/>
      <c r="J5" s="66">
        <v>5</v>
      </c>
      <c r="K5" s="5"/>
      <c r="N5" s="5"/>
      <c r="O5" s="47">
        <v>0.192</v>
      </c>
      <c r="P5" s="1">
        <v>15.91</v>
      </c>
      <c r="Q5" s="46">
        <f t="shared" si="0"/>
        <v>1591000</v>
      </c>
      <c r="R5" s="54"/>
      <c r="S5" s="54"/>
      <c r="T5" s="54"/>
      <c r="U5" s="54"/>
      <c r="V5" s="48"/>
      <c r="W5" s="48"/>
      <c r="X5" s="48"/>
      <c r="Y5" s="48"/>
      <c r="Z5" s="48"/>
      <c r="AA5" s="53"/>
      <c r="AB5" s="53"/>
      <c r="AC5" s="53"/>
      <c r="AD5" s="53"/>
    </row>
    <row r="6" spans="1:30" ht="17.649999999999999" x14ac:dyDescent="0.45">
      <c r="A6" s="5"/>
      <c r="B6" s="5"/>
      <c r="C6" s="47">
        <v>3</v>
      </c>
      <c r="D6" s="46" t="s">
        <v>57</v>
      </c>
      <c r="E6" s="62" t="s">
        <v>56</v>
      </c>
      <c r="F6" s="65">
        <v>-200</v>
      </c>
      <c r="G6" s="64"/>
      <c r="H6" s="64"/>
      <c r="I6" s="63"/>
      <c r="J6" s="62"/>
      <c r="K6" s="5"/>
      <c r="N6" s="5"/>
      <c r="O6" s="47">
        <v>0.25700000000000001</v>
      </c>
      <c r="P6" s="1">
        <v>18.84</v>
      </c>
      <c r="Q6" s="46">
        <f t="shared" si="0"/>
        <v>1884000</v>
      </c>
      <c r="R6" s="52"/>
      <c r="S6" s="52"/>
      <c r="T6" s="52"/>
      <c r="U6" s="52"/>
      <c r="V6" s="52"/>
      <c r="W6" s="52"/>
      <c r="X6" s="52"/>
      <c r="Y6" s="48"/>
      <c r="Z6" s="48"/>
      <c r="AA6" s="8"/>
      <c r="AB6" s="8"/>
      <c r="AC6" s="53"/>
      <c r="AD6" s="48"/>
    </row>
    <row r="7" spans="1:30" ht="15.4" thickBot="1" x14ac:dyDescent="0.5">
      <c r="A7" s="5"/>
      <c r="B7" s="5"/>
      <c r="C7" s="45">
        <v>4</v>
      </c>
      <c r="D7" s="43" t="s">
        <v>55</v>
      </c>
      <c r="E7" s="55" t="s">
        <v>54</v>
      </c>
      <c r="F7" s="61"/>
      <c r="G7" s="60"/>
      <c r="H7" s="60"/>
      <c r="I7" s="59"/>
      <c r="J7" s="55"/>
      <c r="K7" s="5"/>
      <c r="N7" s="5"/>
      <c r="O7" s="47">
        <v>0.32100000000000001</v>
      </c>
      <c r="P7" s="1">
        <v>18.11</v>
      </c>
      <c r="Q7" s="46">
        <f t="shared" si="0"/>
        <v>1811000</v>
      </c>
      <c r="R7" s="49"/>
      <c r="S7" s="49"/>
      <c r="T7" s="25"/>
      <c r="U7" s="25"/>
      <c r="V7" s="5"/>
      <c r="W7" s="25"/>
      <c r="X7" s="25"/>
      <c r="Y7" s="48"/>
      <c r="Z7" s="53"/>
      <c r="AA7" s="48"/>
      <c r="AB7" s="48"/>
      <c r="AC7" s="48"/>
      <c r="AD7" s="48"/>
    </row>
    <row r="8" spans="1:30" ht="15" x14ac:dyDescent="0.4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N8" s="5"/>
      <c r="O8" s="47">
        <v>0.38600000000000001</v>
      </c>
      <c r="P8" s="1">
        <v>18.11</v>
      </c>
      <c r="Q8" s="46">
        <f t="shared" si="0"/>
        <v>1811000</v>
      </c>
      <c r="R8" s="49"/>
      <c r="S8" s="49"/>
      <c r="T8" s="25"/>
      <c r="U8" s="25"/>
      <c r="V8" s="5"/>
      <c r="W8" s="25"/>
      <c r="X8" s="25"/>
      <c r="Y8" s="48"/>
      <c r="Z8" s="53"/>
      <c r="AA8" s="48"/>
      <c r="AB8" s="48"/>
      <c r="AC8" s="48"/>
      <c r="AD8" s="48"/>
    </row>
    <row r="9" spans="1:30" ht="15" x14ac:dyDescent="0.4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N9" s="5"/>
      <c r="O9" s="47">
        <v>0.44900000000000001</v>
      </c>
      <c r="P9" s="1">
        <v>18.84</v>
      </c>
      <c r="Q9" s="46">
        <f t="shared" si="0"/>
        <v>1884000</v>
      </c>
      <c r="R9" s="49"/>
      <c r="S9" s="49"/>
      <c r="T9" s="25"/>
      <c r="U9" s="25"/>
      <c r="V9" s="5"/>
      <c r="W9" s="25"/>
      <c r="X9" s="25"/>
      <c r="Y9" s="48"/>
      <c r="Z9" s="53"/>
      <c r="AA9" s="48"/>
      <c r="AB9" s="48"/>
      <c r="AC9" s="48"/>
      <c r="AD9" s="48"/>
    </row>
    <row r="10" spans="1:30" ht="15.4" thickBot="1" x14ac:dyDescent="0.5">
      <c r="A10" s="5"/>
      <c r="B10" s="5"/>
      <c r="C10" s="5"/>
      <c r="E10" s="5"/>
      <c r="F10" s="5"/>
      <c r="G10" s="5"/>
      <c r="H10" s="5"/>
      <c r="I10" s="5"/>
      <c r="J10" s="5"/>
      <c r="K10" s="5"/>
      <c r="N10" s="5"/>
      <c r="O10" s="47">
        <v>0.51400000000000001</v>
      </c>
      <c r="P10" s="1">
        <v>19.57</v>
      </c>
      <c r="Q10" s="46">
        <f t="shared" si="0"/>
        <v>1957000</v>
      </c>
      <c r="R10" s="49"/>
      <c r="S10" s="49"/>
      <c r="T10" s="57"/>
      <c r="U10" s="57"/>
      <c r="V10" s="58"/>
      <c r="W10" s="57"/>
      <c r="X10" s="25"/>
      <c r="Y10" s="48"/>
      <c r="Z10" s="53"/>
      <c r="AA10" s="48"/>
      <c r="AB10" s="48"/>
      <c r="AC10" s="48"/>
      <c r="AD10" s="48"/>
    </row>
    <row r="11" spans="1:30" ht="15" x14ac:dyDescent="0.45">
      <c r="A11" s="5"/>
      <c r="B11" s="5"/>
      <c r="C11" s="91" t="s">
        <v>53</v>
      </c>
      <c r="D11" s="92"/>
      <c r="E11" s="56" t="s">
        <v>52</v>
      </c>
      <c r="F11" s="5"/>
      <c r="G11" s="5"/>
      <c r="H11" s="5"/>
      <c r="I11" s="5"/>
      <c r="J11" s="5"/>
      <c r="K11" s="5"/>
      <c r="N11" s="5"/>
      <c r="O11" s="47">
        <v>0.57800000000000007</v>
      </c>
      <c r="P11" s="1">
        <v>20.309999999999999</v>
      </c>
      <c r="Q11" s="46">
        <f t="shared" si="0"/>
        <v>2030999.9999999998</v>
      </c>
      <c r="R11" s="49"/>
      <c r="S11" s="49"/>
      <c r="T11" s="48"/>
      <c r="U11" s="48"/>
      <c r="V11" s="5"/>
      <c r="W11" s="48"/>
      <c r="X11" s="48"/>
      <c r="Y11" s="48"/>
      <c r="Z11" s="48"/>
      <c r="AA11" s="48"/>
      <c r="AB11" s="48"/>
      <c r="AC11" s="48"/>
      <c r="AD11" s="48"/>
    </row>
    <row r="12" spans="1:30" ht="16.149999999999999" thickBot="1" x14ac:dyDescent="0.55000000000000004">
      <c r="A12" s="5"/>
      <c r="B12" s="5"/>
      <c r="C12" s="47" t="s">
        <v>51</v>
      </c>
      <c r="D12" s="46"/>
      <c r="E12" s="55"/>
      <c r="F12" s="5"/>
      <c r="G12" s="5"/>
      <c r="H12" s="5"/>
      <c r="I12" s="5"/>
      <c r="J12" s="5"/>
      <c r="K12" s="5"/>
      <c r="N12" s="5"/>
      <c r="O12" s="47">
        <v>0.64300000000000002</v>
      </c>
      <c r="P12" s="1">
        <v>21.04</v>
      </c>
      <c r="Q12" s="46">
        <f t="shared" si="0"/>
        <v>2104000</v>
      </c>
      <c r="R12" s="54"/>
      <c r="S12" s="54"/>
      <c r="T12" s="54"/>
      <c r="U12" s="48"/>
      <c r="V12" s="5"/>
      <c r="W12" s="48"/>
      <c r="X12" s="48"/>
      <c r="Y12" s="48"/>
      <c r="Z12" s="48"/>
      <c r="AA12" s="48"/>
      <c r="AB12" s="48"/>
      <c r="AC12" s="48"/>
      <c r="AD12" s="48"/>
    </row>
    <row r="13" spans="1:30" ht="15.75" x14ac:dyDescent="0.5">
      <c r="A13" s="5"/>
      <c r="B13" s="5"/>
      <c r="C13" s="47" t="s">
        <v>50</v>
      </c>
      <c r="D13" s="46"/>
      <c r="E13" s="5"/>
      <c r="F13" s="5"/>
      <c r="G13" s="5"/>
      <c r="H13" s="5"/>
      <c r="I13" s="5"/>
      <c r="J13" s="5"/>
      <c r="K13" s="5"/>
      <c r="N13" s="5"/>
      <c r="O13" s="47">
        <v>0.70599999999999996</v>
      </c>
      <c r="P13" s="1">
        <v>21.77</v>
      </c>
      <c r="Q13" s="46">
        <f t="shared" si="0"/>
        <v>2177000</v>
      </c>
      <c r="R13" s="54"/>
      <c r="S13" s="54"/>
      <c r="T13" s="54"/>
      <c r="U13" s="48"/>
      <c r="V13" s="54"/>
      <c r="W13" s="54"/>
      <c r="X13" s="53"/>
      <c r="Y13" s="48"/>
      <c r="Z13" s="48"/>
      <c r="AA13" s="48"/>
      <c r="AB13" s="48"/>
      <c r="AC13" s="48"/>
      <c r="AD13" s="48"/>
    </row>
    <row r="14" spans="1:30" ht="15.75" x14ac:dyDescent="0.5">
      <c r="A14" s="5"/>
      <c r="B14" s="5"/>
      <c r="C14" s="47" t="s">
        <v>49</v>
      </c>
      <c r="D14" s="46"/>
      <c r="E14" s="5"/>
      <c r="F14" s="5"/>
      <c r="G14" s="5"/>
      <c r="H14" s="5"/>
      <c r="I14" s="5"/>
      <c r="J14" s="5"/>
      <c r="K14" s="5"/>
      <c r="N14" s="5"/>
      <c r="O14" s="47">
        <v>0.77099999999999991</v>
      </c>
      <c r="P14" s="1">
        <v>23.24</v>
      </c>
      <c r="Q14" s="46">
        <f t="shared" si="0"/>
        <v>2324000</v>
      </c>
      <c r="R14" s="54"/>
      <c r="S14" s="54"/>
      <c r="T14" s="54"/>
      <c r="U14" s="48"/>
      <c r="V14" s="54"/>
      <c r="W14" s="48"/>
      <c r="X14" s="48"/>
      <c r="Y14" s="48"/>
      <c r="Z14" s="48"/>
      <c r="AA14" s="48"/>
      <c r="AB14" s="48"/>
      <c r="AC14" s="48"/>
      <c r="AD14" s="48"/>
    </row>
    <row r="15" spans="1:30" ht="18" thickBot="1" x14ac:dyDescent="0.5">
      <c r="A15" s="5"/>
      <c r="B15" s="5"/>
      <c r="C15" s="45" t="s">
        <v>48</v>
      </c>
      <c r="D15" s="43"/>
      <c r="E15" s="5"/>
      <c r="F15" s="5"/>
      <c r="G15" s="5"/>
      <c r="H15" s="5"/>
      <c r="I15" s="5"/>
      <c r="J15" s="5"/>
      <c r="K15" s="5"/>
      <c r="N15" s="5"/>
      <c r="O15" s="47">
        <v>0.83499999999999996</v>
      </c>
      <c r="P15" s="1">
        <v>23.24</v>
      </c>
      <c r="Q15" s="46">
        <f t="shared" si="0"/>
        <v>2324000</v>
      </c>
      <c r="R15" s="52"/>
      <c r="S15" s="52"/>
      <c r="T15" s="48"/>
      <c r="U15" s="48"/>
      <c r="V15" s="52"/>
      <c r="W15" s="53"/>
      <c r="X15" s="53"/>
      <c r="Y15" s="53"/>
      <c r="Z15" s="53"/>
      <c r="AA15" s="53"/>
      <c r="AB15" s="48"/>
      <c r="AC15" s="48"/>
      <c r="AD15" s="48"/>
    </row>
    <row r="16" spans="1:30" ht="15" x14ac:dyDescent="0.4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N16" s="5"/>
      <c r="O16" s="47">
        <v>0.89999999999999991</v>
      </c>
      <c r="P16" s="1">
        <v>24.71</v>
      </c>
      <c r="Q16" s="46">
        <f t="shared" si="0"/>
        <v>2471000</v>
      </c>
      <c r="R16" s="49"/>
      <c r="S16" s="49"/>
      <c r="T16" s="48"/>
      <c r="U16" s="48"/>
      <c r="V16" s="49"/>
      <c r="W16" s="53"/>
      <c r="X16" s="53"/>
      <c r="Y16" s="53"/>
      <c r="Z16" s="48"/>
      <c r="AA16" s="48"/>
      <c r="AB16" s="48"/>
      <c r="AC16" s="48"/>
      <c r="AD16" s="48"/>
    </row>
    <row r="17" spans="1:30" ht="15" x14ac:dyDescent="0.4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N17" s="5"/>
      <c r="O17" s="47">
        <v>0.96299999999999986</v>
      </c>
      <c r="P17" s="1">
        <v>24.71</v>
      </c>
      <c r="Q17" s="46">
        <f t="shared" si="0"/>
        <v>2471000</v>
      </c>
      <c r="R17" s="49"/>
      <c r="S17" s="49"/>
      <c r="T17" s="48"/>
      <c r="U17" s="48"/>
      <c r="V17" s="48"/>
      <c r="W17" s="53"/>
      <c r="X17" s="53"/>
      <c r="Y17" s="53"/>
      <c r="Z17" s="53"/>
      <c r="AA17" s="53"/>
      <c r="AB17" s="48"/>
      <c r="AC17" s="48"/>
      <c r="AD17" s="48"/>
    </row>
    <row r="18" spans="1:30" ht="15" x14ac:dyDescent="0.4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N18" s="5"/>
      <c r="O18" s="47">
        <v>1.0279999999999998</v>
      </c>
      <c r="P18" s="1">
        <v>25.44</v>
      </c>
      <c r="Q18" s="46">
        <f t="shared" si="0"/>
        <v>2544000</v>
      </c>
      <c r="R18" s="49"/>
      <c r="S18" s="49"/>
      <c r="T18" s="48"/>
      <c r="U18" s="48"/>
      <c r="V18" s="48"/>
      <c r="W18" s="53"/>
      <c r="X18" s="53"/>
      <c r="Y18" s="53"/>
      <c r="Z18" s="48"/>
      <c r="AA18" s="48"/>
      <c r="AB18" s="48"/>
      <c r="AC18" s="48"/>
      <c r="AD18" s="48"/>
    </row>
    <row r="19" spans="1:30" ht="15" x14ac:dyDescent="0.4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N19" s="5"/>
      <c r="O19" s="47">
        <v>1.0919999999999999</v>
      </c>
      <c r="P19" s="1">
        <v>25.44</v>
      </c>
      <c r="Q19" s="46">
        <f t="shared" si="0"/>
        <v>2544000</v>
      </c>
      <c r="R19" s="49"/>
      <c r="S19" s="49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5" x14ac:dyDescent="0.4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N20" s="5"/>
      <c r="O20" s="47">
        <v>1.1569999999999998</v>
      </c>
      <c r="P20" s="1">
        <v>26.17</v>
      </c>
      <c r="Q20" s="46">
        <f t="shared" si="0"/>
        <v>2617000</v>
      </c>
      <c r="R20" s="49"/>
      <c r="S20" s="49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5" x14ac:dyDescent="0.4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N21" s="5"/>
      <c r="O21" s="47">
        <v>1.2199999999999998</v>
      </c>
      <c r="P21" s="1">
        <v>26.17</v>
      </c>
      <c r="Q21" s="46">
        <f t="shared" si="0"/>
        <v>2617000</v>
      </c>
      <c r="R21" s="49"/>
      <c r="S21" s="49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7.649999999999999" x14ac:dyDescent="0.4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N22" s="5"/>
      <c r="O22" s="47">
        <v>1.2849999999999997</v>
      </c>
      <c r="P22" s="1">
        <v>26.17</v>
      </c>
      <c r="Q22" s="46">
        <f t="shared" si="0"/>
        <v>2617000</v>
      </c>
      <c r="R22" s="49"/>
      <c r="S22" s="49"/>
      <c r="T22" s="48"/>
      <c r="U22" s="48"/>
      <c r="V22" s="48"/>
      <c r="W22" s="48"/>
      <c r="X22" s="52"/>
      <c r="Y22" s="52"/>
      <c r="Z22" s="52"/>
      <c r="AA22" s="52"/>
      <c r="AB22" s="52"/>
      <c r="AC22" s="52"/>
      <c r="AD22" s="48"/>
    </row>
    <row r="23" spans="1:30" ht="15.75" x14ac:dyDescent="0.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N23" s="5"/>
      <c r="O23" s="47">
        <v>1.3489999999999998</v>
      </c>
      <c r="P23" s="1">
        <v>26.17</v>
      </c>
      <c r="Q23" s="46">
        <f t="shared" si="0"/>
        <v>2617000</v>
      </c>
      <c r="R23" s="49"/>
      <c r="S23" s="49"/>
      <c r="T23" s="48"/>
      <c r="U23" s="48"/>
      <c r="V23" s="48"/>
      <c r="W23" s="48"/>
      <c r="X23" s="50"/>
      <c r="Y23" s="50"/>
      <c r="Z23" s="50"/>
      <c r="AA23" s="51"/>
      <c r="AB23" s="51"/>
      <c r="AC23" s="51"/>
      <c r="AD23" s="48"/>
    </row>
    <row r="24" spans="1:30" ht="15.75" x14ac:dyDescent="0.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N24" s="5"/>
      <c r="O24" s="47">
        <v>1.4139999999999997</v>
      </c>
      <c r="P24" s="1">
        <v>26.91</v>
      </c>
      <c r="Q24" s="46">
        <f t="shared" si="0"/>
        <v>2691000</v>
      </c>
      <c r="R24" s="49"/>
      <c r="S24" s="49"/>
      <c r="T24" s="48"/>
      <c r="U24" s="48"/>
      <c r="V24" s="48"/>
      <c r="W24" s="48"/>
      <c r="X24" s="50"/>
      <c r="Y24" s="50"/>
      <c r="Z24" s="50"/>
      <c r="AA24" s="51"/>
      <c r="AB24" s="51"/>
      <c r="AC24" s="51"/>
      <c r="AD24" s="48"/>
    </row>
    <row r="25" spans="1:30" ht="15.75" x14ac:dyDescent="0.5">
      <c r="O25" s="47">
        <v>1.4769999999999996</v>
      </c>
      <c r="P25" s="1">
        <v>26.91</v>
      </c>
      <c r="Q25" s="46">
        <f t="shared" si="0"/>
        <v>2691000</v>
      </c>
      <c r="R25" s="49"/>
      <c r="S25" s="49"/>
      <c r="T25" s="48"/>
      <c r="U25" s="48"/>
      <c r="V25" s="48"/>
      <c r="W25" s="48"/>
      <c r="X25" s="50"/>
      <c r="Y25" s="50"/>
      <c r="Z25" s="50"/>
      <c r="AA25" s="48"/>
      <c r="AB25" s="48"/>
      <c r="AC25" s="48"/>
      <c r="AD25" s="48"/>
    </row>
    <row r="26" spans="1:30" ht="15.75" x14ac:dyDescent="0.5">
      <c r="O26" s="47">
        <v>1.5419999999999996</v>
      </c>
      <c r="P26" s="1">
        <v>26.91</v>
      </c>
      <c r="Q26" s="46">
        <f t="shared" si="0"/>
        <v>2691000</v>
      </c>
      <c r="R26" s="49"/>
      <c r="S26" s="49"/>
      <c r="T26" s="48"/>
      <c r="U26" s="48"/>
      <c r="V26" s="48"/>
      <c r="W26" s="48"/>
      <c r="X26" s="50"/>
      <c r="Y26" s="50"/>
      <c r="Z26" s="50"/>
      <c r="AA26" s="48"/>
      <c r="AB26" s="48"/>
      <c r="AC26" s="48"/>
      <c r="AD26" s="48"/>
    </row>
    <row r="27" spans="1:30" ht="15" x14ac:dyDescent="0.45">
      <c r="O27" s="47">
        <v>1.6059999999999997</v>
      </c>
      <c r="P27" s="1">
        <v>26.91</v>
      </c>
      <c r="Q27" s="46">
        <f t="shared" si="0"/>
        <v>2691000</v>
      </c>
      <c r="R27" s="49"/>
      <c r="S27" s="49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</row>
    <row r="28" spans="1:30" ht="15" x14ac:dyDescent="0.45">
      <c r="O28" s="47">
        <v>1.6709999999999996</v>
      </c>
      <c r="P28" s="1">
        <v>26.91</v>
      </c>
      <c r="Q28" s="46">
        <f t="shared" si="0"/>
        <v>2691000</v>
      </c>
      <c r="R28" s="49"/>
      <c r="S28" s="49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</row>
    <row r="29" spans="1:30" ht="15" x14ac:dyDescent="0.45">
      <c r="O29" s="47">
        <v>1.7339999999999995</v>
      </c>
      <c r="P29" s="1">
        <v>26.91</v>
      </c>
      <c r="Q29" s="46">
        <f t="shared" si="0"/>
        <v>2691000</v>
      </c>
      <c r="R29" s="49"/>
      <c r="S29" s="49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</row>
    <row r="30" spans="1:30" ht="15" x14ac:dyDescent="0.45">
      <c r="O30" s="47">
        <v>1.7989999999999995</v>
      </c>
      <c r="P30" s="1">
        <v>26.91</v>
      </c>
      <c r="Q30" s="46">
        <f t="shared" si="0"/>
        <v>2691000</v>
      </c>
      <c r="R30" s="49"/>
      <c r="S30" s="49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</row>
    <row r="31" spans="1:30" ht="15" x14ac:dyDescent="0.45">
      <c r="O31" s="47">
        <v>1.8629999999999995</v>
      </c>
      <c r="P31" s="1">
        <v>26.91</v>
      </c>
      <c r="Q31" s="46">
        <f t="shared" si="0"/>
        <v>2691000</v>
      </c>
      <c r="R31" s="49"/>
      <c r="S31" s="49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</row>
    <row r="32" spans="1:30" ht="15" x14ac:dyDescent="0.45">
      <c r="O32" s="47">
        <v>1.9279999999999995</v>
      </c>
      <c r="P32" s="1">
        <v>27.64</v>
      </c>
      <c r="Q32" s="46">
        <f t="shared" si="0"/>
        <v>2764000</v>
      </c>
      <c r="R32" s="49"/>
      <c r="S32" s="49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</row>
    <row r="33" spans="15:30" ht="15" x14ac:dyDescent="0.45">
      <c r="O33" s="47">
        <v>1.9909999999999994</v>
      </c>
      <c r="P33" s="1">
        <v>27.64</v>
      </c>
      <c r="Q33" s="46">
        <f t="shared" si="0"/>
        <v>2764000</v>
      </c>
      <c r="R33" s="49"/>
      <c r="S33" s="49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</row>
    <row r="34" spans="15:30" ht="15" x14ac:dyDescent="0.45">
      <c r="O34" s="47">
        <v>2.0559999999999996</v>
      </c>
      <c r="P34" s="1">
        <v>27.64</v>
      </c>
      <c r="Q34" s="46">
        <f t="shared" ref="Q34:Q65" si="1">P34*10^5</f>
        <v>2764000</v>
      </c>
      <c r="R34" s="49"/>
      <c r="S34" s="49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</row>
    <row r="35" spans="15:30" x14ac:dyDescent="0.45">
      <c r="O35" s="47">
        <v>2.1199999999999997</v>
      </c>
      <c r="P35" s="1">
        <v>27.64</v>
      </c>
      <c r="Q35" s="46">
        <f t="shared" si="1"/>
        <v>2764000</v>
      </c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</row>
    <row r="36" spans="15:30" x14ac:dyDescent="0.45">
      <c r="O36" s="47">
        <v>2.1849999999999996</v>
      </c>
      <c r="P36" s="1">
        <v>27.64</v>
      </c>
      <c r="Q36" s="46">
        <f t="shared" si="1"/>
        <v>2764000</v>
      </c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</row>
    <row r="37" spans="15:30" x14ac:dyDescent="0.45">
      <c r="O37" s="47">
        <v>2.2479999999999998</v>
      </c>
      <c r="P37" s="1">
        <v>27.64</v>
      </c>
      <c r="Q37" s="46">
        <f t="shared" si="1"/>
        <v>2764000</v>
      </c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</row>
    <row r="38" spans="15:30" x14ac:dyDescent="0.45">
      <c r="O38" s="47">
        <v>2.3129999999999997</v>
      </c>
      <c r="P38" s="1">
        <v>27.64</v>
      </c>
      <c r="Q38" s="46">
        <f t="shared" si="1"/>
        <v>2764000</v>
      </c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</row>
    <row r="39" spans="15:30" x14ac:dyDescent="0.45">
      <c r="O39" s="47">
        <v>2.3769999999999998</v>
      </c>
      <c r="P39" s="1">
        <v>27.64</v>
      </c>
      <c r="Q39" s="46">
        <f t="shared" si="1"/>
        <v>2764000</v>
      </c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</row>
    <row r="40" spans="15:30" x14ac:dyDescent="0.45">
      <c r="O40" s="47">
        <v>2.4419999999999997</v>
      </c>
      <c r="P40" s="1">
        <v>27.64</v>
      </c>
      <c r="Q40" s="46">
        <f t="shared" si="1"/>
        <v>2764000</v>
      </c>
    </row>
    <row r="41" spans="15:30" x14ac:dyDescent="0.45">
      <c r="O41" s="47">
        <v>2.5049999999999999</v>
      </c>
      <c r="P41" s="1">
        <v>27.64</v>
      </c>
      <c r="Q41" s="46">
        <f t="shared" si="1"/>
        <v>2764000</v>
      </c>
    </row>
    <row r="42" spans="15:30" x14ac:dyDescent="0.45">
      <c r="O42" s="47">
        <v>2.57</v>
      </c>
      <c r="P42" s="1">
        <v>27.64</v>
      </c>
      <c r="Q42" s="46">
        <f t="shared" si="1"/>
        <v>2764000</v>
      </c>
    </row>
    <row r="43" spans="15:30" x14ac:dyDescent="0.45">
      <c r="O43" s="47">
        <v>2.6339999999999999</v>
      </c>
      <c r="P43" s="1">
        <v>27.64</v>
      </c>
      <c r="Q43" s="46">
        <f t="shared" si="1"/>
        <v>2764000</v>
      </c>
    </row>
    <row r="44" spans="15:30" x14ac:dyDescent="0.45">
      <c r="O44" s="47">
        <v>2.6989999999999998</v>
      </c>
      <c r="P44" s="1">
        <v>27.64</v>
      </c>
      <c r="Q44" s="46">
        <f t="shared" si="1"/>
        <v>2764000</v>
      </c>
    </row>
    <row r="45" spans="15:30" x14ac:dyDescent="0.45">
      <c r="O45" s="47">
        <v>2.762</v>
      </c>
      <c r="P45" s="1">
        <v>27.64</v>
      </c>
      <c r="Q45" s="46">
        <f t="shared" si="1"/>
        <v>2764000</v>
      </c>
    </row>
    <row r="46" spans="15:30" x14ac:dyDescent="0.45">
      <c r="O46" s="47">
        <v>2.827</v>
      </c>
      <c r="P46" s="1">
        <v>27.64</v>
      </c>
      <c r="Q46" s="46">
        <f t="shared" si="1"/>
        <v>2764000</v>
      </c>
    </row>
    <row r="47" spans="15:30" x14ac:dyDescent="0.45">
      <c r="O47" s="47">
        <v>2.891</v>
      </c>
      <c r="P47" s="1">
        <v>27.64</v>
      </c>
      <c r="Q47" s="46">
        <f t="shared" si="1"/>
        <v>2764000</v>
      </c>
    </row>
    <row r="48" spans="15:30" x14ac:dyDescent="0.45">
      <c r="O48" s="47">
        <v>2.956</v>
      </c>
      <c r="P48" s="1">
        <v>27.64</v>
      </c>
      <c r="Q48" s="46">
        <f t="shared" si="1"/>
        <v>2764000</v>
      </c>
    </row>
    <row r="49" spans="15:17" x14ac:dyDescent="0.45">
      <c r="O49" s="47">
        <v>3.0190000000000001</v>
      </c>
      <c r="P49" s="1">
        <v>27.64</v>
      </c>
      <c r="Q49" s="46">
        <f t="shared" si="1"/>
        <v>2764000</v>
      </c>
    </row>
    <row r="50" spans="15:17" x14ac:dyDescent="0.45">
      <c r="O50" s="47">
        <v>3.0840000000000001</v>
      </c>
      <c r="P50" s="1">
        <v>27.64</v>
      </c>
      <c r="Q50" s="46">
        <f t="shared" si="1"/>
        <v>2764000</v>
      </c>
    </row>
    <row r="51" spans="15:17" x14ac:dyDescent="0.45">
      <c r="O51" s="47">
        <v>3.1480000000000001</v>
      </c>
      <c r="P51" s="1">
        <v>27.64</v>
      </c>
      <c r="Q51" s="46">
        <f t="shared" si="1"/>
        <v>2764000</v>
      </c>
    </row>
    <row r="52" spans="15:17" x14ac:dyDescent="0.45">
      <c r="O52" s="47">
        <v>3.2130000000000001</v>
      </c>
      <c r="P52" s="1">
        <v>27.64</v>
      </c>
      <c r="Q52" s="46">
        <f t="shared" si="1"/>
        <v>2764000</v>
      </c>
    </row>
    <row r="53" spans="15:17" x14ac:dyDescent="0.45">
      <c r="O53" s="47">
        <v>3.2760000000000002</v>
      </c>
      <c r="P53" s="1">
        <v>27.64</v>
      </c>
      <c r="Q53" s="46">
        <f t="shared" si="1"/>
        <v>2764000</v>
      </c>
    </row>
    <row r="54" spans="15:17" x14ac:dyDescent="0.45">
      <c r="O54" s="47">
        <v>3.3410000000000002</v>
      </c>
      <c r="P54" s="1">
        <v>27.64</v>
      </c>
      <c r="Q54" s="46">
        <f t="shared" si="1"/>
        <v>2764000</v>
      </c>
    </row>
    <row r="55" spans="15:17" x14ac:dyDescent="0.45">
      <c r="O55" s="47">
        <v>3.4050000000000002</v>
      </c>
      <c r="P55" s="1">
        <v>27.64</v>
      </c>
      <c r="Q55" s="46">
        <f t="shared" si="1"/>
        <v>2764000</v>
      </c>
    </row>
    <row r="56" spans="15:17" x14ac:dyDescent="0.45">
      <c r="O56" s="47">
        <v>3.47</v>
      </c>
      <c r="P56" s="1">
        <v>27.64</v>
      </c>
      <c r="Q56" s="46">
        <f t="shared" si="1"/>
        <v>2764000</v>
      </c>
    </row>
    <row r="57" spans="15:17" x14ac:dyDescent="0.45">
      <c r="O57" s="47">
        <v>3.5330000000000004</v>
      </c>
      <c r="P57" s="1">
        <v>27.64</v>
      </c>
      <c r="Q57" s="46">
        <f t="shared" si="1"/>
        <v>2764000</v>
      </c>
    </row>
    <row r="58" spans="15:17" x14ac:dyDescent="0.45">
      <c r="O58" s="47">
        <v>3.5980000000000003</v>
      </c>
      <c r="P58" s="1">
        <v>27.64</v>
      </c>
      <c r="Q58" s="46">
        <f t="shared" si="1"/>
        <v>2764000</v>
      </c>
    </row>
    <row r="59" spans="15:17" x14ac:dyDescent="0.45">
      <c r="O59" s="47">
        <v>3.6620000000000004</v>
      </c>
      <c r="P59" s="1">
        <v>27.64</v>
      </c>
      <c r="Q59" s="46">
        <f t="shared" si="1"/>
        <v>2764000</v>
      </c>
    </row>
    <row r="60" spans="15:17" x14ac:dyDescent="0.45">
      <c r="O60" s="47">
        <v>3.7260000000000004</v>
      </c>
      <c r="P60" s="1">
        <v>26.91</v>
      </c>
      <c r="Q60" s="46">
        <f t="shared" si="1"/>
        <v>2691000</v>
      </c>
    </row>
    <row r="61" spans="15:17" x14ac:dyDescent="0.45">
      <c r="O61" s="47">
        <v>3.7900000000000005</v>
      </c>
      <c r="P61" s="1">
        <v>25.44</v>
      </c>
      <c r="Q61" s="46">
        <f t="shared" si="1"/>
        <v>2544000</v>
      </c>
    </row>
    <row r="62" spans="15:17" x14ac:dyDescent="0.45">
      <c r="O62" s="47">
        <v>3.8550000000000004</v>
      </c>
      <c r="P62" s="1">
        <v>23.97</v>
      </c>
      <c r="Q62" s="46">
        <f t="shared" si="1"/>
        <v>2397000</v>
      </c>
    </row>
    <row r="63" spans="15:17" x14ac:dyDescent="0.45">
      <c r="O63" s="47">
        <v>3.9190000000000005</v>
      </c>
      <c r="P63" s="1">
        <v>21.77</v>
      </c>
      <c r="Q63" s="46">
        <f t="shared" si="1"/>
        <v>2177000</v>
      </c>
    </row>
    <row r="64" spans="15:17" x14ac:dyDescent="0.45">
      <c r="O64" s="47">
        <v>3.9830000000000005</v>
      </c>
      <c r="P64" s="1">
        <v>18.84</v>
      </c>
      <c r="Q64" s="46">
        <f t="shared" si="1"/>
        <v>1884000</v>
      </c>
    </row>
    <row r="65" spans="15:17" x14ac:dyDescent="0.45">
      <c r="O65" s="47">
        <v>4.0470000000000006</v>
      </c>
      <c r="P65" s="1">
        <v>15.91</v>
      </c>
      <c r="Q65" s="46">
        <f t="shared" si="1"/>
        <v>1591000</v>
      </c>
    </row>
    <row r="66" spans="15:17" x14ac:dyDescent="0.45">
      <c r="O66" s="47">
        <v>4.112000000000001</v>
      </c>
      <c r="P66" s="1">
        <v>14.44</v>
      </c>
      <c r="Q66" s="46">
        <f t="shared" ref="Q66:Q81" si="2">P66*10^5</f>
        <v>1444000</v>
      </c>
    </row>
    <row r="67" spans="15:17" x14ac:dyDescent="0.45">
      <c r="O67" s="47">
        <v>4.1770000000000014</v>
      </c>
      <c r="P67" s="1">
        <v>13.71</v>
      </c>
      <c r="Q67" s="46">
        <f t="shared" si="2"/>
        <v>1371000</v>
      </c>
    </row>
    <row r="68" spans="15:17" x14ac:dyDescent="0.45">
      <c r="O68" s="47">
        <v>4.2400000000000011</v>
      </c>
      <c r="P68" s="1">
        <v>13.71</v>
      </c>
      <c r="Q68" s="46">
        <f t="shared" si="2"/>
        <v>1371000</v>
      </c>
    </row>
    <row r="69" spans="15:17" x14ac:dyDescent="0.45">
      <c r="O69" s="47">
        <v>4.3050000000000015</v>
      </c>
      <c r="P69" s="1">
        <v>12.24</v>
      </c>
      <c r="Q69" s="46">
        <f t="shared" si="2"/>
        <v>1224000</v>
      </c>
    </row>
    <row r="70" spans="15:17" x14ac:dyDescent="0.45">
      <c r="O70" s="47">
        <v>4.3690000000000015</v>
      </c>
      <c r="P70" s="1">
        <v>11.51</v>
      </c>
      <c r="Q70" s="46">
        <f t="shared" si="2"/>
        <v>1151000</v>
      </c>
    </row>
    <row r="71" spans="15:17" x14ac:dyDescent="0.45">
      <c r="O71" s="47">
        <v>4.4340000000000019</v>
      </c>
      <c r="P71" s="1">
        <v>10.78</v>
      </c>
      <c r="Q71" s="46">
        <f t="shared" si="2"/>
        <v>1078000</v>
      </c>
    </row>
    <row r="72" spans="15:17" x14ac:dyDescent="0.45">
      <c r="O72" s="47">
        <v>4.4970000000000017</v>
      </c>
      <c r="P72" s="1">
        <v>10.039999999999999</v>
      </c>
      <c r="Q72" s="46">
        <f t="shared" si="2"/>
        <v>1003999.9999999999</v>
      </c>
    </row>
    <row r="73" spans="15:17" x14ac:dyDescent="0.45">
      <c r="O73" s="47">
        <v>4.5620000000000021</v>
      </c>
      <c r="P73" s="1">
        <v>9.31</v>
      </c>
      <c r="Q73" s="46">
        <f t="shared" si="2"/>
        <v>931000</v>
      </c>
    </row>
    <row r="74" spans="15:17" x14ac:dyDescent="0.45">
      <c r="O74" s="47">
        <v>4.6260000000000021</v>
      </c>
      <c r="P74" s="1">
        <v>8.58</v>
      </c>
      <c r="Q74" s="46">
        <f t="shared" si="2"/>
        <v>858000</v>
      </c>
    </row>
    <row r="75" spans="15:17" x14ac:dyDescent="0.45">
      <c r="O75" s="47">
        <v>4.6910000000000025</v>
      </c>
      <c r="P75" s="1">
        <v>7.11</v>
      </c>
      <c r="Q75" s="46">
        <f t="shared" si="2"/>
        <v>711000</v>
      </c>
    </row>
    <row r="76" spans="15:17" x14ac:dyDescent="0.45">
      <c r="O76" s="47">
        <v>4.7540000000000022</v>
      </c>
      <c r="P76" s="1">
        <v>5.65</v>
      </c>
      <c r="Q76" s="46">
        <f t="shared" si="2"/>
        <v>565000</v>
      </c>
    </row>
    <row r="77" spans="15:17" x14ac:dyDescent="0.45">
      <c r="O77" s="47">
        <v>4.8190000000000026</v>
      </c>
      <c r="P77" s="1">
        <v>4.18</v>
      </c>
      <c r="Q77" s="46">
        <f t="shared" si="2"/>
        <v>418000</v>
      </c>
    </row>
    <row r="78" spans="15:17" x14ac:dyDescent="0.45">
      <c r="O78" s="47">
        <v>4.8830000000000027</v>
      </c>
      <c r="P78" s="1">
        <v>2.71</v>
      </c>
      <c r="Q78" s="46">
        <f t="shared" si="2"/>
        <v>271000</v>
      </c>
    </row>
    <row r="79" spans="15:17" x14ac:dyDescent="0.45">
      <c r="O79" s="47">
        <v>4.9480000000000031</v>
      </c>
      <c r="P79" s="1">
        <v>1.98</v>
      </c>
      <c r="Q79" s="46">
        <f t="shared" si="2"/>
        <v>198000</v>
      </c>
    </row>
    <row r="80" spans="15:17" x14ac:dyDescent="0.45">
      <c r="O80" s="47">
        <v>5.0110000000000028</v>
      </c>
      <c r="P80" s="1">
        <v>0.51</v>
      </c>
      <c r="Q80" s="46">
        <f t="shared" si="2"/>
        <v>51000</v>
      </c>
    </row>
    <row r="81" spans="15:17" ht="14.65" thickBot="1" x14ac:dyDescent="0.5">
      <c r="O81" s="45">
        <v>5.0740000000000025</v>
      </c>
      <c r="P81" s="44">
        <v>0.51</v>
      </c>
      <c r="Q81" s="43">
        <f t="shared" si="2"/>
        <v>51000</v>
      </c>
    </row>
  </sheetData>
  <mergeCells count="4">
    <mergeCell ref="F2:I2"/>
    <mergeCell ref="C11:D11"/>
    <mergeCell ref="L1:L1048576"/>
    <mergeCell ref="C3:D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E3EE-99AB-4972-A73D-D1EFEBD6EA1A}">
  <dimension ref="A1:AK35"/>
  <sheetViews>
    <sheetView zoomScale="71" zoomScaleNormal="60" workbookViewId="0">
      <selection activeCell="I37" sqref="I37"/>
    </sheetView>
  </sheetViews>
  <sheetFormatPr defaultRowHeight="14.25" x14ac:dyDescent="0.45"/>
  <cols>
    <col min="1" max="1" width="15.46484375" bestFit="1" customWidth="1"/>
    <col min="6" max="6" width="15.33203125" bestFit="1" customWidth="1"/>
    <col min="7" max="7" width="15.33203125" customWidth="1"/>
    <col min="8" max="8" width="12.6640625" bestFit="1" customWidth="1"/>
    <col min="9" max="9" width="12.6640625" customWidth="1"/>
    <col min="10" max="10" width="12.6640625" bestFit="1" customWidth="1"/>
    <col min="11" max="11" width="10" customWidth="1"/>
    <col min="12" max="12" width="12.46484375" bestFit="1" customWidth="1"/>
    <col min="13" max="13" width="6.1328125" customWidth="1"/>
    <col min="14" max="14" width="5.86328125" customWidth="1"/>
    <col min="15" max="15" width="12.33203125" bestFit="1" customWidth="1"/>
    <col min="16" max="17" width="12.33203125" customWidth="1"/>
    <col min="18" max="18" width="14.06640625" bestFit="1" customWidth="1"/>
    <col min="19" max="19" width="13.06640625" customWidth="1"/>
    <col min="20" max="21" width="13" customWidth="1"/>
    <col min="22" max="22" width="28.06640625" bestFit="1" customWidth="1"/>
    <col min="23" max="23" width="15.33203125" bestFit="1" customWidth="1"/>
    <col min="24" max="24" width="15.265625" bestFit="1" customWidth="1"/>
    <col min="25" max="25" width="14.59765625" bestFit="1" customWidth="1"/>
    <col min="26" max="26" width="28.53125" bestFit="1" customWidth="1"/>
    <col min="27" max="27" width="83.6640625" bestFit="1" customWidth="1"/>
    <col min="28" max="28" width="15" bestFit="1" customWidth="1"/>
    <col min="34" max="34" width="13.265625" bestFit="1" customWidth="1"/>
    <col min="35" max="35" width="81.9296875" customWidth="1"/>
    <col min="39" max="39" width="9.1328125" customWidth="1"/>
  </cols>
  <sheetData>
    <row r="1" spans="1:36" ht="15" x14ac:dyDescent="0.45">
      <c r="A1" s="23" t="s">
        <v>21</v>
      </c>
      <c r="B1" s="24" t="s">
        <v>0</v>
      </c>
      <c r="C1" s="24" t="s">
        <v>1</v>
      </c>
      <c r="D1" s="24" t="s">
        <v>2</v>
      </c>
      <c r="E1" s="24" t="s">
        <v>15</v>
      </c>
      <c r="F1" s="24" t="s">
        <v>20</v>
      </c>
      <c r="G1" s="24" t="s">
        <v>8</v>
      </c>
      <c r="H1" s="24" t="s">
        <v>4</v>
      </c>
      <c r="I1" s="24" t="s">
        <v>9</v>
      </c>
      <c r="J1" s="24" t="s">
        <v>28</v>
      </c>
      <c r="K1" s="24" t="s">
        <v>40</v>
      </c>
      <c r="L1" s="23" t="s">
        <v>30</v>
      </c>
      <c r="M1" s="24" t="s">
        <v>3</v>
      </c>
      <c r="N1" s="23" t="s">
        <v>22</v>
      </c>
      <c r="O1" s="5"/>
      <c r="P1" s="30"/>
      <c r="Q1" s="30"/>
      <c r="R1" s="31" t="s">
        <v>36</v>
      </c>
      <c r="S1" s="28" t="s">
        <v>37</v>
      </c>
      <c r="T1" s="28" t="s">
        <v>38</v>
      </c>
      <c r="U1" s="28" t="s">
        <v>39</v>
      </c>
      <c r="Z1" s="8"/>
      <c r="AD1" s="8"/>
      <c r="AE1" s="8"/>
      <c r="AF1" s="8"/>
      <c r="AG1" s="8"/>
      <c r="AJ1" s="6"/>
    </row>
    <row r="2" spans="1:36" x14ac:dyDescent="0.45">
      <c r="A2" s="10">
        <f>COUNTIF(B2:B82, "&lt;&gt;")</f>
        <v>8</v>
      </c>
      <c r="B2" s="10">
        <v>1</v>
      </c>
      <c r="C2" s="1">
        <f>0*10^-3</f>
        <v>0</v>
      </c>
      <c r="D2" s="1">
        <f>0*10^-3</f>
        <v>0</v>
      </c>
      <c r="E2" s="1">
        <f>2.5*10^-3</f>
        <v>2.5000000000000001E-3</v>
      </c>
      <c r="F2" s="10">
        <v>0</v>
      </c>
      <c r="G2" s="10">
        <v>0</v>
      </c>
      <c r="H2" s="11">
        <v>2</v>
      </c>
      <c r="I2" s="10">
        <v>0</v>
      </c>
      <c r="J2" s="39">
        <f>1.5*10^6</f>
        <v>1500000</v>
      </c>
      <c r="K2" s="35">
        <v>230</v>
      </c>
      <c r="L2" s="10">
        <f t="shared" ref="L2:L7" si="0">SQRT((D3-D2)^2+(C3-C2)^2)</f>
        <v>4.9399999999999999E-2</v>
      </c>
      <c r="M2" s="10">
        <f>ROUNDUP($K$2*(L2/SUM($L$2:$L$7)),0)</f>
        <v>11</v>
      </c>
      <c r="N2" s="10">
        <f>IF(M2=0,0,M2-1)</f>
        <v>10</v>
      </c>
      <c r="O2" s="5"/>
      <c r="P2" s="5"/>
      <c r="Q2" s="5"/>
      <c r="R2" s="25"/>
      <c r="S2" s="27">
        <v>1</v>
      </c>
      <c r="T2" s="27">
        <v>1</v>
      </c>
      <c r="U2" s="27">
        <v>1</v>
      </c>
      <c r="Z2" s="5"/>
      <c r="AD2" s="5"/>
      <c r="AE2" s="5"/>
      <c r="AF2" s="5"/>
      <c r="AG2" s="5"/>
      <c r="AJ2" s="7"/>
    </row>
    <row r="3" spans="1:36" x14ac:dyDescent="0.45">
      <c r="A3" s="2"/>
      <c r="B3" s="1">
        <v>2</v>
      </c>
      <c r="C3" s="1">
        <f>0*10^-3</f>
        <v>0</v>
      </c>
      <c r="D3" s="1">
        <f>49.4*10^-3</f>
        <v>4.9399999999999999E-2</v>
      </c>
      <c r="E3" s="1">
        <f t="shared" ref="E3:E8" si="1">2.5*10^-3</f>
        <v>2.5000000000000001E-3</v>
      </c>
      <c r="F3" s="1">
        <v>1</v>
      </c>
      <c r="G3" s="1">
        <v>0</v>
      </c>
      <c r="H3" s="17">
        <v>2</v>
      </c>
      <c r="I3" s="1">
        <v>7</v>
      </c>
      <c r="J3" s="39">
        <f t="shared" ref="J3:J4" si="2">1.5*10^6</f>
        <v>1500000</v>
      </c>
      <c r="K3" s="36"/>
      <c r="L3" s="33">
        <f t="shared" si="0"/>
        <v>0.91363000000000005</v>
      </c>
      <c r="M3" s="10">
        <f t="shared" ref="M3:M8" si="3">ROUNDUP($K$2*(L3/SUM($L$2:$L$7)),0)</f>
        <v>204</v>
      </c>
      <c r="N3" s="10">
        <f t="shared" ref="N3:N8" si="4">IF(M3=0,0,M3-1)</f>
        <v>203</v>
      </c>
      <c r="O3" s="5"/>
      <c r="P3" s="2"/>
      <c r="Q3" s="2"/>
      <c r="R3" s="2"/>
      <c r="S3" s="5"/>
      <c r="T3" s="5"/>
      <c r="Z3" s="5"/>
      <c r="AD3" s="5"/>
      <c r="AE3" s="5"/>
      <c r="AF3" s="5"/>
      <c r="AG3" s="5"/>
      <c r="AJ3" s="7"/>
    </row>
    <row r="4" spans="1:36" x14ac:dyDescent="0.45">
      <c r="A4" s="2"/>
      <c r="B4" s="10">
        <v>3</v>
      </c>
      <c r="C4" s="1">
        <f>913.63*10^-3</f>
        <v>0.91363000000000005</v>
      </c>
      <c r="D4" s="1">
        <f>49.4*10^-3</f>
        <v>4.9399999999999999E-2</v>
      </c>
      <c r="E4" s="1">
        <f t="shared" si="1"/>
        <v>2.5000000000000001E-3</v>
      </c>
      <c r="F4" s="10">
        <v>1</v>
      </c>
      <c r="G4" s="10">
        <v>7</v>
      </c>
      <c r="H4" s="11">
        <v>3</v>
      </c>
      <c r="I4" s="10">
        <v>7</v>
      </c>
      <c r="J4" s="39">
        <f t="shared" si="2"/>
        <v>1500000</v>
      </c>
      <c r="K4" s="37"/>
      <c r="L4" s="34">
        <f t="shared" si="0"/>
        <v>6.4456538070237671E-2</v>
      </c>
      <c r="M4" s="10">
        <f t="shared" si="3"/>
        <v>15</v>
      </c>
      <c r="N4" s="10">
        <f t="shared" si="4"/>
        <v>14</v>
      </c>
      <c r="O4" s="5"/>
      <c r="P4" s="2"/>
      <c r="Q4" s="2"/>
      <c r="R4" s="2"/>
      <c r="T4" s="5"/>
      <c r="Z4" s="5"/>
      <c r="AD4" s="5"/>
      <c r="AE4" s="5"/>
      <c r="AF4" s="5"/>
      <c r="AG4" s="5"/>
      <c r="AJ4" s="7"/>
    </row>
    <row r="5" spans="1:36" x14ac:dyDescent="0.45">
      <c r="A5" s="2"/>
      <c r="B5" s="1">
        <v>4</v>
      </c>
      <c r="C5" s="1">
        <f>969.45*10^-3</f>
        <v>0.96945000000000003</v>
      </c>
      <c r="D5" s="1">
        <f>17.17*10^-3</f>
        <v>1.7170000000000001E-2</v>
      </c>
      <c r="E5" s="1"/>
      <c r="F5" s="1">
        <v>0</v>
      </c>
      <c r="G5" s="1">
        <v>7</v>
      </c>
      <c r="H5" s="17">
        <v>3</v>
      </c>
      <c r="I5" s="1">
        <v>7</v>
      </c>
      <c r="J5" s="32"/>
      <c r="K5" s="37"/>
      <c r="L5" s="33">
        <f t="shared" si="0"/>
        <v>2.3608896628178177E-3</v>
      </c>
      <c r="M5" s="10">
        <f t="shared" si="3"/>
        <v>1</v>
      </c>
      <c r="N5" s="10">
        <f t="shared" si="4"/>
        <v>0</v>
      </c>
      <c r="O5" s="5"/>
      <c r="P5" s="2"/>
      <c r="Q5" s="2"/>
      <c r="R5" s="2"/>
      <c r="T5" s="5"/>
      <c r="Z5" s="5"/>
      <c r="AD5" s="5"/>
      <c r="AE5" s="5"/>
      <c r="AF5" s="5"/>
      <c r="AG5" s="5"/>
      <c r="AJ5" s="7"/>
    </row>
    <row r="6" spans="1:36" x14ac:dyDescent="0.45">
      <c r="A6" s="2"/>
      <c r="B6" s="10">
        <v>5</v>
      </c>
      <c r="C6" s="1">
        <f>971.62*10^-3</f>
        <v>0.97162000000000004</v>
      </c>
      <c r="D6" s="1">
        <f>16.24*10^-3</f>
        <v>1.6239999999999997E-2</v>
      </c>
      <c r="E6" s="1"/>
      <c r="F6" s="10">
        <v>0</v>
      </c>
      <c r="G6" s="10">
        <v>7</v>
      </c>
      <c r="H6" s="11">
        <v>3</v>
      </c>
      <c r="I6" s="10">
        <v>7</v>
      </c>
      <c r="K6" s="37"/>
      <c r="L6" s="34">
        <f t="shared" si="0"/>
        <v>2.1949259668607819E-3</v>
      </c>
      <c r="M6" s="10">
        <f t="shared" si="3"/>
        <v>1</v>
      </c>
      <c r="N6" s="10">
        <f t="shared" si="4"/>
        <v>0</v>
      </c>
      <c r="O6" s="5"/>
      <c r="P6" s="2"/>
      <c r="Q6" s="2"/>
      <c r="R6" s="2"/>
      <c r="T6" s="5"/>
      <c r="Z6" s="5"/>
      <c r="AD6" s="5"/>
      <c r="AE6" s="5"/>
      <c r="AF6" s="5"/>
      <c r="AG6" s="5"/>
      <c r="AJ6" s="7"/>
    </row>
    <row r="7" spans="1:36" x14ac:dyDescent="0.45">
      <c r="A7" s="2"/>
      <c r="B7" s="1">
        <v>6</v>
      </c>
      <c r="C7" s="1">
        <f>973.78*10^-3</f>
        <v>0.97377999999999998</v>
      </c>
      <c r="D7" s="1">
        <f>15.85*10^-3</f>
        <v>1.585E-2</v>
      </c>
      <c r="E7" s="1">
        <v>8.0000000000000004E-4</v>
      </c>
      <c r="F7" s="1">
        <v>0</v>
      </c>
      <c r="G7" s="1">
        <v>7</v>
      </c>
      <c r="H7" s="17">
        <v>3</v>
      </c>
      <c r="I7" s="1">
        <v>7</v>
      </c>
      <c r="J7" s="29">
        <f>J2*0.965</f>
        <v>1447500</v>
      </c>
      <c r="K7" s="37"/>
      <c r="L7" s="33">
        <f t="shared" si="0"/>
        <v>2.1718655575335469E-3</v>
      </c>
      <c r="M7" s="10">
        <f t="shared" si="3"/>
        <v>1</v>
      </c>
      <c r="N7" s="10">
        <f t="shared" si="4"/>
        <v>0</v>
      </c>
      <c r="O7" s="5"/>
      <c r="P7" s="2"/>
      <c r="Q7" s="2"/>
      <c r="R7" s="2"/>
      <c r="T7" s="5"/>
      <c r="Z7" s="5"/>
      <c r="AD7" s="5"/>
      <c r="AE7" s="5"/>
      <c r="AF7" s="5"/>
      <c r="AG7" s="5"/>
      <c r="AJ7" s="7"/>
    </row>
    <row r="8" spans="1:36" x14ac:dyDescent="0.45">
      <c r="A8" s="2"/>
      <c r="B8" s="10">
        <v>7</v>
      </c>
      <c r="C8" s="1">
        <f>975.95*10^-3</f>
        <v>0.9759500000000001</v>
      </c>
      <c r="D8" s="1">
        <f>15.94*10^-3</f>
        <v>1.5939999999999999E-2</v>
      </c>
      <c r="E8" s="1">
        <v>1E-3</v>
      </c>
      <c r="F8" s="10">
        <v>0</v>
      </c>
      <c r="G8" s="10">
        <v>7</v>
      </c>
      <c r="H8" s="11">
        <v>3</v>
      </c>
      <c r="I8" s="39">
        <v>7</v>
      </c>
      <c r="K8" s="37"/>
      <c r="L8" s="34"/>
      <c r="M8" s="10">
        <f t="shared" si="3"/>
        <v>0</v>
      </c>
      <c r="N8" s="10">
        <f t="shared" si="4"/>
        <v>0</v>
      </c>
      <c r="O8" s="5"/>
      <c r="P8" s="2"/>
      <c r="Q8" s="2"/>
      <c r="R8" s="2"/>
      <c r="T8" s="5"/>
      <c r="Z8" s="5"/>
      <c r="AD8" s="5"/>
      <c r="AE8" s="5"/>
      <c r="AF8" s="5"/>
      <c r="AG8" s="5"/>
      <c r="AJ8" s="7"/>
    </row>
    <row r="9" spans="1:36" x14ac:dyDescent="0.45">
      <c r="A9" s="2"/>
      <c r="B9" s="1">
        <v>8</v>
      </c>
      <c r="C9" s="1">
        <f>1025.22*10^-3</f>
        <v>1.02522</v>
      </c>
      <c r="D9" s="1">
        <f>23.38*10^-3</f>
        <v>2.3379999999999998E-2</v>
      </c>
      <c r="E9" s="1"/>
      <c r="F9" s="1"/>
      <c r="G9" s="1">
        <v>7</v>
      </c>
      <c r="H9" s="1"/>
      <c r="I9" s="1"/>
      <c r="J9" s="29">
        <f>J2*0.0183</f>
        <v>27450</v>
      </c>
      <c r="K9" s="37"/>
      <c r="L9" s="33"/>
      <c r="M9" s="1"/>
      <c r="N9" s="1"/>
      <c r="O9" s="5"/>
      <c r="P9" s="2"/>
      <c r="Q9" s="2"/>
      <c r="R9" s="2"/>
      <c r="U9" s="5"/>
      <c r="Z9" s="5"/>
      <c r="AD9" s="5"/>
      <c r="AE9" s="5"/>
      <c r="AF9" s="5"/>
      <c r="AG9" s="5"/>
      <c r="AJ9" s="7"/>
    </row>
    <row r="10" spans="1:36" x14ac:dyDescent="0.45">
      <c r="A10" s="2"/>
      <c r="B10" s="10"/>
      <c r="C10" s="10"/>
      <c r="D10" s="10"/>
      <c r="E10" s="10"/>
      <c r="F10" s="10"/>
      <c r="G10" s="10"/>
      <c r="H10" s="10"/>
      <c r="I10" s="10"/>
      <c r="J10" s="29"/>
      <c r="K10" s="37"/>
      <c r="L10" s="33"/>
      <c r="M10" s="1"/>
      <c r="N10" s="1"/>
      <c r="O10" s="5"/>
      <c r="P10" s="2"/>
      <c r="Q10" s="2"/>
      <c r="R10" s="2"/>
      <c r="U10" s="5"/>
      <c r="V10" s="5"/>
      <c r="W10" s="5"/>
      <c r="X10" s="5"/>
      <c r="Y10" s="5"/>
      <c r="Z10" s="5"/>
      <c r="AB10" s="5"/>
      <c r="AC10" s="5"/>
      <c r="AD10" s="5"/>
      <c r="AE10" s="5"/>
      <c r="AF10" s="5"/>
      <c r="AG10" s="5"/>
      <c r="AJ10" s="7"/>
    </row>
    <row r="11" spans="1:36" x14ac:dyDescent="0.45">
      <c r="A11" s="2"/>
      <c r="B11" s="1"/>
      <c r="C11" s="1"/>
      <c r="D11" s="1"/>
      <c r="E11" s="1"/>
      <c r="F11" s="1"/>
      <c r="G11" s="1"/>
      <c r="H11" s="1"/>
      <c r="I11" s="1"/>
      <c r="J11" s="32"/>
      <c r="K11" s="37"/>
      <c r="L11" s="33"/>
      <c r="M11" s="1"/>
      <c r="N11" s="1"/>
      <c r="O11" s="5"/>
      <c r="P11" s="2"/>
      <c r="Q11" s="2"/>
      <c r="R11" s="2"/>
      <c r="U11" s="5"/>
      <c r="V11" s="5"/>
      <c r="W11" s="5"/>
      <c r="X11" s="5"/>
      <c r="Y11" s="5"/>
      <c r="Z11" s="5"/>
      <c r="AB11" s="5"/>
      <c r="AC11" s="5"/>
      <c r="AD11" s="5"/>
      <c r="AE11" s="5"/>
      <c r="AF11" s="5"/>
      <c r="AG11" s="5"/>
      <c r="AJ11" s="7"/>
    </row>
    <row r="12" spans="1:36" x14ac:dyDescent="0.45">
      <c r="A12" s="2"/>
      <c r="B12" s="10"/>
      <c r="C12" s="10"/>
      <c r="D12" s="10"/>
      <c r="E12" s="10"/>
      <c r="F12" s="10"/>
      <c r="G12" s="10"/>
      <c r="H12" s="10"/>
      <c r="I12" s="10"/>
      <c r="J12" s="29"/>
      <c r="K12" s="37"/>
      <c r="L12" s="33"/>
      <c r="M12" s="1"/>
      <c r="N12" s="1"/>
      <c r="O12" s="5"/>
      <c r="P12" s="2"/>
      <c r="Q12" s="2"/>
      <c r="R12" s="5"/>
      <c r="S12" s="5"/>
      <c r="T12" s="5"/>
      <c r="U12" s="5"/>
      <c r="V12" s="5"/>
      <c r="W12" s="5"/>
      <c r="X12" s="5"/>
      <c r="Y12" s="5"/>
      <c r="Z12" s="5"/>
      <c r="AB12" s="5"/>
      <c r="AC12" s="5"/>
      <c r="AD12" s="5"/>
      <c r="AE12" s="5"/>
      <c r="AF12" s="5"/>
      <c r="AG12" s="5"/>
      <c r="AJ12" s="7"/>
    </row>
    <row r="13" spans="1:36" x14ac:dyDescent="0.45">
      <c r="A13" s="2"/>
      <c r="B13" s="1"/>
      <c r="C13" s="1"/>
      <c r="D13" s="1"/>
      <c r="E13" s="1"/>
      <c r="F13" s="1"/>
      <c r="G13" s="1"/>
      <c r="H13" s="1"/>
      <c r="I13" s="1"/>
      <c r="J13" s="32"/>
      <c r="K13" s="37"/>
      <c r="L13" s="33"/>
      <c r="M13" s="1"/>
      <c r="N13" s="1"/>
      <c r="O13" s="5"/>
      <c r="P13" s="2"/>
      <c r="Q13" s="2"/>
      <c r="R13" s="5"/>
      <c r="S13" s="5"/>
      <c r="T13" s="5"/>
      <c r="U13" s="5"/>
      <c r="V13" s="5"/>
      <c r="W13" s="5"/>
      <c r="X13" s="5"/>
      <c r="Y13" s="5"/>
      <c r="Z13" s="5"/>
      <c r="AB13" s="5"/>
      <c r="AC13" s="5"/>
      <c r="AD13" s="5"/>
      <c r="AE13" s="5"/>
      <c r="AF13" s="5"/>
      <c r="AG13" s="5"/>
      <c r="AJ13" s="7"/>
    </row>
    <row r="14" spans="1:36" x14ac:dyDescent="0.45">
      <c r="A14" s="2"/>
      <c r="B14" s="10"/>
      <c r="C14" s="10"/>
      <c r="D14" s="10"/>
      <c r="E14" s="10"/>
      <c r="F14" s="10"/>
      <c r="G14" s="10"/>
      <c r="H14" s="10"/>
      <c r="I14" s="10"/>
      <c r="J14" s="29"/>
      <c r="K14" s="37"/>
      <c r="L14" s="33"/>
      <c r="M14" s="1"/>
      <c r="N14" s="1"/>
      <c r="O14" s="5"/>
      <c r="P14" s="2"/>
      <c r="Q14" s="2"/>
      <c r="R14" s="5"/>
      <c r="S14" s="5"/>
      <c r="T14" s="5"/>
      <c r="U14" s="5"/>
      <c r="V14" s="5"/>
      <c r="W14" s="5"/>
      <c r="X14" s="5"/>
      <c r="Y14" s="5"/>
      <c r="Z14" s="5"/>
      <c r="AB14" s="5"/>
      <c r="AC14" s="5"/>
      <c r="AD14" s="5"/>
      <c r="AE14" s="5"/>
      <c r="AF14" s="5"/>
      <c r="AG14" s="5"/>
      <c r="AJ14" s="7"/>
    </row>
    <row r="15" spans="1:36" x14ac:dyDescent="0.45">
      <c r="A15" s="2"/>
      <c r="B15" s="1"/>
      <c r="C15" s="1"/>
      <c r="D15" s="1"/>
      <c r="E15" s="1"/>
      <c r="F15" s="1"/>
      <c r="G15" s="1"/>
      <c r="H15" s="1"/>
      <c r="I15" s="1"/>
      <c r="J15" s="32"/>
      <c r="K15" s="37"/>
      <c r="L15" s="33"/>
      <c r="M15" s="1"/>
      <c r="N15" s="1"/>
      <c r="O15" s="5"/>
      <c r="P15" s="2"/>
      <c r="Q15" s="2"/>
      <c r="R15" s="5"/>
      <c r="S15" s="5"/>
      <c r="T15" s="5"/>
      <c r="U15" s="5"/>
      <c r="V15" s="5"/>
      <c r="W15" s="5"/>
      <c r="X15" s="5"/>
      <c r="Y15" s="5"/>
      <c r="Z15" s="5"/>
      <c r="AB15" s="5"/>
      <c r="AC15" s="5"/>
      <c r="AD15" s="5"/>
      <c r="AE15" s="5"/>
      <c r="AF15" s="5"/>
      <c r="AG15" s="5"/>
      <c r="AJ15" s="7"/>
    </row>
    <row r="16" spans="1:36" x14ac:dyDescent="0.45">
      <c r="A16" s="2"/>
      <c r="B16" s="10"/>
      <c r="C16" s="10"/>
      <c r="D16" s="10"/>
      <c r="E16" s="10"/>
      <c r="F16" s="10"/>
      <c r="G16" s="10"/>
      <c r="H16" s="10"/>
      <c r="I16" s="10"/>
      <c r="J16" s="29"/>
      <c r="K16" s="37"/>
      <c r="L16" s="33"/>
      <c r="M16" s="1"/>
      <c r="N16" s="1"/>
      <c r="O16" s="5"/>
      <c r="P16" s="2"/>
      <c r="Q16" s="2"/>
      <c r="R16" s="5"/>
      <c r="S16" s="5"/>
      <c r="T16" s="5"/>
      <c r="U16" s="5"/>
      <c r="V16" s="5"/>
      <c r="W16" s="5"/>
      <c r="X16" s="5"/>
      <c r="Y16" s="5"/>
      <c r="Z16" s="5"/>
      <c r="AB16" s="5"/>
      <c r="AC16" s="5"/>
      <c r="AD16" s="5"/>
      <c r="AE16" s="5"/>
      <c r="AF16" s="5"/>
      <c r="AG16" s="5"/>
      <c r="AJ16" s="7"/>
    </row>
    <row r="17" spans="1:37" x14ac:dyDescent="0.45">
      <c r="A17" s="2"/>
      <c r="B17" s="1"/>
      <c r="C17" s="1"/>
      <c r="D17" s="1"/>
      <c r="E17" s="1"/>
      <c r="F17" s="1"/>
      <c r="G17" s="1"/>
      <c r="H17" s="1"/>
      <c r="I17" s="1"/>
      <c r="J17" s="32"/>
      <c r="K17" s="37"/>
      <c r="L17" s="33"/>
      <c r="M17" s="1"/>
      <c r="N17" s="1"/>
      <c r="O17" s="5"/>
      <c r="P17" s="2"/>
      <c r="Q17" s="2"/>
      <c r="R17" s="5"/>
      <c r="S17" s="5"/>
      <c r="T17" s="5"/>
      <c r="U17" s="5"/>
      <c r="V17" s="5"/>
      <c r="W17" s="5"/>
      <c r="X17" s="5"/>
      <c r="Y17" s="5"/>
      <c r="Z17" s="5"/>
      <c r="AB17" s="5"/>
      <c r="AC17" s="5"/>
      <c r="AD17" s="5"/>
      <c r="AE17" s="5"/>
      <c r="AF17" s="5"/>
      <c r="AG17" s="5"/>
      <c r="AJ17" s="7"/>
    </row>
    <row r="18" spans="1:37" x14ac:dyDescent="0.45">
      <c r="A18" s="2"/>
      <c r="B18" s="10"/>
      <c r="C18" s="10"/>
      <c r="D18" s="10"/>
      <c r="E18" s="10"/>
      <c r="F18" s="10"/>
      <c r="G18" s="10"/>
      <c r="H18" s="10"/>
      <c r="I18" s="10"/>
      <c r="J18" s="29"/>
      <c r="K18" s="38">
        <f>SUM(M2:M18)</f>
        <v>233</v>
      </c>
      <c r="L18" s="33"/>
      <c r="M18" s="1"/>
      <c r="N18" s="1"/>
      <c r="O18" s="5"/>
      <c r="P18" s="2"/>
      <c r="Q18" s="2"/>
      <c r="R18" s="5"/>
      <c r="S18" s="5"/>
      <c r="T18" s="5"/>
      <c r="U18" s="5"/>
      <c r="V18" s="5"/>
      <c r="W18" s="5"/>
      <c r="X18" s="5"/>
      <c r="Y18" s="5"/>
      <c r="Z18" s="5"/>
      <c r="AB18" s="5"/>
      <c r="AC18" s="5"/>
      <c r="AD18" s="5"/>
      <c r="AE18" s="5"/>
      <c r="AF18" s="5"/>
      <c r="AG18" s="5"/>
      <c r="AJ18" s="7"/>
    </row>
    <row r="19" spans="1:37" x14ac:dyDescent="0.45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B19" s="5"/>
      <c r="AC19" s="5"/>
      <c r="AD19" s="5"/>
      <c r="AE19" s="5"/>
      <c r="AF19" s="5"/>
      <c r="AG19" s="5"/>
      <c r="AJ19" s="7"/>
    </row>
    <row r="20" spans="1:37" x14ac:dyDescent="0.45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B20" s="2"/>
      <c r="AC20" s="2"/>
      <c r="AD20" s="2"/>
      <c r="AE20" s="2"/>
      <c r="AF20" s="2"/>
      <c r="AG20" s="2"/>
      <c r="AH20" s="2"/>
      <c r="AJ20" s="2"/>
      <c r="AK20" s="2"/>
    </row>
    <row r="21" spans="1:37" x14ac:dyDescent="0.45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B21" s="2"/>
      <c r="AC21" s="2"/>
      <c r="AD21" s="2"/>
      <c r="AE21" s="2"/>
      <c r="AF21" s="2"/>
      <c r="AG21" s="2"/>
      <c r="AH21" s="2"/>
      <c r="AJ21" s="2"/>
      <c r="AK21" s="2"/>
    </row>
    <row r="22" spans="1:37" x14ac:dyDescent="0.45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2"/>
      <c r="Q22" s="2"/>
      <c r="R22" s="2"/>
    </row>
    <row r="23" spans="1:37" x14ac:dyDescent="0.45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2"/>
      <c r="Q23" s="2"/>
      <c r="R23" s="2"/>
    </row>
    <row r="24" spans="1:37" x14ac:dyDescent="0.45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2"/>
      <c r="Q24" s="2"/>
      <c r="R24" s="2"/>
    </row>
    <row r="25" spans="1:37" x14ac:dyDescent="0.45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2"/>
      <c r="Q25" s="2"/>
      <c r="R25" s="2"/>
    </row>
    <row r="26" spans="1:37" x14ac:dyDescent="0.45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2"/>
      <c r="Q26" s="2"/>
      <c r="R26" s="2"/>
    </row>
    <row r="27" spans="1:37" x14ac:dyDescent="0.45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2"/>
      <c r="Q27" s="2"/>
      <c r="R27" s="2"/>
    </row>
    <row r="28" spans="1:37" x14ac:dyDescent="0.45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2"/>
      <c r="Q28" s="2"/>
      <c r="R28" s="2"/>
    </row>
    <row r="29" spans="1:37" x14ac:dyDescent="0.45">
      <c r="A29" s="2"/>
      <c r="B29" s="5"/>
      <c r="C29" s="5"/>
      <c r="D29" s="5"/>
      <c r="E29" s="5"/>
      <c r="F29" s="5"/>
      <c r="G29" s="96"/>
      <c r="H29" s="5"/>
      <c r="I29" s="5"/>
      <c r="J29" s="5"/>
      <c r="K29" s="5"/>
      <c r="L29" s="5"/>
      <c r="M29" s="5"/>
      <c r="N29" s="5"/>
      <c r="O29" s="5"/>
      <c r="P29" s="2"/>
      <c r="Q29" s="2"/>
      <c r="R29" s="2"/>
    </row>
    <row r="30" spans="1:37" x14ac:dyDescent="0.45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2"/>
      <c r="Q30" s="2"/>
      <c r="R30" s="2"/>
    </row>
    <row r="31" spans="1:37" x14ac:dyDescent="0.45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2"/>
      <c r="Q31" s="2"/>
      <c r="R31" s="2"/>
    </row>
    <row r="32" spans="1:37" x14ac:dyDescent="0.45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2"/>
      <c r="Q32" s="2"/>
      <c r="R32" s="2"/>
    </row>
    <row r="33" spans="1:18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</sheetData>
  <pageMargins left="0.7" right="0.7" top="0.75" bottom="0.75" header="0.3" footer="0.3"/>
  <pageSetup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2246-0C07-4E96-B19F-4C022DA4E97A}">
  <dimension ref="B1:G26"/>
  <sheetViews>
    <sheetView tabSelected="1" workbookViewId="0">
      <selection activeCell="H11" sqref="H11"/>
    </sheetView>
  </sheetViews>
  <sheetFormatPr defaultRowHeight="14.25" x14ac:dyDescent="0.45"/>
  <cols>
    <col min="5" max="5" width="16.53125" bestFit="1" customWidth="1"/>
  </cols>
  <sheetData>
    <row r="1" spans="2:7" ht="14.65" thickBot="1" x14ac:dyDescent="0.5">
      <c r="B1" s="13"/>
      <c r="C1" s="13"/>
      <c r="D1" s="13"/>
      <c r="E1" s="13"/>
      <c r="F1" s="13"/>
      <c r="G1" s="13"/>
    </row>
    <row r="2" spans="2:7" x14ac:dyDescent="0.45">
      <c r="B2" s="5"/>
      <c r="C2" s="98" t="s">
        <v>77</v>
      </c>
      <c r="D2" s="99"/>
      <c r="E2" s="100"/>
      <c r="F2" s="13"/>
      <c r="G2" s="13"/>
    </row>
    <row r="3" spans="2:7" x14ac:dyDescent="0.45">
      <c r="B3" s="5"/>
      <c r="C3" s="47" t="s">
        <v>78</v>
      </c>
      <c r="D3" s="1" t="s">
        <v>79</v>
      </c>
      <c r="E3" s="46" t="s">
        <v>80</v>
      </c>
      <c r="F3" s="13"/>
      <c r="G3" s="13"/>
    </row>
    <row r="4" spans="2:7" x14ac:dyDescent="0.45">
      <c r="B4" s="5">
        <v>1</v>
      </c>
      <c r="C4" s="47">
        <v>1232.7385512887799</v>
      </c>
      <c r="D4" s="1">
        <v>1222.7</v>
      </c>
      <c r="E4" s="101">
        <f>IF(C4&lt;D4,100-((C4/D4)*100),100-(D4/C4*100))</f>
        <v>0.81432930594122865</v>
      </c>
      <c r="F4" s="13"/>
      <c r="G4" s="13"/>
    </row>
    <row r="5" spans="2:7" x14ac:dyDescent="0.45">
      <c r="B5" s="5">
        <f>1+B4</f>
        <v>2</v>
      </c>
      <c r="C5" s="47">
        <v>3688.4081380643102</v>
      </c>
      <c r="D5" s="1">
        <v>3632.5</v>
      </c>
      <c r="E5" s="101">
        <f>IF(C5&lt;D5,100-((C5/D5)*100),100-(D5/C5*100))</f>
        <v>1.5157795984489582</v>
      </c>
      <c r="F5" s="13"/>
      <c r="G5" s="13"/>
    </row>
    <row r="6" spans="2:7" x14ac:dyDescent="0.45">
      <c r="B6" s="5">
        <f t="shared" ref="B6:B23" si="0">1+B5</f>
        <v>3</v>
      </c>
      <c r="C6" s="47">
        <v>6044.46569603029</v>
      </c>
      <c r="D6" s="1">
        <v>5916.8</v>
      </c>
      <c r="E6" s="101">
        <f>IF(C6&lt;D6,100-((C6/D6)*100),100-(D6/C6*100))</f>
        <v>2.1121088686818865</v>
      </c>
      <c r="F6" s="13"/>
      <c r="G6" s="13"/>
    </row>
    <row r="7" spans="2:7" x14ac:dyDescent="0.45">
      <c r="B7" s="5">
        <f t="shared" si="0"/>
        <v>4</v>
      </c>
      <c r="C7" s="47">
        <v>8343.7591493051495</v>
      </c>
      <c r="D7" s="1">
        <v>7960.9</v>
      </c>
      <c r="E7" s="101">
        <f>IF(C7&lt;D7,100-((C7/D7)*100),100-(D7/C7*100))</f>
        <v>4.5885690424924803</v>
      </c>
      <c r="F7" s="13"/>
      <c r="G7" s="13"/>
    </row>
    <row r="8" spans="2:7" x14ac:dyDescent="0.45">
      <c r="B8" s="5">
        <f t="shared" si="0"/>
        <v>5</v>
      </c>
      <c r="C8" s="47">
        <v>10267.9308832312</v>
      </c>
      <c r="D8" s="1">
        <v>9766.1</v>
      </c>
      <c r="E8" s="101">
        <f>IF(C8&lt;D8,100-((C8/D8)*100),100-(D8/C8*100))</f>
        <v>4.8873613285686446</v>
      </c>
      <c r="F8" s="13"/>
      <c r="G8" s="13"/>
    </row>
    <row r="9" spans="2:7" x14ac:dyDescent="0.45">
      <c r="B9" s="5">
        <f t="shared" si="0"/>
        <v>6</v>
      </c>
      <c r="C9" s="47">
        <v>12218.163470179999</v>
      </c>
      <c r="D9" s="1">
        <v>11421</v>
      </c>
      <c r="E9" s="101">
        <f>IF(C9&lt;D9,100-((C9/D9)*100),100-(D9/C9*100))</f>
        <v>6.5244131994598007</v>
      </c>
      <c r="F9" s="13"/>
      <c r="G9" s="13"/>
    </row>
    <row r="10" spans="2:7" x14ac:dyDescent="0.45">
      <c r="B10" s="5">
        <f t="shared" si="0"/>
        <v>7</v>
      </c>
      <c r="C10" s="47">
        <v>13689.4874763315</v>
      </c>
      <c r="D10" s="1">
        <v>12823</v>
      </c>
      <c r="E10" s="101">
        <f>IF(C10&lt;D10,100-((C10/D10)*100),100-(D10/C10*100))</f>
        <v>6.3295830309908752</v>
      </c>
      <c r="F10" s="13"/>
      <c r="G10" s="13"/>
    </row>
    <row r="11" spans="2:7" x14ac:dyDescent="0.45">
      <c r="B11" s="5">
        <f t="shared" si="0"/>
        <v>8</v>
      </c>
      <c r="C11" s="47">
        <v>14663.1791922462</v>
      </c>
      <c r="D11" s="1">
        <v>13995</v>
      </c>
      <c r="E11" s="101">
        <f>IF(C11&lt;D11,100-((C11/D11)*100),100-(D11/C11*100))</f>
        <v>4.5568507585280571</v>
      </c>
      <c r="F11" s="13"/>
      <c r="G11" s="13"/>
    </row>
    <row r="12" spans="2:7" x14ac:dyDescent="0.45">
      <c r="B12" s="5">
        <f t="shared" si="0"/>
        <v>9</v>
      </c>
      <c r="C12" s="47">
        <v>15425.3282348509</v>
      </c>
      <c r="D12" s="1">
        <v>14855</v>
      </c>
      <c r="E12" s="101">
        <f>IF(C12&lt;D12,100-((C12/D12)*100),100-(D12/C12*100))</f>
        <v>3.6973491012161475</v>
      </c>
      <c r="F12" s="13"/>
      <c r="G12" s="13"/>
    </row>
    <row r="13" spans="2:7" x14ac:dyDescent="0.45">
      <c r="B13" s="5">
        <f t="shared" si="0"/>
        <v>10</v>
      </c>
      <c r="C13" s="47">
        <v>15651.7853731172</v>
      </c>
      <c r="D13" s="1">
        <v>15361</v>
      </c>
      <c r="E13" s="101">
        <f>IF(C13&lt;D13,100-((C13/D13)*100),100-(D13/C13*100))</f>
        <v>1.857841557274611</v>
      </c>
      <c r="F13" s="13"/>
      <c r="G13" s="13"/>
    </row>
    <row r="14" spans="2:7" x14ac:dyDescent="0.45">
      <c r="B14" s="5">
        <f t="shared" si="0"/>
        <v>11</v>
      </c>
      <c r="C14" s="47">
        <v>15774.719898740301</v>
      </c>
      <c r="D14" s="1">
        <v>15650</v>
      </c>
      <c r="E14" s="101">
        <f>IF(C14&lt;D14,100-((C14/D14)*100),100-(D14/C14*100))</f>
        <v>0.79063146313146149</v>
      </c>
      <c r="F14" s="13"/>
      <c r="G14" s="13"/>
    </row>
    <row r="15" spans="2:7" x14ac:dyDescent="0.45">
      <c r="B15" s="5">
        <f t="shared" si="0"/>
        <v>12</v>
      </c>
      <c r="C15" s="47">
        <v>16241.365728955299</v>
      </c>
      <c r="D15" s="1">
        <v>15823</v>
      </c>
      <c r="E15" s="101">
        <f>IF(C15&lt;D15,100-((C15/D15)*100),100-(D15/C15*100))</f>
        <v>2.5759270244708006</v>
      </c>
      <c r="F15" s="13"/>
      <c r="G15" s="13"/>
    </row>
    <row r="16" spans="2:7" x14ac:dyDescent="0.45">
      <c r="B16" s="5">
        <f t="shared" si="0"/>
        <v>13</v>
      </c>
      <c r="C16" s="47">
        <v>16317.7620009697</v>
      </c>
      <c r="D16" s="1">
        <v>15936</v>
      </c>
      <c r="E16" s="101">
        <f>IF(C16&lt;D16,100-((C16/D16)*100),100-(D16/C16*100))</f>
        <v>2.3395487748075681</v>
      </c>
      <c r="F16" s="13"/>
      <c r="G16" s="13"/>
    </row>
    <row r="17" spans="2:7" x14ac:dyDescent="0.45">
      <c r="B17" s="5">
        <f t="shared" si="0"/>
        <v>14</v>
      </c>
      <c r="C17" s="47">
        <v>16338.9981814434</v>
      </c>
      <c r="D17" s="1">
        <v>16015</v>
      </c>
      <c r="E17" s="101">
        <f>IF(C17&lt;D17,100-((C17/D17)*100),100-(D17/C17*100))</f>
        <v>1.9829745853780167</v>
      </c>
      <c r="F17" s="13"/>
      <c r="G17" s="13"/>
    </row>
    <row r="18" spans="2:7" x14ac:dyDescent="0.45">
      <c r="B18" s="5">
        <f t="shared" si="0"/>
        <v>15</v>
      </c>
      <c r="C18" s="47">
        <v>16376.5463540774</v>
      </c>
      <c r="D18" s="1">
        <v>16076</v>
      </c>
      <c r="E18" s="101">
        <f>IF(C18&lt;D18,100-((C18/D18)*100),100-(D18/C18*100))</f>
        <v>1.835224274882421</v>
      </c>
      <c r="F18" s="13"/>
      <c r="G18" s="13"/>
    </row>
    <row r="19" spans="2:7" x14ac:dyDescent="0.45">
      <c r="B19" s="5">
        <f t="shared" si="0"/>
        <v>16</v>
      </c>
      <c r="C19" s="47">
        <v>16379.697500758601</v>
      </c>
      <c r="D19" s="1">
        <v>16125</v>
      </c>
      <c r="E19" s="101">
        <f>IF(C19&lt;D19,100-((C19/D19)*100),100-(D19/C19*100))</f>
        <v>1.5549585134084793</v>
      </c>
      <c r="F19" s="13"/>
      <c r="G19" s="13"/>
    </row>
    <row r="20" spans="2:7" x14ac:dyDescent="0.45">
      <c r="B20" s="5">
        <f t="shared" si="0"/>
        <v>17</v>
      </c>
      <c r="C20" s="47">
        <v>16380.304140603001</v>
      </c>
      <c r="D20" s="1">
        <v>16168</v>
      </c>
      <c r="E20" s="101">
        <f>IF(C20&lt;D20,100-((C20/D20)*100),100-(D20/C20*100))</f>
        <v>1.2960940088819655</v>
      </c>
      <c r="F20" s="13"/>
      <c r="G20" s="13"/>
    </row>
    <row r="21" spans="2:7" x14ac:dyDescent="0.45">
      <c r="B21" s="5">
        <f t="shared" si="0"/>
        <v>18</v>
      </c>
      <c r="C21" s="47">
        <v>16383.0202699331</v>
      </c>
      <c r="D21" s="1">
        <v>16209</v>
      </c>
      <c r="E21" s="101">
        <f>IF(C21&lt;D21,100-((C21/D21)*100),100-(D21/C21*100))</f>
        <v>1.0621989539527732</v>
      </c>
      <c r="F21" s="13"/>
      <c r="G21" s="13"/>
    </row>
    <row r="22" spans="2:7" x14ac:dyDescent="0.45">
      <c r="B22" s="5">
        <f t="shared" si="0"/>
        <v>19</v>
      </c>
      <c r="C22" s="47">
        <v>16388.906207497399</v>
      </c>
      <c r="D22" s="1">
        <v>16249</v>
      </c>
      <c r="E22" s="101">
        <f>IF(C22&lt;D22,100-((C22/D22)*100),100-(D22/C22*100))</f>
        <v>0.85366409280807432</v>
      </c>
      <c r="F22" s="13"/>
      <c r="G22" s="13"/>
    </row>
    <row r="23" spans="2:7" ht="14.65" thickBot="1" x14ac:dyDescent="0.5">
      <c r="B23" s="5">
        <f t="shared" si="0"/>
        <v>20</v>
      </c>
      <c r="C23" s="45">
        <v>16405.6700004743</v>
      </c>
      <c r="D23" s="44">
        <v>16290</v>
      </c>
      <c r="E23" s="102">
        <f>IF(C23&lt;D23,100-((C23/D23)*100),100-(D23/C23*100))</f>
        <v>0.70506111893604384</v>
      </c>
      <c r="F23" s="13"/>
      <c r="G23" s="13"/>
    </row>
    <row r="24" spans="2:7" x14ac:dyDescent="0.45">
      <c r="B24" s="5"/>
      <c r="C24" s="5"/>
      <c r="D24" s="5"/>
      <c r="E24" s="5"/>
      <c r="F24" s="13"/>
      <c r="G24" s="13"/>
    </row>
    <row r="25" spans="2:7" x14ac:dyDescent="0.45">
      <c r="B25" s="13"/>
      <c r="C25" s="13"/>
      <c r="D25" s="13"/>
      <c r="E25" s="13"/>
      <c r="F25" s="13"/>
      <c r="G25" s="13"/>
    </row>
    <row r="26" spans="2:7" x14ac:dyDescent="0.45">
      <c r="B26" s="13"/>
      <c r="C26" s="13"/>
      <c r="D26" s="13"/>
      <c r="E26" s="13"/>
      <c r="F26" s="13"/>
      <c r="G26" s="13"/>
    </row>
  </sheetData>
  <mergeCells count="1">
    <mergeCell ref="C2:E2"/>
  </mergeCells>
  <conditionalFormatting sqref="E4:E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READ ME</vt:lpstr>
      <vt:lpstr>Materials</vt:lpstr>
      <vt:lpstr>Loading</vt:lpstr>
      <vt:lpstr>Input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VIVEIROS OLIM</dc:creator>
  <cp:lastModifiedBy>PEDRO MIGUEL VIVEIROS OLIM</cp:lastModifiedBy>
  <dcterms:created xsi:type="dcterms:W3CDTF">2023-10-31T16:17:05Z</dcterms:created>
  <dcterms:modified xsi:type="dcterms:W3CDTF">2024-01-24T22:45:27Z</dcterms:modified>
</cp:coreProperties>
</file>