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nza\Desktop\"/>
    </mc:Choice>
  </mc:AlternateContent>
  <xr:revisionPtr revIDLastSave="0" documentId="8_{5B272370-4868-4876-BD3C-AAAA26D28498}" xr6:coauthVersionLast="47" xr6:coauthVersionMax="47" xr10:uidLastSave="{00000000-0000-0000-0000-000000000000}"/>
  <bookViews>
    <workbookView xWindow="-103" yWindow="-103" windowWidth="22149" windowHeight="11829" tabRatio="632" firstSheet="2" activeTab="7" xr2:uid="{00000000-000D-0000-FFFF-FFFF00000000}"/>
  </bookViews>
  <sheets>
    <sheet name="Ingresos" sheetId="4" r:id="rId1"/>
    <sheet name="Personal Gastos y SS" sheetId="2" r:id="rId2"/>
    <sheet name="Gastos Totales" sheetId="1" r:id="rId3"/>
    <sheet name="Amortizaciones" sheetId="5" r:id="rId4"/>
    <sheet name="Cuenta P y G" sheetId="3" r:id="rId5"/>
    <sheet name="Tesoreria" sheetId="7" r:id="rId6"/>
    <sheet name="Balance" sheetId="6" r:id="rId7"/>
    <sheet name="Analisis Rentabilidad" sheetId="10" r:id="rId8"/>
    <sheet name="Prestamo" sheetId="8" r:id="rId9"/>
  </sheets>
  <definedNames>
    <definedName name="Pago1">Prestamo!$C$18</definedName>
    <definedName name="Pago2">Prestamo!$C$19</definedName>
    <definedName name="Pago3">Prestamo!$C$20</definedName>
    <definedName name="Principal1">Prestamo!$D$18</definedName>
    <definedName name="Principal2">Prestamo!$D$19</definedName>
    <definedName name="Principal3">Prestamo!$D$20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H15" i="2"/>
  <c r="F15" i="2"/>
  <c r="D15" i="2"/>
  <c r="D22" i="6"/>
  <c r="E22" i="6" s="1"/>
  <c r="F23" i="6"/>
  <c r="G23" i="6"/>
  <c r="C13" i="7"/>
  <c r="C19" i="7" s="1"/>
  <c r="F33" i="1"/>
  <c r="F21" i="3" s="1"/>
  <c r="E33" i="1"/>
  <c r="E21" i="3" s="1"/>
  <c r="D33" i="1"/>
  <c r="C32" i="1"/>
  <c r="C33" i="1"/>
  <c r="F25" i="1"/>
  <c r="E25" i="1"/>
  <c r="D25" i="1"/>
  <c r="C25" i="1"/>
  <c r="F17" i="1"/>
  <c r="F18" i="1"/>
  <c r="F19" i="1"/>
  <c r="F17" i="3" s="1"/>
  <c r="E17" i="1"/>
  <c r="E18" i="1"/>
  <c r="E19" i="1"/>
  <c r="D17" i="1"/>
  <c r="D18" i="1"/>
  <c r="D19" i="1"/>
  <c r="C17" i="1"/>
  <c r="C18" i="1"/>
  <c r="C19" i="1"/>
  <c r="K7" i="2"/>
  <c r="K8" i="2"/>
  <c r="K9" i="2"/>
  <c r="K10" i="2"/>
  <c r="K11" i="2"/>
  <c r="K12" i="2"/>
  <c r="I7" i="2"/>
  <c r="I8" i="2"/>
  <c r="I9" i="2"/>
  <c r="I10" i="2"/>
  <c r="I11" i="2"/>
  <c r="I12" i="2"/>
  <c r="G7" i="2"/>
  <c r="G8" i="2"/>
  <c r="G9" i="2"/>
  <c r="G10" i="2"/>
  <c r="G11" i="2"/>
  <c r="G12" i="2"/>
  <c r="E7" i="2"/>
  <c r="E8" i="2"/>
  <c r="E9" i="2"/>
  <c r="E10" i="2"/>
  <c r="E11" i="2"/>
  <c r="E12" i="2"/>
  <c r="J8" i="4"/>
  <c r="K8" i="4" s="1"/>
  <c r="K11" i="4"/>
  <c r="I11" i="4"/>
  <c r="I8" i="4"/>
  <c r="G11" i="4"/>
  <c r="G7" i="4"/>
  <c r="E7" i="4"/>
  <c r="E11" i="4"/>
  <c r="D14" i="7"/>
  <c r="C13" i="5"/>
  <c r="D21" i="7"/>
  <c r="D26" i="7"/>
  <c r="D27" i="7"/>
  <c r="D28" i="7"/>
  <c r="D29" i="7"/>
  <c r="D30" i="7"/>
  <c r="D31" i="7"/>
  <c r="A18" i="8"/>
  <c r="F17" i="8"/>
  <c r="C18" i="8"/>
  <c r="C31" i="3"/>
  <c r="D33" i="7" s="1"/>
  <c r="B18" i="8"/>
  <c r="D18" i="8"/>
  <c r="D35" i="7"/>
  <c r="C8" i="3"/>
  <c r="C16" i="3"/>
  <c r="C17" i="3"/>
  <c r="C18" i="3"/>
  <c r="C19" i="3"/>
  <c r="C20" i="3"/>
  <c r="C21" i="3"/>
  <c r="E6" i="5"/>
  <c r="E7" i="5"/>
  <c r="E8" i="5"/>
  <c r="E9" i="5"/>
  <c r="E10" i="5"/>
  <c r="E11" i="5"/>
  <c r="C29" i="3"/>
  <c r="D29" i="3" s="1"/>
  <c r="D32" i="7"/>
  <c r="D6" i="6"/>
  <c r="F6" i="6" s="1"/>
  <c r="D8" i="3"/>
  <c r="D16" i="3"/>
  <c r="D17" i="3"/>
  <c r="D18" i="3"/>
  <c r="D19" i="3"/>
  <c r="D20" i="3"/>
  <c r="D21" i="3"/>
  <c r="A19" i="8"/>
  <c r="E18" i="8"/>
  <c r="F18" i="8"/>
  <c r="C19" i="8"/>
  <c r="D31" i="3"/>
  <c r="E33" i="7" s="1"/>
  <c r="E8" i="3"/>
  <c r="E16" i="3"/>
  <c r="E17" i="3"/>
  <c r="E18" i="3"/>
  <c r="E19" i="3"/>
  <c r="E20" i="3"/>
  <c r="A20" i="8"/>
  <c r="B19" i="8"/>
  <c r="D19" i="8"/>
  <c r="E19" i="8"/>
  <c r="F19" i="8"/>
  <c r="C20" i="8"/>
  <c r="E31" i="3"/>
  <c r="F33" i="7" s="1"/>
  <c r="F8" i="3"/>
  <c r="F16" i="3"/>
  <c r="F18" i="3"/>
  <c r="F19" i="3"/>
  <c r="F20" i="3"/>
  <c r="G6" i="6"/>
  <c r="E23" i="6"/>
  <c r="E21" i="6"/>
  <c r="D7" i="6"/>
  <c r="E7" i="6" s="1"/>
  <c r="F7" i="6" s="1"/>
  <c r="G7" i="6" s="1"/>
  <c r="D23" i="6"/>
  <c r="D21" i="6"/>
  <c r="D20" i="6" s="1"/>
  <c r="D16" i="6"/>
  <c r="C20" i="6"/>
  <c r="C23" i="6"/>
  <c r="C37" i="7"/>
  <c r="E21" i="7"/>
  <c r="E26" i="7"/>
  <c r="E27" i="7"/>
  <c r="E28" i="7"/>
  <c r="E29" i="7"/>
  <c r="E30" i="7"/>
  <c r="E31" i="7"/>
  <c r="E35" i="7"/>
  <c r="F21" i="7"/>
  <c r="F26" i="7"/>
  <c r="F27" i="7"/>
  <c r="F28" i="7"/>
  <c r="F29" i="7"/>
  <c r="F30" i="7"/>
  <c r="B20" i="8"/>
  <c r="D20" i="8"/>
  <c r="F35" i="7"/>
  <c r="G21" i="7"/>
  <c r="G26" i="7"/>
  <c r="G28" i="7"/>
  <c r="G29" i="7"/>
  <c r="G30" i="7"/>
  <c r="G31" i="7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F42" i="8"/>
  <c r="G42" i="8"/>
  <c r="H42" i="8"/>
  <c r="E42" i="8"/>
  <c r="D42" i="8"/>
  <c r="C42" i="8"/>
  <c r="B42" i="8"/>
  <c r="H41" i="8"/>
  <c r="G41" i="8"/>
  <c r="F41" i="8"/>
  <c r="E41" i="8"/>
  <c r="D41" i="8"/>
  <c r="C41" i="8"/>
  <c r="B41" i="8"/>
  <c r="H40" i="8"/>
  <c r="G40" i="8"/>
  <c r="F40" i="8"/>
  <c r="E40" i="8"/>
  <c r="D40" i="8"/>
  <c r="C40" i="8"/>
  <c r="B40" i="8"/>
  <c r="H39" i="8"/>
  <c r="G39" i="8"/>
  <c r="F39" i="8"/>
  <c r="E39" i="8"/>
  <c r="D39" i="8"/>
  <c r="C39" i="8"/>
  <c r="B39" i="8"/>
  <c r="H38" i="8"/>
  <c r="G38" i="8"/>
  <c r="F38" i="8"/>
  <c r="E38" i="8"/>
  <c r="D38" i="8"/>
  <c r="C38" i="8"/>
  <c r="B38" i="8"/>
  <c r="H37" i="8"/>
  <c r="G37" i="8"/>
  <c r="F37" i="8"/>
  <c r="E37" i="8"/>
  <c r="D37" i="8"/>
  <c r="C37" i="8"/>
  <c r="B37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E20" i="8"/>
  <c r="F20" i="8"/>
  <c r="G20" i="8"/>
  <c r="H20" i="8"/>
  <c r="G19" i="8"/>
  <c r="H19" i="8"/>
  <c r="G18" i="8"/>
  <c r="H18" i="8"/>
  <c r="E5" i="8"/>
  <c r="E6" i="8"/>
  <c r="E7" i="8"/>
  <c r="E8" i="8"/>
  <c r="C3" i="6"/>
  <c r="C11" i="6"/>
  <c r="C8" i="6" s="1"/>
  <c r="C14" i="6"/>
  <c r="C27" i="6"/>
  <c r="C26" i="6" l="1"/>
  <c r="E6" i="6"/>
  <c r="G3" i="6"/>
  <c r="F3" i="6"/>
  <c r="F22" i="6"/>
  <c r="E20" i="6"/>
  <c r="E26" i="6" s="1"/>
  <c r="C12" i="6"/>
  <c r="E3" i="6"/>
  <c r="D26" i="6"/>
  <c r="D3" i="6"/>
  <c r="F29" i="3"/>
  <c r="F31" i="7"/>
  <c r="G27" i="7"/>
  <c r="E13" i="2"/>
  <c r="E14" i="2" s="1"/>
  <c r="C15" i="3" s="1"/>
  <c r="D25" i="7" s="1"/>
  <c r="G13" i="2"/>
  <c r="G14" i="2" s="1"/>
  <c r="D15" i="3" s="1"/>
  <c r="E25" i="7" s="1"/>
  <c r="K13" i="2"/>
  <c r="F14" i="3" s="1"/>
  <c r="G24" i="7" s="1"/>
  <c r="I13" i="2"/>
  <c r="I14" i="2" s="1"/>
  <c r="E15" i="3" s="1"/>
  <c r="F25" i="7" s="1"/>
  <c r="E14" i="3"/>
  <c r="F24" i="7" s="1"/>
  <c r="C38" i="7"/>
  <c r="D9" i="7" s="1"/>
  <c r="E29" i="3"/>
  <c r="H9" i="4"/>
  <c r="E8" i="4"/>
  <c r="G8" i="4"/>
  <c r="K7" i="4"/>
  <c r="I7" i="4"/>
  <c r="J9" i="4"/>
  <c r="F8" i="1" s="1"/>
  <c r="G23" i="7" s="1"/>
  <c r="G22" i="6" l="1"/>
  <c r="G20" i="6" s="1"/>
  <c r="G26" i="6" s="1"/>
  <c r="F20" i="6"/>
  <c r="F26" i="6" s="1"/>
  <c r="K14" i="2"/>
  <c r="F15" i="3" s="1"/>
  <c r="G25" i="7" s="1"/>
  <c r="C13" i="1"/>
  <c r="E15" i="2"/>
  <c r="C12" i="1"/>
  <c r="D24" i="7" s="1"/>
  <c r="G15" i="2"/>
  <c r="E24" i="7"/>
  <c r="D14" i="3"/>
  <c r="D22" i="3" s="1"/>
  <c r="F22" i="3"/>
  <c r="K15" i="2"/>
  <c r="I15" i="2"/>
  <c r="E22" i="3"/>
  <c r="E8" i="1"/>
  <c r="J10" i="4"/>
  <c r="K12" i="4" s="1"/>
  <c r="F9" i="3"/>
  <c r="F9" i="4"/>
  <c r="D9" i="4"/>
  <c r="C14" i="3" l="1"/>
  <c r="C22" i="3" s="1"/>
  <c r="K13" i="4"/>
  <c r="F5" i="3" s="1"/>
  <c r="F9" i="1"/>
  <c r="F10" i="3" s="1"/>
  <c r="F11" i="3" s="1"/>
  <c r="F23" i="7"/>
  <c r="E9" i="3"/>
  <c r="D8" i="1"/>
  <c r="D9" i="3" s="1"/>
  <c r="H10" i="4"/>
  <c r="I12" i="4" s="1"/>
  <c r="C8" i="1"/>
  <c r="C9" i="3" s="1"/>
  <c r="D10" i="4"/>
  <c r="E12" i="4" s="1"/>
  <c r="F10" i="4"/>
  <c r="G12" i="4" s="1"/>
  <c r="F26" i="3" l="1"/>
  <c r="F28" i="3" s="1"/>
  <c r="F30" i="3" s="1"/>
  <c r="F32" i="3" s="1"/>
  <c r="G22" i="7"/>
  <c r="D23" i="7"/>
  <c r="F5" i="10"/>
  <c r="G11" i="7"/>
  <c r="G19" i="7" s="1"/>
  <c r="E23" i="7"/>
  <c r="E9" i="1"/>
  <c r="E10" i="3" s="1"/>
  <c r="E11" i="3" s="1"/>
  <c r="I13" i="4"/>
  <c r="E5" i="3" s="1"/>
  <c r="D9" i="1"/>
  <c r="D10" i="3" s="1"/>
  <c r="D11" i="3" s="1"/>
  <c r="G13" i="4"/>
  <c r="D5" i="3" s="1"/>
  <c r="C9" i="1"/>
  <c r="C10" i="3" s="1"/>
  <c r="C11" i="3" s="1"/>
  <c r="E13" i="4"/>
  <c r="C5" i="3" s="1"/>
  <c r="F33" i="3" l="1"/>
  <c r="G32" i="7" s="1"/>
  <c r="G37" i="7" s="1"/>
  <c r="E26" i="3"/>
  <c r="E28" i="3" s="1"/>
  <c r="E30" i="3" s="1"/>
  <c r="E32" i="3" s="1"/>
  <c r="E33" i="3" s="1"/>
  <c r="F22" i="7"/>
  <c r="D26" i="3"/>
  <c r="D28" i="3" s="1"/>
  <c r="D30" i="3" s="1"/>
  <c r="D32" i="3" s="1"/>
  <c r="D33" i="3" s="1"/>
  <c r="E22" i="7"/>
  <c r="C26" i="3"/>
  <c r="C28" i="3" s="1"/>
  <c r="C30" i="3" s="1"/>
  <c r="C32" i="3" s="1"/>
  <c r="C34" i="3" s="1"/>
  <c r="C6" i="10" s="1"/>
  <c r="D22" i="7"/>
  <c r="F34" i="3"/>
  <c r="F6" i="10" s="1"/>
  <c r="C5" i="10"/>
  <c r="D11" i="7"/>
  <c r="F11" i="7"/>
  <c r="E5" i="10"/>
  <c r="D5" i="10"/>
  <c r="E11" i="7"/>
  <c r="F15" i="10" l="1"/>
  <c r="F16" i="10"/>
  <c r="C15" i="10"/>
  <c r="C16" i="10"/>
  <c r="G17" i="6"/>
  <c r="D17" i="6"/>
  <c r="D14" i="6" s="1"/>
  <c r="D27" i="6" s="1"/>
  <c r="E32" i="7"/>
  <c r="G5" i="10"/>
  <c r="D37" i="7"/>
  <c r="F32" i="7"/>
  <c r="C7" i="10" l="1"/>
  <c r="C13" i="10" s="1"/>
  <c r="D11" i="6"/>
  <c r="D8" i="6" s="1"/>
  <c r="D12" i="6" s="1"/>
  <c r="C8" i="10" s="1"/>
  <c r="C14" i="10" s="1"/>
  <c r="E37" i="7"/>
  <c r="D34" i="3"/>
  <c r="D6" i="10" s="1"/>
  <c r="F37" i="7"/>
  <c r="D19" i="7"/>
  <c r="D38" i="7" s="1"/>
  <c r="E9" i="7" s="1"/>
  <c r="F19" i="7"/>
  <c r="E34" i="3"/>
  <c r="E19" i="7"/>
  <c r="D15" i="10" l="1"/>
  <c r="D16" i="10"/>
  <c r="E38" i="7"/>
  <c r="F9" i="7" s="1"/>
  <c r="E17" i="6"/>
  <c r="E16" i="6" s="1"/>
  <c r="E14" i="6" s="1"/>
  <c r="E27" i="6" s="1"/>
  <c r="F17" i="6"/>
  <c r="E6" i="10"/>
  <c r="G6" i="10" l="1"/>
  <c r="E16" i="10"/>
  <c r="E15" i="10"/>
  <c r="F16" i="6"/>
  <c r="F14" i="6" s="1"/>
  <c r="F38" i="7"/>
  <c r="G9" i="7" s="1"/>
  <c r="G38" i="7" s="1"/>
  <c r="D7" i="10"/>
  <c r="D13" i="10" s="1"/>
  <c r="E11" i="6"/>
  <c r="E8" i="6" s="1"/>
  <c r="E12" i="6" s="1"/>
  <c r="D8" i="10" s="1"/>
  <c r="D14" i="10" s="1"/>
  <c r="G16" i="10" l="1"/>
  <c r="G15" i="10"/>
  <c r="G16" i="6"/>
  <c r="G14" i="6" s="1"/>
  <c r="G27" i="6" s="1"/>
  <c r="F27" i="6"/>
  <c r="E7" i="10"/>
  <c r="E13" i="10" s="1"/>
  <c r="F7" i="10" l="1"/>
  <c r="G11" i="6"/>
  <c r="G8" i="6" s="1"/>
  <c r="G12" i="6" s="1"/>
  <c r="F8" i="10" s="1"/>
  <c r="F11" i="6"/>
  <c r="F8" i="6" s="1"/>
  <c r="F12" i="6" s="1"/>
  <c r="E8" i="10" s="1"/>
  <c r="E14" i="10" s="1"/>
  <c r="G8" i="10" l="1"/>
  <c r="G14" i="10" s="1"/>
  <c r="F14" i="10"/>
  <c r="G7" i="10"/>
  <c r="G13" i="10" s="1"/>
  <c r="F13" i="10"/>
</calcChain>
</file>

<file path=xl/sharedStrings.xml><?xml version="1.0" encoding="utf-8"?>
<sst xmlns="http://schemas.openxmlformats.org/spreadsheetml/2006/main" count="234" uniqueCount="184">
  <si>
    <t>AÑO 1</t>
  </si>
  <si>
    <t>AÑO 2</t>
  </si>
  <si>
    <t>AÑO 3</t>
  </si>
  <si>
    <t>Gas</t>
  </si>
  <si>
    <t>Electricidad</t>
  </si>
  <si>
    <t>Material oficina</t>
  </si>
  <si>
    <t>Gerente</t>
  </si>
  <si>
    <t>EVOLUCION GASTOS DE PERSONAL</t>
  </si>
  <si>
    <t>PERSONAL</t>
  </si>
  <si>
    <t>Cant</t>
  </si>
  <si>
    <t>Administración</t>
  </si>
  <si>
    <t>Comercial</t>
  </si>
  <si>
    <t>Atención al cliente</t>
  </si>
  <si>
    <t>Control de calidad</t>
  </si>
  <si>
    <t>Seguros</t>
  </si>
  <si>
    <t>Google (posicionamiento en el buscador)</t>
  </si>
  <si>
    <t>Mobiliario de oficina y adecuación</t>
  </si>
  <si>
    <t>Equipos informáticos</t>
  </si>
  <si>
    <t>Herramientas de desarrollo y de test</t>
  </si>
  <si>
    <t xml:space="preserve">Vehículo </t>
  </si>
  <si>
    <t>Seguridad social (33%)</t>
  </si>
  <si>
    <t>Seguridad social</t>
  </si>
  <si>
    <t>Telecomunicaciones (oficina)</t>
  </si>
  <si>
    <t>AÑO 4</t>
  </si>
  <si>
    <t>N.Usuarios</t>
  </si>
  <si>
    <t>Suministros</t>
  </si>
  <si>
    <t>Publicidad</t>
  </si>
  <si>
    <t>Alquileres</t>
  </si>
  <si>
    <t xml:space="preserve">Sueldos Personal </t>
  </si>
  <si>
    <t>Tributos (IBI)</t>
  </si>
  <si>
    <t>Otros gastos</t>
  </si>
  <si>
    <t>Cuota Asociaciones , Cámara Comercio,etc</t>
  </si>
  <si>
    <t>Asesoría contable, laboral, fiscal y legal</t>
  </si>
  <si>
    <t>CUENTA DE PERDIDAS Y GANANCIAS PREVISIONAL</t>
  </si>
  <si>
    <t>INGRESOS PREVISTOS</t>
  </si>
  <si>
    <t>Inicial</t>
  </si>
  <si>
    <t>COBROS</t>
  </si>
  <si>
    <t>TOTAL COBROS</t>
  </si>
  <si>
    <t>PAGOS</t>
  </si>
  <si>
    <t>TOTAL PAGOS</t>
  </si>
  <si>
    <t>TOTAL PASIVO + PATRIMONIO NETO</t>
  </si>
  <si>
    <t>Impuesto Sociedades</t>
  </si>
  <si>
    <t>Ventas</t>
  </si>
  <si>
    <t>Tributos</t>
  </si>
  <si>
    <t xml:space="preserve">Costes de ventas  </t>
  </si>
  <si>
    <t>Servicios profesionales</t>
  </si>
  <si>
    <t>TOTAL GASTOS</t>
  </si>
  <si>
    <t>Cuota Premium (año)</t>
  </si>
  <si>
    <t>COSTES (VARIABLES) DE VENTAS</t>
  </si>
  <si>
    <t>GASTOS DE ESTRUCTURA</t>
  </si>
  <si>
    <t>TOTAL COSTES DE VENTAS</t>
  </si>
  <si>
    <t>Año 1</t>
  </si>
  <si>
    <t>Año 2</t>
  </si>
  <si>
    <t>Año 3</t>
  </si>
  <si>
    <t>Año 4</t>
  </si>
  <si>
    <t>PATRIMONIO NETO (Recursos propios)</t>
  </si>
  <si>
    <t>CUADRO DE AMORTIZACIÓN DE UN PRÉSTAMO</t>
  </si>
  <si>
    <t>Introducción de datos:</t>
  </si>
  <si>
    <t>Capital inicial:</t>
  </si>
  <si>
    <t>Tipo de interés nominal:</t>
  </si>
  <si>
    <t>Resultados:</t>
  </si>
  <si>
    <t>Comisión de apertura:</t>
  </si>
  <si>
    <t>Periodicidad:</t>
  </si>
  <si>
    <t>Comisión de gestión:</t>
  </si>
  <si>
    <t>Capital efectivo:</t>
  </si>
  <si>
    <t>T.A.E. real</t>
  </si>
  <si>
    <t>Gastos fijos bancarios:</t>
  </si>
  <si>
    <t>Gastos adicionales:</t>
  </si>
  <si>
    <t>Comisión de cancelación anticipada</t>
  </si>
  <si>
    <t>Prepagable (1) o pospagable (0)</t>
  </si>
  <si>
    <t xml:space="preserve">Cuota </t>
  </si>
  <si>
    <t>Pago de intereses</t>
  </si>
  <si>
    <t>Amortización del principal</t>
  </si>
  <si>
    <t>Amortización acumulada del principal</t>
  </si>
  <si>
    <t>Capital pendiente</t>
  </si>
  <si>
    <t>Importe de la comisión de cancelación</t>
  </si>
  <si>
    <t>Coste de cancelación</t>
  </si>
  <si>
    <t>Servicios profesionales asociados a ventas ( Atencion al cliente subcontratada)</t>
  </si>
  <si>
    <t>3 € por cliente</t>
  </si>
  <si>
    <t>GASTOS FIJOS</t>
  </si>
  <si>
    <t>Coste escalable</t>
  </si>
  <si>
    <t>No se activa el I+D. Se considera un gasto… se amortiza cada año</t>
  </si>
  <si>
    <t>Amortización lineal</t>
  </si>
  <si>
    <t>PLAN DE AMORTIZACION</t>
  </si>
  <si>
    <t>Tipo de activo no corriente</t>
  </si>
  <si>
    <t>Amortizacion anual</t>
  </si>
  <si>
    <t>Plazo de amortización</t>
  </si>
  <si>
    <t>Valor</t>
  </si>
  <si>
    <t>CUENTA</t>
  </si>
  <si>
    <t>ACTIVO CORRIENTE</t>
  </si>
  <si>
    <t xml:space="preserve">ACTIVO NO CORRIENTE </t>
  </si>
  <si>
    <t xml:space="preserve"> TOTAL ACTIVO</t>
  </si>
  <si>
    <t>TOTAL PASIVO</t>
  </si>
  <si>
    <t>CUENTA DE TESORERIA PREVISIONAL (4 Años)</t>
  </si>
  <si>
    <t>Ingenieros de Desarrollo</t>
  </si>
  <si>
    <t>Cuota Free</t>
  </si>
  <si>
    <t>Software ERP/CRM</t>
  </si>
  <si>
    <t>ACREEDORES A LARGO PLAZO</t>
  </si>
  <si>
    <t>ACREEDORES A CORTO PLAZO (Pasivo Corriente)</t>
  </si>
  <si>
    <t>Plazo (AÑOS)</t>
  </si>
  <si>
    <t>Periodos de pago (años)</t>
  </si>
  <si>
    <t>Reparto de dividendos</t>
  </si>
  <si>
    <t>INGRESOS</t>
  </si>
  <si>
    <t xml:space="preserve">AÑO 1 </t>
  </si>
  <si>
    <t xml:space="preserve">Redes sociales </t>
  </si>
  <si>
    <t>Estimacion Amortizacion anual</t>
  </si>
  <si>
    <t xml:space="preserve">Sueldos </t>
  </si>
  <si>
    <t>Servicio Profesionales externos</t>
  </si>
  <si>
    <t xml:space="preserve">Total activos no corrientes </t>
  </si>
  <si>
    <t>Datos</t>
  </si>
  <si>
    <t>BAIT (EBIT)</t>
  </si>
  <si>
    <t>Activos totales</t>
  </si>
  <si>
    <t>P y G</t>
  </si>
  <si>
    <t>TOTAL GASTOS ESTRUCTURA</t>
  </si>
  <si>
    <t>BAAIT (EBITDA)</t>
  </si>
  <si>
    <t xml:space="preserve">BAT (EBT) </t>
  </si>
  <si>
    <t>BENEFICIO NETO</t>
  </si>
  <si>
    <t>Beneficio Neto</t>
  </si>
  <si>
    <t>Capital social</t>
  </si>
  <si>
    <t>Rentabilidad financiera (Beneficio/Patrimonio)x100</t>
  </si>
  <si>
    <t>Rentabilidad económica (Beneficio/Activos)x100</t>
  </si>
  <si>
    <t>Rentabilidad sobre Ventas (Beneficio/ventas)x100</t>
  </si>
  <si>
    <t>Patrimonio (Recursos Propios)</t>
  </si>
  <si>
    <t>Rentabilidad de capital  (Beneficio/Capital)x100</t>
  </si>
  <si>
    <t>Patrimonio 4º año</t>
  </si>
  <si>
    <t>Activos 4º año</t>
  </si>
  <si>
    <t xml:space="preserve">Capital social </t>
  </si>
  <si>
    <t>Venta kits con dispositivos telemáticos (100€ ud)</t>
  </si>
  <si>
    <t xml:space="preserve">Precio </t>
  </si>
  <si>
    <t xml:space="preserve">Inmovilizado material </t>
  </si>
  <si>
    <t>I+D</t>
  </si>
  <si>
    <t>Amortización acumulada</t>
  </si>
  <si>
    <t>Inmovilizado financiero</t>
  </si>
  <si>
    <t>Existencias</t>
  </si>
  <si>
    <t>Deudores</t>
  </si>
  <si>
    <t>Caja y Bancos</t>
  </si>
  <si>
    <t>Fondos propios (Reservas AcumuladAs de PyG anteriores)</t>
  </si>
  <si>
    <t>Préstamos a largo plazo</t>
  </si>
  <si>
    <t>Otros</t>
  </si>
  <si>
    <t>Préstamos a Corto Plazo</t>
  </si>
  <si>
    <t>Acreedores (Proveedores)</t>
  </si>
  <si>
    <t>Gastos financieros</t>
  </si>
  <si>
    <t>Devolución préstamos a corto plazo</t>
  </si>
  <si>
    <t>Devolución préstamos a largo plazo</t>
  </si>
  <si>
    <t>Dividendos</t>
  </si>
  <si>
    <t>Inversiones</t>
  </si>
  <si>
    <t>Otros ingresos</t>
  </si>
  <si>
    <t>Otras aportaciones</t>
  </si>
  <si>
    <t>Aportación de capital</t>
  </si>
  <si>
    <t>Préstamos a corto plazo</t>
  </si>
  <si>
    <t>Subvenciones</t>
  </si>
  <si>
    <t>Saldo inicial a comienzos año</t>
  </si>
  <si>
    <t>SALDO CAJA FINAL DE AÑO</t>
  </si>
  <si>
    <t>Costes Cloud y Servidor Virtual</t>
  </si>
  <si>
    <t>Costes cloud y servidores</t>
  </si>
  <si>
    <t>GASTOS VARIABLES (asociados a la ventas)</t>
  </si>
  <si>
    <t>ANALISIS DE RENTABILIDADES</t>
  </si>
  <si>
    <t>Los 2 primeros años se pierde Patrimonio</t>
  </si>
  <si>
    <t>Ingresos por publicidad (5€ por usuario al año)</t>
  </si>
  <si>
    <t>SUMINISTROS</t>
  </si>
  <si>
    <t>MARKETING</t>
  </si>
  <si>
    <t>Es conveniente hacer previsiones de tesorería mensuales (Cuando realmente hay que efectuar los pagos)</t>
  </si>
  <si>
    <t>Sueldo bruto</t>
  </si>
  <si>
    <t>PREVISION GASTOS TOTALES</t>
  </si>
  <si>
    <t>(-) Gastos financieros</t>
  </si>
  <si>
    <t>(-) Amortizaciones</t>
  </si>
  <si>
    <t>(-) Impuesto sociedades (22%)</t>
  </si>
  <si>
    <t>Ventas acumulado 4 años</t>
  </si>
  <si>
    <t>Beneficio acumulado 4 años</t>
  </si>
  <si>
    <t>Rentabilidades</t>
  </si>
  <si>
    <t>Acumulado</t>
  </si>
  <si>
    <t>Coste Servicio / Producto</t>
  </si>
  <si>
    <t>Cuota Premium Plus (año)</t>
  </si>
  <si>
    <t xml:space="preserve">Nº total usuarios acumulados </t>
  </si>
  <si>
    <t>Nº de usuarios nuevos cada año (compran kit)</t>
  </si>
  <si>
    <t>Total Ingresos anuales previstos</t>
  </si>
  <si>
    <t>Compra dispositivos electrónicos</t>
  </si>
  <si>
    <t>Compra de dispositivos electrónicos (coste = 1/3 del precio venta)</t>
  </si>
  <si>
    <t>Total sueldos (sin S.S.)</t>
  </si>
  <si>
    <t>TOTAL GASTOS PERSONAL</t>
  </si>
  <si>
    <t>Se deberán utilizar Pólizas de Crédito para solucionar problemas de tesorería puntuales en algunos pagos mensuales</t>
  </si>
  <si>
    <t>PASIVO</t>
  </si>
  <si>
    <t>Ferias del sector</t>
  </si>
  <si>
    <t>Visitas comerciales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</si>
</sst>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* #,##0\ _€_-;\-* #,##0\ _€_-;_-* &quot;-&quot;\ _€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_-* #,##0\ &quot;€&quot;_-;\-* #,##0\ &quot;€&quot;_-;_-* &quot;-&quot;??\ &quot;€&quot;_-;_-@_-"/>
    <numFmt numFmtId="168" formatCode="0.0_ ;\-0.0\ "/>
    <numFmt numFmtId="169" formatCode="#,##0_ ;\-#,##0\ "/>
    <numFmt numFmtId="170" formatCode="_-* #,##0\ _p_t_a_-;\-* #,##0\ _p_t_a_-;_-* &quot;-&quot;\ _p_t_a_-;_-@_-"/>
    <numFmt numFmtId="171" formatCode="0.000%"/>
    <numFmt numFmtId="172" formatCode="0.0000%"/>
    <numFmt numFmtId="173" formatCode="0_ ;\-0\ "/>
  </numFmts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Arial"/>
      <family val="2"/>
    </font>
    <font>
      <sz val="10"/>
      <color rgb="FF008000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008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0" tint="-0.499984740745262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sz val="9"/>
      <name val="Arial"/>
      <family val="2"/>
    </font>
    <font>
      <b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29">
    <xf numFmtId="0" fontId="0" fillId="0" borderId="0"/>
    <xf numFmtId="165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7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3" fontId="11" fillId="0" borderId="0" xfId="0" applyNumberFormat="1" applyFont="1"/>
    <xf numFmtId="3" fontId="11" fillId="0" borderId="0" xfId="79" applyNumberFormat="1" applyFont="1" applyFill="1" applyBorder="1"/>
    <xf numFmtId="0" fontId="12" fillId="0" borderId="20" xfId="0" applyFont="1" applyBorder="1"/>
    <xf numFmtId="3" fontId="11" fillId="0" borderId="21" xfId="79" applyNumberFormat="1" applyFont="1" applyFill="1" applyBorder="1"/>
    <xf numFmtId="3" fontId="11" fillId="0" borderId="22" xfId="79" applyNumberFormat="1" applyFont="1" applyFill="1" applyBorder="1"/>
    <xf numFmtId="3" fontId="11" fillId="0" borderId="24" xfId="79" applyNumberFormat="1" applyFont="1" applyFill="1" applyBorder="1"/>
    <xf numFmtId="3" fontId="8" fillId="0" borderId="0" xfId="0" applyNumberFormat="1" applyFont="1"/>
    <xf numFmtId="0" fontId="11" fillId="0" borderId="0" xfId="0" applyFont="1"/>
    <xf numFmtId="3" fontId="11" fillId="0" borderId="0" xfId="79" applyNumberFormat="1" applyFont="1" applyFill="1"/>
    <xf numFmtId="0" fontId="11" fillId="0" borderId="23" xfId="0" applyFont="1" applyBorder="1"/>
    <xf numFmtId="3" fontId="14" fillId="0" borderId="29" xfId="0" applyNumberFormat="1" applyFont="1" applyBorder="1"/>
    <xf numFmtId="3" fontId="9" fillId="0" borderId="3" xfId="0" applyNumberFormat="1" applyFont="1" applyBorder="1" applyAlignment="1">
      <alignment horizontal="right"/>
    </xf>
    <xf numFmtId="3" fontId="9" fillId="0" borderId="31" xfId="0" applyNumberFormat="1" applyFont="1" applyBorder="1" applyAlignment="1">
      <alignment horizontal="center"/>
    </xf>
    <xf numFmtId="3" fontId="14" fillId="0" borderId="0" xfId="0" applyNumberFormat="1" applyFont="1"/>
    <xf numFmtId="0" fontId="14" fillId="0" borderId="0" xfId="0" applyFont="1"/>
    <xf numFmtId="3" fontId="14" fillId="0" borderId="27" xfId="0" applyNumberFormat="1" applyFont="1" applyBorder="1"/>
    <xf numFmtId="3" fontId="14" fillId="0" borderId="28" xfId="0" applyNumberFormat="1" applyFont="1" applyBorder="1"/>
    <xf numFmtId="3" fontId="9" fillId="0" borderId="29" xfId="0" applyNumberFormat="1" applyFont="1" applyBorder="1" applyAlignment="1">
      <alignment horizontal="center"/>
    </xf>
    <xf numFmtId="3" fontId="14" fillId="0" borderId="24" xfId="0" applyNumberFormat="1" applyFont="1" applyBorder="1"/>
    <xf numFmtId="3" fontId="14" fillId="0" borderId="25" xfId="0" applyNumberFormat="1" applyFont="1" applyBorder="1"/>
    <xf numFmtId="3" fontId="14" fillId="0" borderId="30" xfId="0" applyNumberFormat="1" applyFont="1" applyBorder="1"/>
    <xf numFmtId="3" fontId="15" fillId="0" borderId="4" xfId="0" applyNumberFormat="1" applyFont="1" applyBorder="1" applyAlignment="1">
      <alignment horizontal="right"/>
    </xf>
    <xf numFmtId="3" fontId="14" fillId="0" borderId="32" xfId="0" applyNumberFormat="1" applyFont="1" applyBorder="1"/>
    <xf numFmtId="0" fontId="10" fillId="0" borderId="1" xfId="0" applyFont="1" applyBorder="1"/>
    <xf numFmtId="0" fontId="8" fillId="0" borderId="1" xfId="0" applyFont="1" applyBorder="1"/>
    <xf numFmtId="169" fontId="10" fillId="0" borderId="3" xfId="1" applyNumberFormat="1" applyFont="1" applyFill="1" applyBorder="1"/>
    <xf numFmtId="169" fontId="8" fillId="0" borderId="3" xfId="1" applyNumberFormat="1" applyFont="1" applyFill="1" applyBorder="1"/>
    <xf numFmtId="169" fontId="10" fillId="0" borderId="4" xfId="1" applyNumberFormat="1" applyFont="1" applyFill="1" applyBorder="1"/>
    <xf numFmtId="0" fontId="8" fillId="0" borderId="0" xfId="0" applyFont="1" applyAlignment="1">
      <alignment horizontal="right"/>
    </xf>
    <xf numFmtId="3" fontId="10" fillId="0" borderId="3" xfId="1" applyNumberFormat="1" applyFont="1" applyFill="1" applyBorder="1" applyAlignment="1">
      <alignment horizontal="right"/>
    </xf>
    <xf numFmtId="3" fontId="8" fillId="0" borderId="3" xfId="1" applyNumberFormat="1" applyFont="1" applyFill="1" applyBorder="1" applyAlignment="1">
      <alignment horizontal="right"/>
    </xf>
    <xf numFmtId="3" fontId="10" fillId="0" borderId="4" xfId="1" applyNumberFormat="1" applyFont="1" applyFill="1" applyBorder="1" applyAlignment="1">
      <alignment horizontal="right"/>
    </xf>
    <xf numFmtId="0" fontId="12" fillId="0" borderId="38" xfId="0" applyFont="1" applyBorder="1"/>
    <xf numFmtId="3" fontId="11" fillId="0" borderId="19" xfId="79" applyNumberFormat="1" applyFont="1" applyFill="1" applyBorder="1"/>
    <xf numFmtId="3" fontId="11" fillId="0" borderId="34" xfId="79" applyNumberFormat="1" applyFont="1" applyFill="1" applyBorder="1"/>
    <xf numFmtId="0" fontId="11" fillId="0" borderId="35" xfId="0" applyFont="1" applyBorder="1"/>
    <xf numFmtId="3" fontId="11" fillId="0" borderId="36" xfId="79" applyNumberFormat="1" applyFont="1" applyFill="1" applyBorder="1"/>
    <xf numFmtId="3" fontId="11" fillId="0" borderId="37" xfId="79" applyNumberFormat="1" applyFont="1" applyFill="1" applyBorder="1"/>
    <xf numFmtId="3" fontId="0" fillId="0" borderId="0" xfId="0" applyNumberFormat="1"/>
    <xf numFmtId="0" fontId="13" fillId="0" borderId="38" xfId="0" applyFont="1" applyBorder="1" applyAlignment="1">
      <alignment horizontal="right"/>
    </xf>
    <xf numFmtId="0" fontId="12" fillId="0" borderId="0" xfId="0" applyFont="1"/>
    <xf numFmtId="0" fontId="11" fillId="0" borderId="39" xfId="0" applyFont="1" applyBorder="1"/>
    <xf numFmtId="164" fontId="11" fillId="0" borderId="0" xfId="79" applyFont="1" applyAlignment="1">
      <alignment horizontal="center"/>
    </xf>
    <xf numFmtId="0" fontId="11" fillId="0" borderId="40" xfId="0" applyFont="1" applyBorder="1"/>
    <xf numFmtId="9" fontId="11" fillId="0" borderId="0" xfId="0" applyNumberFormat="1" applyFont="1" applyAlignment="1">
      <alignment horizontal="center"/>
    </xf>
    <xf numFmtId="171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37" xfId="79" applyFont="1" applyBorder="1" applyAlignment="1">
      <alignment horizontal="center"/>
    </xf>
    <xf numFmtId="164" fontId="11" fillId="0" borderId="24" xfId="79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170" fontId="11" fillId="0" borderId="24" xfId="0" applyNumberFormat="1" applyFont="1" applyBorder="1" applyAlignment="1">
      <alignment horizontal="center"/>
    </xf>
    <xf numFmtId="164" fontId="11" fillId="0" borderId="0" xfId="79" applyFont="1"/>
    <xf numFmtId="0" fontId="11" fillId="0" borderId="38" xfId="0" applyFont="1" applyBorder="1"/>
    <xf numFmtId="171" fontId="11" fillId="0" borderId="34" xfId="110" applyNumberFormat="1" applyFont="1" applyBorder="1" applyAlignment="1">
      <alignment horizontal="center"/>
    </xf>
    <xf numFmtId="172" fontId="11" fillId="0" borderId="0" xfId="0" applyNumberFormat="1" applyFont="1"/>
    <xf numFmtId="172" fontId="11" fillId="0" borderId="0" xfId="79" applyNumberFormat="1" applyFont="1"/>
    <xf numFmtId="0" fontId="17" fillId="0" borderId="0" xfId="0" applyFont="1"/>
    <xf numFmtId="0" fontId="11" fillId="0" borderId="33" xfId="0" applyFont="1" applyBorder="1"/>
    <xf numFmtId="0" fontId="11" fillId="0" borderId="4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170" fontId="11" fillId="0" borderId="41" xfId="0" applyNumberFormat="1" applyFont="1" applyBorder="1" applyAlignment="1">
      <alignment vertical="center" wrapText="1"/>
    </xf>
    <xf numFmtId="0" fontId="11" fillId="0" borderId="41" xfId="0" applyFont="1" applyBorder="1" applyAlignment="1">
      <alignment horizontal="center"/>
    </xf>
    <xf numFmtId="164" fontId="11" fillId="0" borderId="41" xfId="79" applyFont="1" applyBorder="1" applyAlignment="1">
      <alignment horizontal="center"/>
    </xf>
    <xf numFmtId="164" fontId="11" fillId="0" borderId="41" xfId="79" applyFont="1" applyBorder="1" applyAlignment="1"/>
    <xf numFmtId="170" fontId="11" fillId="0" borderId="41" xfId="0" applyNumberFormat="1" applyFont="1" applyBorder="1" applyAlignment="1">
      <alignment horizontal="center"/>
    </xf>
    <xf numFmtId="164" fontId="11" fillId="0" borderId="0" xfId="79" applyFont="1" applyAlignment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20" fillId="0" borderId="0" xfId="0" applyNumberFormat="1" applyFont="1"/>
    <xf numFmtId="164" fontId="21" fillId="0" borderId="0" xfId="79" applyFont="1" applyBorder="1" applyAlignment="1">
      <alignment horizontal="center"/>
    </xf>
    <xf numFmtId="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0" fontId="21" fillId="0" borderId="0" xfId="0" applyNumberFormat="1" applyFont="1" applyAlignment="1">
      <alignment horizontal="center"/>
    </xf>
    <xf numFmtId="0" fontId="10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10" fillId="0" borderId="0" xfId="0" applyFont="1" applyAlignment="1">
      <alignment horizontal="center"/>
    </xf>
    <xf numFmtId="167" fontId="23" fillId="0" borderId="0" xfId="28" applyNumberFormat="1" applyFont="1" applyAlignment="1"/>
    <xf numFmtId="0" fontId="23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7" fontId="22" fillId="0" borderId="8" xfId="28" applyNumberFormat="1" applyFont="1" applyBorder="1" applyAlignment="1">
      <alignment horizontal="center"/>
    </xf>
    <xf numFmtId="167" fontId="24" fillId="0" borderId="0" xfId="28" applyNumberFormat="1" applyFont="1" applyAlignment="1">
      <alignment horizontal="center"/>
    </xf>
    <xf numFmtId="0" fontId="22" fillId="0" borderId="7" xfId="0" applyFont="1" applyBorder="1" applyAlignment="1">
      <alignment horizontal="center"/>
    </xf>
    <xf numFmtId="0" fontId="25" fillId="2" borderId="0" xfId="0" applyFont="1" applyFill="1"/>
    <xf numFmtId="0" fontId="26" fillId="2" borderId="5" xfId="0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166" fontId="23" fillId="0" borderId="0" xfId="1" applyNumberFormat="1" applyFont="1"/>
    <xf numFmtId="168" fontId="23" fillId="0" borderId="7" xfId="1" applyNumberFormat="1" applyFont="1" applyBorder="1" applyAlignment="1">
      <alignment horizontal="center"/>
    </xf>
    <xf numFmtId="166" fontId="22" fillId="0" borderId="8" xfId="1" applyNumberFormat="1" applyFont="1" applyBorder="1"/>
    <xf numFmtId="166" fontId="22" fillId="0" borderId="0" xfId="1" applyNumberFormat="1" applyFont="1"/>
    <xf numFmtId="0" fontId="10" fillId="0" borderId="7" xfId="0" applyFont="1" applyBorder="1" applyAlignment="1">
      <alignment horizontal="center"/>
    </xf>
    <xf numFmtId="0" fontId="27" fillId="0" borderId="0" xfId="0" applyFont="1" applyAlignment="1">
      <alignment horizontal="right"/>
    </xf>
    <xf numFmtId="166" fontId="25" fillId="0" borderId="0" xfId="1" applyNumberFormat="1" applyFont="1" applyAlignment="1">
      <alignment horizontal="right"/>
    </xf>
    <xf numFmtId="0" fontId="28" fillId="0" borderId="0" xfId="0" applyFont="1"/>
    <xf numFmtId="0" fontId="30" fillId="0" borderId="0" xfId="0" applyFont="1"/>
    <xf numFmtId="166" fontId="25" fillId="0" borderId="0" xfId="0" applyNumberFormat="1" applyFont="1" applyAlignment="1">
      <alignment horizontal="center"/>
    </xf>
    <xf numFmtId="0" fontId="10" fillId="2" borderId="0" xfId="0" applyFont="1" applyFill="1"/>
    <xf numFmtId="166" fontId="10" fillId="0" borderId="0" xfId="1" applyNumberFormat="1" applyFont="1" applyAlignment="1">
      <alignment horizontal="center"/>
    </xf>
    <xf numFmtId="0" fontId="31" fillId="0" borderId="0" xfId="0" applyFont="1"/>
    <xf numFmtId="0" fontId="31" fillId="0" borderId="11" xfId="0" applyFont="1" applyBorder="1" applyAlignment="1">
      <alignment horizontal="left"/>
    </xf>
    <xf numFmtId="166" fontId="23" fillId="0" borderId="12" xfId="1" applyNumberFormat="1" applyFont="1" applyBorder="1" applyAlignment="1">
      <alignment horizontal="center"/>
    </xf>
    <xf numFmtId="166" fontId="23" fillId="0" borderId="13" xfId="1" applyNumberFormat="1" applyFont="1" applyBorder="1" applyAlignment="1">
      <alignment horizontal="center"/>
    </xf>
    <xf numFmtId="0" fontId="31" fillId="0" borderId="14" xfId="0" applyFont="1" applyBorder="1" applyAlignment="1">
      <alignment horizontal="left"/>
    </xf>
    <xf numFmtId="166" fontId="23" fillId="0" borderId="0" xfId="1" applyNumberFormat="1" applyFont="1" applyBorder="1" applyAlignment="1">
      <alignment horizontal="center"/>
    </xf>
    <xf numFmtId="166" fontId="23" fillId="0" borderId="15" xfId="1" applyNumberFormat="1" applyFont="1" applyBorder="1" applyAlignment="1">
      <alignment horizontal="center"/>
    </xf>
    <xf numFmtId="166" fontId="25" fillId="0" borderId="17" xfId="1" applyNumberFormat="1" applyFont="1" applyBorder="1" applyAlignment="1">
      <alignment horizontal="center"/>
    </xf>
    <xf numFmtId="166" fontId="25" fillId="0" borderId="18" xfId="1" applyNumberFormat="1" applyFont="1" applyBorder="1" applyAlignment="1">
      <alignment horizont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vertical="center"/>
    </xf>
    <xf numFmtId="166" fontId="22" fillId="0" borderId="0" xfId="1" applyNumberFormat="1" applyFont="1" applyAlignment="1">
      <alignment horizontal="center"/>
    </xf>
    <xf numFmtId="166" fontId="10" fillId="0" borderId="17" xfId="1" applyNumberFormat="1" applyFont="1" applyBorder="1" applyAlignment="1">
      <alignment horizontal="center"/>
    </xf>
    <xf numFmtId="166" fontId="10" fillId="0" borderId="18" xfId="1" applyNumberFormat="1" applyFont="1" applyBorder="1" applyAlignment="1">
      <alignment horizontal="center"/>
    </xf>
    <xf numFmtId="0" fontId="29" fillId="0" borderId="0" xfId="0" applyFont="1" applyAlignment="1">
      <alignment horizontal="left" vertical="center"/>
    </xf>
    <xf numFmtId="166" fontId="24" fillId="0" borderId="0" xfId="1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32" fillId="3" borderId="6" xfId="0" applyFont="1" applyFill="1" applyBorder="1" applyAlignment="1">
      <alignment horizontal="center"/>
    </xf>
    <xf numFmtId="0" fontId="8" fillId="3" borderId="0" xfId="0" applyFont="1" applyFill="1"/>
    <xf numFmtId="0" fontId="22" fillId="3" borderId="0" xfId="0" applyFont="1" applyFill="1" applyAlignment="1">
      <alignment horizontal="center"/>
    </xf>
    <xf numFmtId="0" fontId="11" fillId="3" borderId="19" xfId="0" applyFont="1" applyFill="1" applyBorder="1"/>
    <xf numFmtId="3" fontId="12" fillId="3" borderId="0" xfId="0" applyNumberFormat="1" applyFont="1" applyFill="1" applyAlignment="1">
      <alignment horizontal="center"/>
    </xf>
    <xf numFmtId="3" fontId="9" fillId="3" borderId="0" xfId="0" applyNumberFormat="1" applyFont="1" applyFill="1" applyAlignment="1">
      <alignment horizontal="center"/>
    </xf>
    <xf numFmtId="0" fontId="30" fillId="3" borderId="0" xfId="0" applyFont="1" applyFill="1" applyAlignment="1">
      <alignment vertical="center"/>
    </xf>
    <xf numFmtId="3" fontId="33" fillId="0" borderId="3" xfId="1" applyNumberFormat="1" applyFont="1" applyFill="1" applyBorder="1" applyAlignment="1">
      <alignment horizontal="right"/>
    </xf>
    <xf numFmtId="169" fontId="33" fillId="0" borderId="3" xfId="1" applyNumberFormat="1" applyFont="1" applyFill="1" applyBorder="1"/>
    <xf numFmtId="0" fontId="10" fillId="3" borderId="0" xfId="0" applyFont="1" applyFill="1" applyAlignment="1">
      <alignment horizontal="right"/>
    </xf>
    <xf numFmtId="167" fontId="10" fillId="3" borderId="0" xfId="28" applyNumberFormat="1" applyFont="1" applyFill="1" applyAlignment="1">
      <alignment horizontal="center"/>
    </xf>
    <xf numFmtId="0" fontId="10" fillId="3" borderId="2" xfId="0" applyFont="1" applyFill="1" applyBorder="1" applyAlignment="1">
      <alignment horizontal="right"/>
    </xf>
    <xf numFmtId="0" fontId="12" fillId="3" borderId="20" xfId="0" applyFont="1" applyFill="1" applyBorder="1" applyAlignment="1">
      <alignment horizontal="right"/>
    </xf>
    <xf numFmtId="3" fontId="12" fillId="3" borderId="21" xfId="79" applyNumberFormat="1" applyFont="1" applyFill="1" applyBorder="1"/>
    <xf numFmtId="3" fontId="12" fillId="3" borderId="22" xfId="79" applyNumberFormat="1" applyFont="1" applyFill="1" applyBorder="1"/>
    <xf numFmtId="0" fontId="12" fillId="4" borderId="35" xfId="0" applyFont="1" applyFill="1" applyBorder="1"/>
    <xf numFmtId="3" fontId="12" fillId="4" borderId="36" xfId="79" applyNumberFormat="1" applyFont="1" applyFill="1" applyBorder="1"/>
    <xf numFmtId="3" fontId="12" fillId="4" borderId="37" xfId="79" applyNumberFormat="1" applyFont="1" applyFill="1" applyBorder="1"/>
    <xf numFmtId="0" fontId="12" fillId="2" borderId="23" xfId="0" applyFont="1" applyFill="1" applyBorder="1"/>
    <xf numFmtId="3" fontId="12" fillId="2" borderId="0" xfId="79" applyNumberFormat="1" applyFont="1" applyFill="1" applyBorder="1"/>
    <xf numFmtId="0" fontId="34" fillId="0" borderId="11" xfId="0" applyFont="1" applyBorder="1" applyAlignment="1">
      <alignment vertical="center"/>
    </xf>
    <xf numFmtId="0" fontId="10" fillId="4" borderId="1" xfId="0" applyFont="1" applyFill="1" applyBorder="1"/>
    <xf numFmtId="3" fontId="10" fillId="4" borderId="3" xfId="1" applyNumberFormat="1" applyFont="1" applyFill="1" applyBorder="1" applyAlignment="1">
      <alignment horizontal="right"/>
    </xf>
    <xf numFmtId="169" fontId="10" fillId="4" borderId="3" xfId="1" applyNumberFormat="1" applyFont="1" applyFill="1" applyBorder="1"/>
    <xf numFmtId="0" fontId="10" fillId="5" borderId="1" xfId="0" applyFont="1" applyFill="1" applyBorder="1"/>
    <xf numFmtId="3" fontId="10" fillId="5" borderId="3" xfId="1" applyNumberFormat="1" applyFont="1" applyFill="1" applyBorder="1" applyAlignment="1">
      <alignment horizontal="right"/>
    </xf>
    <xf numFmtId="0" fontId="10" fillId="0" borderId="0" xfId="0" applyFont="1" applyAlignment="1">
      <alignment horizontal="right" indent="3"/>
    </xf>
    <xf numFmtId="0" fontId="10" fillId="5" borderId="0" xfId="0" applyFont="1" applyFill="1" applyAlignment="1">
      <alignment horizontal="center"/>
    </xf>
    <xf numFmtId="166" fontId="10" fillId="5" borderId="0" xfId="0" applyNumberFormat="1" applyFont="1" applyFill="1" applyAlignment="1">
      <alignment horizontal="center"/>
    </xf>
    <xf numFmtId="0" fontId="18" fillId="0" borderId="0" xfId="0" applyFont="1"/>
    <xf numFmtId="0" fontId="35" fillId="0" borderId="0" xfId="0" applyFont="1"/>
    <xf numFmtId="0" fontId="36" fillId="0" borderId="0" xfId="0" applyFont="1"/>
    <xf numFmtId="167" fontId="22" fillId="0" borderId="0" xfId="28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left"/>
    </xf>
    <xf numFmtId="3" fontId="14" fillId="0" borderId="42" xfId="0" applyNumberFormat="1" applyFont="1" applyBorder="1"/>
    <xf numFmtId="0" fontId="38" fillId="0" borderId="0" xfId="0" applyFont="1"/>
    <xf numFmtId="3" fontId="14" fillId="0" borderId="8" xfId="0" applyNumberFormat="1" applyFont="1" applyBorder="1"/>
    <xf numFmtId="0" fontId="39" fillId="0" borderId="23" xfId="0" applyFont="1" applyBorder="1" applyAlignment="1">
      <alignment horizontal="left"/>
    </xf>
    <xf numFmtId="0" fontId="39" fillId="0" borderId="38" xfId="0" applyFont="1" applyBorder="1" applyAlignment="1">
      <alignment horizontal="right"/>
    </xf>
    <xf numFmtId="0" fontId="28" fillId="0" borderId="16" xfId="0" applyFont="1" applyBorder="1"/>
    <xf numFmtId="0" fontId="28" fillId="0" borderId="16" xfId="0" applyFont="1" applyBorder="1" applyAlignment="1">
      <alignment horizontal="left" vertical="center"/>
    </xf>
    <xf numFmtId="0" fontId="7" fillId="6" borderId="1" xfId="0" applyFont="1" applyFill="1" applyBorder="1"/>
    <xf numFmtId="3" fontId="8" fillId="6" borderId="3" xfId="1" applyNumberFormat="1" applyFont="1" applyFill="1" applyBorder="1" applyAlignment="1">
      <alignment horizontal="right"/>
    </xf>
    <xf numFmtId="0" fontId="10" fillId="6" borderId="1" xfId="0" applyFont="1" applyFill="1" applyBorder="1"/>
    <xf numFmtId="3" fontId="10" fillId="6" borderId="3" xfId="1" applyNumberFormat="1" applyFont="1" applyFill="1" applyBorder="1" applyAlignment="1">
      <alignment horizontal="right"/>
    </xf>
    <xf numFmtId="169" fontId="10" fillId="6" borderId="3" xfId="1" applyNumberFormat="1" applyFont="1" applyFill="1" applyBorder="1"/>
    <xf numFmtId="0" fontId="40" fillId="0" borderId="0" xfId="0" applyFont="1"/>
    <xf numFmtId="3" fontId="19" fillId="0" borderId="5" xfId="0" applyNumberFormat="1" applyFont="1" applyBorder="1"/>
    <xf numFmtId="3" fontId="19" fillId="0" borderId="7" xfId="0" applyNumberFormat="1" applyFont="1" applyBorder="1"/>
    <xf numFmtId="3" fontId="19" fillId="0" borderId="9" xfId="0" applyNumberFormat="1" applyFont="1" applyBorder="1"/>
    <xf numFmtId="0" fontId="19" fillId="0" borderId="6" xfId="0" applyFont="1" applyBorder="1"/>
    <xf numFmtId="0" fontId="19" fillId="0" borderId="8" xfId="0" applyFont="1" applyBorder="1"/>
    <xf numFmtId="0" fontId="19" fillId="0" borderId="10" xfId="0" applyFont="1" applyBorder="1"/>
    <xf numFmtId="0" fontId="19" fillId="8" borderId="0" xfId="0" applyFont="1" applyFill="1" applyAlignment="1">
      <alignment horizontal="right"/>
    </xf>
    <xf numFmtId="0" fontId="36" fillId="8" borderId="0" xfId="0" applyFont="1" applyFill="1"/>
    <xf numFmtId="0" fontId="35" fillId="2" borderId="0" xfId="0" applyFont="1" applyFill="1"/>
    <xf numFmtId="0" fontId="19" fillId="2" borderId="0" xfId="0" applyFont="1" applyFill="1" applyAlignment="1">
      <alignment horizontal="right"/>
    </xf>
    <xf numFmtId="10" fontId="0" fillId="0" borderId="0" xfId="0" applyNumberFormat="1"/>
    <xf numFmtId="10" fontId="0" fillId="7" borderId="0" xfId="0" applyNumberFormat="1" applyFill="1"/>
    <xf numFmtId="167" fontId="22" fillId="0" borderId="7" xfId="28" applyNumberFormat="1" applyFont="1" applyBorder="1" applyAlignment="1">
      <alignment horizontal="center"/>
    </xf>
    <xf numFmtId="173" fontId="23" fillId="0" borderId="7" xfId="1" applyNumberFormat="1" applyFont="1" applyBorder="1" applyAlignment="1">
      <alignment horizontal="center"/>
    </xf>
    <xf numFmtId="166" fontId="10" fillId="0" borderId="8" xfId="1" applyNumberFormat="1" applyFont="1" applyBorder="1"/>
    <xf numFmtId="166" fontId="25" fillId="0" borderId="0" xfId="1" applyNumberFormat="1" applyFont="1" applyAlignment="1">
      <alignment horizontal="center"/>
    </xf>
    <xf numFmtId="0" fontId="10" fillId="9" borderId="1" xfId="0" applyFont="1" applyFill="1" applyBorder="1"/>
    <xf numFmtId="3" fontId="10" fillId="9" borderId="3" xfId="1" applyNumberFormat="1" applyFont="1" applyFill="1" applyBorder="1" applyAlignment="1">
      <alignment horizontal="right"/>
    </xf>
    <xf numFmtId="169" fontId="10" fillId="9" borderId="3" xfId="1" applyNumberFormat="1" applyFont="1" applyFill="1" applyBorder="1"/>
    <xf numFmtId="3" fontId="9" fillId="3" borderId="0" xfId="0" applyNumberFormat="1" applyFont="1" applyFill="1" applyAlignment="1">
      <alignment horizontal="right"/>
    </xf>
    <xf numFmtId="3" fontId="11" fillId="2" borderId="19" xfId="79" applyNumberFormat="1" applyFont="1" applyFill="1" applyBorder="1"/>
    <xf numFmtId="3" fontId="11" fillId="2" borderId="34" xfId="79" applyNumberFormat="1" applyFont="1" applyFill="1" applyBorder="1"/>
    <xf numFmtId="3" fontId="37" fillId="0" borderId="1" xfId="0" applyNumberFormat="1" applyFont="1" applyBorder="1" applyAlignment="1">
      <alignment horizontal="center"/>
    </xf>
    <xf numFmtId="3" fontId="37" fillId="0" borderId="25" xfId="0" applyNumberFormat="1" applyFont="1" applyBorder="1" applyAlignment="1">
      <alignment horizontal="center"/>
    </xf>
    <xf numFmtId="3" fontId="37" fillId="0" borderId="26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2" borderId="20" xfId="0" applyFont="1" applyFill="1" applyBorder="1"/>
  </cellXfs>
  <cellStyles count="12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Millares" xfId="1" builtinId="3"/>
    <cellStyle name="Millares [0]" xfId="79" builtinId="6"/>
    <cellStyle name="Moneda" xfId="28" builtinId="4"/>
    <cellStyle name="Normal" xfId="0" builtinId="0"/>
    <cellStyle name="Porcentaje" xfId="1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zoomScaleNormal="100" zoomScalePageLayoutView="125" workbookViewId="0">
      <selection activeCell="E17" sqref="E17"/>
    </sheetView>
  </sheetViews>
  <sheetFormatPr baseColWidth="10" defaultColWidth="10.85546875" defaultRowHeight="15" x14ac:dyDescent="0.35"/>
  <cols>
    <col min="1" max="1" width="3.85546875" style="2" customWidth="1"/>
    <col min="2" max="2" width="41.5703125" style="2" customWidth="1"/>
    <col min="3" max="3" width="7.42578125" style="1" customWidth="1"/>
    <col min="4" max="4" width="10.140625" style="1" customWidth="1"/>
    <col min="5" max="5" width="10" style="1" customWidth="1"/>
    <col min="6" max="6" width="10.2109375" style="1" customWidth="1"/>
    <col min="7" max="7" width="10.35546875" style="1" customWidth="1"/>
    <col min="8" max="8" width="11" style="1" bestFit="1" customWidth="1"/>
    <col min="9" max="9" width="10.85546875" style="1" customWidth="1"/>
    <col min="10" max="10" width="10.35546875" style="1" customWidth="1"/>
    <col min="11" max="11" width="12.140625" style="1" customWidth="1"/>
    <col min="12" max="16384" width="10.85546875" style="2"/>
  </cols>
  <sheetData>
    <row r="2" spans="2:11" ht="22.75" x14ac:dyDescent="0.55000000000000004">
      <c r="B2" s="158" t="s">
        <v>34</v>
      </c>
      <c r="C2" s="77"/>
      <c r="D2" s="77"/>
      <c r="E2" s="77"/>
      <c r="F2" s="77"/>
      <c r="G2" s="77"/>
      <c r="H2" s="77"/>
      <c r="I2" s="77"/>
      <c r="J2" s="77"/>
      <c r="K2" s="77"/>
    </row>
    <row r="3" spans="2:11" x14ac:dyDescent="0.35">
      <c r="B3" s="78"/>
      <c r="C3" s="77"/>
      <c r="D3" s="77"/>
      <c r="E3" s="77"/>
      <c r="F3" s="77"/>
      <c r="G3" s="77"/>
      <c r="H3" s="77"/>
      <c r="I3" s="77"/>
      <c r="J3" s="77"/>
      <c r="K3" s="77"/>
    </row>
    <row r="4" spans="2:11" x14ac:dyDescent="0.35">
      <c r="B4" s="78"/>
      <c r="C4" s="77"/>
      <c r="E4" s="77"/>
      <c r="F4" s="77"/>
      <c r="G4" s="77"/>
      <c r="H4" s="77"/>
      <c r="I4" s="77"/>
      <c r="J4" s="77"/>
      <c r="K4" s="77"/>
    </row>
    <row r="5" spans="2:11" s="124" customFormat="1" ht="24" customHeight="1" x14ac:dyDescent="0.35">
      <c r="B5" s="120" t="s">
        <v>171</v>
      </c>
      <c r="C5" s="121" t="s">
        <v>128</v>
      </c>
      <c r="D5" s="122" t="s">
        <v>24</v>
      </c>
      <c r="E5" s="123" t="s">
        <v>0</v>
      </c>
      <c r="F5" s="122" t="s">
        <v>24</v>
      </c>
      <c r="G5" s="123" t="s">
        <v>1</v>
      </c>
      <c r="H5" s="122" t="s">
        <v>24</v>
      </c>
      <c r="I5" s="123" t="s">
        <v>2</v>
      </c>
      <c r="J5" s="122" t="s">
        <v>24</v>
      </c>
      <c r="K5" s="123" t="s">
        <v>23</v>
      </c>
    </row>
    <row r="6" spans="2:11" ht="19" customHeight="1" x14ac:dyDescent="0.35">
      <c r="B6" s="78" t="s">
        <v>95</v>
      </c>
      <c r="C6" s="80">
        <v>0</v>
      </c>
      <c r="D6" s="81">
        <v>2500</v>
      </c>
      <c r="E6" s="82"/>
      <c r="F6" s="81">
        <v>7500</v>
      </c>
      <c r="G6" s="82"/>
      <c r="H6" s="81">
        <v>12000</v>
      </c>
      <c r="I6" s="82"/>
      <c r="J6" s="81">
        <v>20000</v>
      </c>
      <c r="K6" s="82"/>
    </row>
    <row r="7" spans="2:11" x14ac:dyDescent="0.35">
      <c r="B7" s="78" t="s">
        <v>47</v>
      </c>
      <c r="C7" s="80">
        <v>75</v>
      </c>
      <c r="D7" s="81">
        <v>300</v>
      </c>
      <c r="E7" s="83">
        <f>C7*D7</f>
        <v>22500</v>
      </c>
      <c r="F7" s="81">
        <v>600</v>
      </c>
      <c r="G7" s="83">
        <f>C7*F7</f>
        <v>45000</v>
      </c>
      <c r="H7" s="81">
        <v>2000</v>
      </c>
      <c r="I7" s="83">
        <f>H7*C7</f>
        <v>150000</v>
      </c>
      <c r="J7" s="81">
        <v>3000</v>
      </c>
      <c r="K7" s="83">
        <f>J7*C7</f>
        <v>225000</v>
      </c>
    </row>
    <row r="8" spans="2:11" x14ac:dyDescent="0.35">
      <c r="B8" s="78" t="s">
        <v>172</v>
      </c>
      <c r="C8" s="80">
        <v>120</v>
      </c>
      <c r="D8" s="81">
        <v>100</v>
      </c>
      <c r="E8" s="83">
        <f t="shared" ref="E8" si="0">C8*D8</f>
        <v>12000</v>
      </c>
      <c r="F8" s="81">
        <v>200</v>
      </c>
      <c r="G8" s="83">
        <f t="shared" ref="G8" si="1">C8*F8</f>
        <v>24000</v>
      </c>
      <c r="H8" s="81">
        <v>900</v>
      </c>
      <c r="I8" s="83">
        <f t="shared" ref="I8" si="2">H8*C8</f>
        <v>108000</v>
      </c>
      <c r="J8" s="81">
        <f>0.5*J7</f>
        <v>1500</v>
      </c>
      <c r="K8" s="83">
        <f t="shared" ref="K8" si="3">J8*C8</f>
        <v>180000</v>
      </c>
    </row>
    <row r="9" spans="2:11" x14ac:dyDescent="0.35">
      <c r="B9" s="78" t="s">
        <v>173</v>
      </c>
      <c r="C9" s="84"/>
      <c r="D9" s="85">
        <f>SUM(D6:D8)</f>
        <v>2900</v>
      </c>
      <c r="E9" s="83"/>
      <c r="F9" s="85">
        <f>SUM(F6:F8)</f>
        <v>8300</v>
      </c>
      <c r="G9" s="83"/>
      <c r="H9" s="85">
        <f>SUM(H6:H8)</f>
        <v>14900</v>
      </c>
      <c r="I9" s="83"/>
      <c r="J9" s="85">
        <f>SUM(J6:J8)</f>
        <v>24500</v>
      </c>
      <c r="K9" s="83"/>
    </row>
    <row r="10" spans="2:11" x14ac:dyDescent="0.35">
      <c r="B10" s="78" t="s">
        <v>174</v>
      </c>
      <c r="C10" s="84"/>
      <c r="D10" s="85">
        <f>D9</f>
        <v>2900</v>
      </c>
      <c r="E10" s="83"/>
      <c r="F10" s="85">
        <f>F9-D9</f>
        <v>5400</v>
      </c>
      <c r="G10" s="83"/>
      <c r="H10" s="85">
        <f>H9-F9</f>
        <v>6600</v>
      </c>
      <c r="I10" s="83"/>
      <c r="J10" s="85">
        <f>J9-H9</f>
        <v>9600</v>
      </c>
      <c r="K10" s="83"/>
    </row>
    <row r="11" spans="2:11" x14ac:dyDescent="0.35">
      <c r="B11" s="78" t="s">
        <v>158</v>
      </c>
      <c r="C11" s="80">
        <v>5</v>
      </c>
      <c r="D11" s="85"/>
      <c r="E11" s="83">
        <f>D6*5</f>
        <v>12500</v>
      </c>
      <c r="F11" s="77"/>
      <c r="G11" s="83">
        <f>F6*5</f>
        <v>37500</v>
      </c>
      <c r="H11" s="182"/>
      <c r="I11" s="83">
        <f>H6*5</f>
        <v>60000</v>
      </c>
      <c r="J11" s="182"/>
      <c r="K11" s="83">
        <f>J6*5</f>
        <v>100000</v>
      </c>
    </row>
    <row r="12" spans="2:11" x14ac:dyDescent="0.35">
      <c r="B12" s="78" t="s">
        <v>127</v>
      </c>
      <c r="C12" s="80">
        <v>100</v>
      </c>
      <c r="D12" s="85"/>
      <c r="E12" s="83">
        <f>C12*D10</f>
        <v>290000</v>
      </c>
      <c r="F12" s="155"/>
      <c r="G12" s="83">
        <f>C12*F10</f>
        <v>540000</v>
      </c>
      <c r="H12" s="182"/>
      <c r="I12" s="83">
        <f>C12*H10</f>
        <v>660000</v>
      </c>
      <c r="J12" s="155"/>
      <c r="K12" s="83">
        <f>C12*J10</f>
        <v>960000</v>
      </c>
    </row>
    <row r="13" spans="2:11" x14ac:dyDescent="0.35">
      <c r="B13" s="132" t="s">
        <v>175</v>
      </c>
      <c r="C13" s="132"/>
      <c r="D13" s="121"/>
      <c r="E13" s="133">
        <f>SUM(E7:E12)</f>
        <v>337000</v>
      </c>
      <c r="F13" s="133"/>
      <c r="G13" s="133">
        <f>SUM(G7:G12)</f>
        <v>646500</v>
      </c>
      <c r="H13" s="133"/>
      <c r="I13" s="133">
        <f>SUM(I7:I12)</f>
        <v>978000</v>
      </c>
      <c r="J13" s="133"/>
      <c r="K13" s="133">
        <f>SUM(K7:K12)</f>
        <v>1465000</v>
      </c>
    </row>
    <row r="14" spans="2:11" x14ac:dyDescent="0.35">
      <c r="B14" s="78"/>
      <c r="C14" s="77"/>
      <c r="D14" s="77"/>
      <c r="E14" s="77"/>
      <c r="F14" s="77"/>
      <c r="G14" s="77"/>
      <c r="H14" s="77"/>
      <c r="I14" s="77"/>
      <c r="J14" s="77"/>
      <c r="K14" s="77"/>
    </row>
    <row r="15" spans="2:11" x14ac:dyDescent="0.35">
      <c r="B15" s="78"/>
      <c r="C15" s="77"/>
      <c r="D15" s="77"/>
      <c r="E15" s="77"/>
      <c r="F15" s="77"/>
      <c r="G15" s="77"/>
      <c r="H15" s="77"/>
      <c r="I15" s="77"/>
      <c r="J15" s="77"/>
      <c r="K15" s="77"/>
    </row>
    <row r="16" spans="2:11" x14ac:dyDescent="0.35">
      <c r="B16" s="78"/>
      <c r="C16" s="77"/>
      <c r="D16" s="77"/>
      <c r="E16" s="77"/>
      <c r="F16" s="77"/>
      <c r="G16" s="77"/>
      <c r="H16" s="77"/>
      <c r="I16" s="77"/>
      <c r="J16" s="77"/>
      <c r="K16" s="77"/>
    </row>
    <row r="17" spans="2:11" x14ac:dyDescent="0.35">
      <c r="B17" s="78"/>
      <c r="C17" s="77"/>
      <c r="D17" s="77"/>
      <c r="E17" s="77"/>
      <c r="F17" s="77"/>
      <c r="G17" s="77"/>
      <c r="H17" s="77"/>
      <c r="I17" s="77"/>
      <c r="J17" s="77"/>
      <c r="K17" s="77"/>
    </row>
    <row r="19" spans="2:11" x14ac:dyDescent="0.35">
      <c r="C19" s="2"/>
    </row>
    <row r="20" spans="2:11" x14ac:dyDescent="0.35">
      <c r="C20" s="2"/>
    </row>
    <row r="21" spans="2:11" x14ac:dyDescent="0.35">
      <c r="C21" s="2"/>
    </row>
    <row r="22" spans="2:11" x14ac:dyDescent="0.35">
      <c r="C22" s="2"/>
    </row>
    <row r="23" spans="2:11" x14ac:dyDescent="0.35">
      <c r="C23" s="2"/>
    </row>
    <row r="24" spans="2:11" x14ac:dyDescent="0.35">
      <c r="C24" s="2"/>
    </row>
    <row r="25" spans="2:11" x14ac:dyDescent="0.35">
      <c r="C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5"/>
  <sheetViews>
    <sheetView workbookViewId="0">
      <selection activeCell="E24" sqref="E24"/>
    </sheetView>
  </sheetViews>
  <sheetFormatPr baseColWidth="10" defaultColWidth="13.35546875" defaultRowHeight="14.15" x14ac:dyDescent="0.35"/>
  <cols>
    <col min="1" max="1" width="5.35546875" style="78" customWidth="1"/>
    <col min="2" max="2" width="24.85546875" style="78" customWidth="1"/>
    <col min="3" max="3" width="12.7109375" style="78" customWidth="1"/>
    <col min="4" max="4" width="6.640625" style="77" customWidth="1"/>
    <col min="5" max="5" width="10.2109375" style="77" customWidth="1"/>
    <col min="6" max="6" width="5.85546875" style="77" customWidth="1"/>
    <col min="7" max="7" width="10.42578125" style="77" customWidth="1"/>
    <col min="8" max="8" width="5.640625" style="77" customWidth="1"/>
    <col min="9" max="9" width="10.5" style="77" customWidth="1"/>
    <col min="10" max="10" width="6.640625" style="77" customWidth="1"/>
    <col min="11" max="11" width="10.140625" style="77" customWidth="1"/>
    <col min="12" max="16384" width="13.35546875" style="78"/>
  </cols>
  <sheetData>
    <row r="3" spans="2:11" ht="22.75" x14ac:dyDescent="0.55000000000000004">
      <c r="B3" s="158" t="s">
        <v>7</v>
      </c>
      <c r="C3" s="76"/>
      <c r="D3" s="79"/>
      <c r="E3" s="79"/>
      <c r="F3" s="79"/>
    </row>
    <row r="6" spans="2:11" s="86" customFormat="1" x14ac:dyDescent="0.35">
      <c r="B6" s="86" t="s">
        <v>8</v>
      </c>
      <c r="C6" s="86" t="s">
        <v>162</v>
      </c>
      <c r="D6" s="87" t="s">
        <v>9</v>
      </c>
      <c r="E6" s="88" t="s">
        <v>0</v>
      </c>
      <c r="F6" s="87" t="s">
        <v>9</v>
      </c>
      <c r="G6" s="88" t="s">
        <v>1</v>
      </c>
      <c r="H6" s="87" t="s">
        <v>9</v>
      </c>
      <c r="I6" s="88" t="s">
        <v>2</v>
      </c>
      <c r="J6" s="87" t="s">
        <v>9</v>
      </c>
      <c r="K6" s="88" t="s">
        <v>23</v>
      </c>
    </row>
    <row r="7" spans="2:11" x14ac:dyDescent="0.35">
      <c r="B7" s="78" t="s">
        <v>6</v>
      </c>
      <c r="C7" s="89">
        <v>50000</v>
      </c>
      <c r="D7" s="90">
        <v>0.5</v>
      </c>
      <c r="E7" s="91">
        <f>D7*C7</f>
        <v>25000</v>
      </c>
      <c r="F7" s="90">
        <v>1</v>
      </c>
      <c r="G7" s="91">
        <f>C7*F7</f>
        <v>50000</v>
      </c>
      <c r="H7" s="90">
        <v>1</v>
      </c>
      <c r="I7" s="91">
        <f>H7*C7</f>
        <v>50000</v>
      </c>
      <c r="J7" s="90">
        <v>1</v>
      </c>
      <c r="K7" s="91">
        <f>C7*J7</f>
        <v>50000</v>
      </c>
    </row>
    <row r="8" spans="2:11" x14ac:dyDescent="0.35">
      <c r="B8" s="78" t="s">
        <v>94</v>
      </c>
      <c r="C8" s="89">
        <v>30000</v>
      </c>
      <c r="D8" s="90">
        <v>3</v>
      </c>
      <c r="E8" s="91">
        <f>D8*C8</f>
        <v>90000</v>
      </c>
      <c r="F8" s="90">
        <v>3</v>
      </c>
      <c r="G8" s="91">
        <f t="shared" ref="G8:G12" si="0">C8*F8</f>
        <v>90000</v>
      </c>
      <c r="H8" s="90">
        <v>4</v>
      </c>
      <c r="I8" s="91">
        <f t="shared" ref="I8:I12" si="1">H8*C8</f>
        <v>120000</v>
      </c>
      <c r="J8" s="90">
        <v>6</v>
      </c>
      <c r="K8" s="91">
        <f t="shared" ref="K8:K12" si="2">C8*J8</f>
        <v>180000</v>
      </c>
    </row>
    <row r="9" spans="2:11" x14ac:dyDescent="0.35">
      <c r="B9" s="78" t="s">
        <v>13</v>
      </c>
      <c r="C9" s="89">
        <v>25000</v>
      </c>
      <c r="D9" s="90">
        <v>1</v>
      </c>
      <c r="E9" s="91">
        <f t="shared" ref="E9:E12" si="3">D9*C9</f>
        <v>25000</v>
      </c>
      <c r="F9" s="90">
        <v>1</v>
      </c>
      <c r="G9" s="91">
        <f t="shared" si="0"/>
        <v>25000</v>
      </c>
      <c r="H9" s="90">
        <v>2</v>
      </c>
      <c r="I9" s="91">
        <f t="shared" si="1"/>
        <v>50000</v>
      </c>
      <c r="J9" s="90">
        <v>2</v>
      </c>
      <c r="K9" s="91">
        <f t="shared" si="2"/>
        <v>50000</v>
      </c>
    </row>
    <row r="10" spans="2:11" x14ac:dyDescent="0.35">
      <c r="B10" s="78" t="s">
        <v>10</v>
      </c>
      <c r="C10" s="89">
        <v>20000</v>
      </c>
      <c r="D10" s="90">
        <v>0.5</v>
      </c>
      <c r="E10" s="91">
        <f t="shared" si="3"/>
        <v>10000</v>
      </c>
      <c r="F10" s="90">
        <v>1</v>
      </c>
      <c r="G10" s="91">
        <f t="shared" si="0"/>
        <v>20000</v>
      </c>
      <c r="H10" s="90">
        <v>1</v>
      </c>
      <c r="I10" s="91">
        <f t="shared" si="1"/>
        <v>20000</v>
      </c>
      <c r="J10" s="90">
        <v>2</v>
      </c>
      <c r="K10" s="91">
        <f t="shared" si="2"/>
        <v>40000</v>
      </c>
    </row>
    <row r="11" spans="2:11" x14ac:dyDescent="0.35">
      <c r="B11" s="78" t="s">
        <v>11</v>
      </c>
      <c r="C11" s="89">
        <v>35000</v>
      </c>
      <c r="D11" s="90">
        <v>0.5</v>
      </c>
      <c r="E11" s="91">
        <f t="shared" si="3"/>
        <v>17500</v>
      </c>
      <c r="F11" s="90">
        <v>1</v>
      </c>
      <c r="G11" s="91">
        <f t="shared" si="0"/>
        <v>35000</v>
      </c>
      <c r="H11" s="90">
        <v>2</v>
      </c>
      <c r="I11" s="91">
        <f t="shared" si="1"/>
        <v>70000</v>
      </c>
      <c r="J11" s="90">
        <v>3</v>
      </c>
      <c r="K11" s="91">
        <f t="shared" si="2"/>
        <v>105000</v>
      </c>
    </row>
    <row r="12" spans="2:11" x14ac:dyDescent="0.35">
      <c r="B12" s="78" t="s">
        <v>12</v>
      </c>
      <c r="C12" s="89">
        <v>20000</v>
      </c>
      <c r="D12" s="90">
        <v>0.5</v>
      </c>
      <c r="E12" s="91">
        <f t="shared" si="3"/>
        <v>10000</v>
      </c>
      <c r="F12" s="90">
        <v>1</v>
      </c>
      <c r="G12" s="91">
        <f t="shared" si="0"/>
        <v>20000</v>
      </c>
      <c r="H12" s="90">
        <v>2</v>
      </c>
      <c r="I12" s="91">
        <f t="shared" si="1"/>
        <v>40000</v>
      </c>
      <c r="J12" s="90">
        <v>3</v>
      </c>
      <c r="K12" s="91">
        <f t="shared" si="2"/>
        <v>60000</v>
      </c>
    </row>
    <row r="13" spans="2:11" x14ac:dyDescent="0.35">
      <c r="B13" s="78" t="s">
        <v>178</v>
      </c>
      <c r="C13" s="92"/>
      <c r="D13" s="93"/>
      <c r="E13" s="91">
        <f>SUM(E7:E12)</f>
        <v>177500</v>
      </c>
      <c r="F13" s="85"/>
      <c r="G13" s="91">
        <f>SUM(G7:G12)</f>
        <v>240000</v>
      </c>
      <c r="H13" s="85"/>
      <c r="I13" s="91">
        <f>SUM(I7:I12)</f>
        <v>350000</v>
      </c>
      <c r="J13" s="85"/>
      <c r="K13" s="91">
        <f>SUM(K7:K12)</f>
        <v>485000</v>
      </c>
    </row>
    <row r="14" spans="2:11" x14ac:dyDescent="0.35">
      <c r="B14" s="78" t="s">
        <v>20</v>
      </c>
      <c r="C14" s="92"/>
      <c r="D14" s="85"/>
      <c r="E14" s="91">
        <f>E13*33%</f>
        <v>58575</v>
      </c>
      <c r="F14" s="85"/>
      <c r="G14" s="91">
        <f>G13*33%</f>
        <v>79200</v>
      </c>
      <c r="H14" s="85"/>
      <c r="I14" s="91">
        <f>I13*33%</f>
        <v>115500</v>
      </c>
      <c r="J14" s="85"/>
      <c r="K14" s="91">
        <f>K13*33%</f>
        <v>160050</v>
      </c>
    </row>
    <row r="15" spans="2:11" x14ac:dyDescent="0.35">
      <c r="B15" s="94"/>
      <c r="C15" s="95" t="s">
        <v>179</v>
      </c>
      <c r="D15" s="183">
        <f>SUM(D7:D14)</f>
        <v>6</v>
      </c>
      <c r="E15" s="184">
        <f>SUM(E13:E14)</f>
        <v>236075</v>
      </c>
      <c r="F15" s="183">
        <f>SUM(F7:F14)</f>
        <v>8</v>
      </c>
      <c r="G15" s="184">
        <f>SUM(G13:G14)</f>
        <v>319200</v>
      </c>
      <c r="H15" s="183">
        <f>SUM(H7:H14)</f>
        <v>12</v>
      </c>
      <c r="I15" s="184">
        <f>SUM(I13:I14)</f>
        <v>465500</v>
      </c>
      <c r="J15" s="183">
        <f>SUM(J7:J14)</f>
        <v>17</v>
      </c>
      <c r="K15" s="184">
        <f>SUM(K13:K14)</f>
        <v>645050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34"/>
  <sheetViews>
    <sheetView topLeftCell="A19" workbookViewId="0">
      <selection activeCell="B28" sqref="B28"/>
    </sheetView>
  </sheetViews>
  <sheetFormatPr baseColWidth="10" defaultColWidth="10.85546875" defaultRowHeight="14.15" x14ac:dyDescent="0.35"/>
  <cols>
    <col min="1" max="1" width="5.5" style="78" customWidth="1"/>
    <col min="2" max="2" width="73.78515625" style="78" customWidth="1"/>
    <col min="3" max="3" width="12.5" style="77" customWidth="1"/>
    <col min="4" max="4" width="10" style="77" customWidth="1"/>
    <col min="5" max="5" width="11.28515625" style="77" customWidth="1"/>
    <col min="6" max="6" width="10.85546875" style="77" customWidth="1"/>
    <col min="7" max="16384" width="10.85546875" style="78"/>
  </cols>
  <sheetData>
    <row r="3" spans="1:26" ht="22.75" x14ac:dyDescent="0.55000000000000004">
      <c r="B3" s="158" t="s">
        <v>163</v>
      </c>
    </row>
    <row r="5" spans="1:26" x14ac:dyDescent="0.35">
      <c r="B5" s="125" t="s">
        <v>88</v>
      </c>
      <c r="C5" s="125" t="s">
        <v>0</v>
      </c>
      <c r="D5" s="125" t="s">
        <v>1</v>
      </c>
      <c r="E5" s="125" t="s">
        <v>2</v>
      </c>
      <c r="F5" s="125" t="s">
        <v>23</v>
      </c>
    </row>
    <row r="6" spans="1:26" x14ac:dyDescent="0.35">
      <c r="B6" s="96" t="s">
        <v>155</v>
      </c>
      <c r="C6" s="98"/>
      <c r="D6" s="98"/>
      <c r="E6" s="98"/>
      <c r="F6" s="98"/>
    </row>
    <row r="7" spans="1:26" s="76" customFormat="1" x14ac:dyDescent="0.35">
      <c r="B7" s="97" t="s">
        <v>153</v>
      </c>
      <c r="C7" s="98">
        <v>6000</v>
      </c>
      <c r="D7" s="98">
        <v>12000</v>
      </c>
      <c r="E7" s="98">
        <v>20000</v>
      </c>
      <c r="F7" s="98">
        <v>40000</v>
      </c>
      <c r="H7" s="76" t="s">
        <v>80</v>
      </c>
    </row>
    <row r="8" spans="1:26" s="76" customFormat="1" x14ac:dyDescent="0.35">
      <c r="B8" s="97" t="s">
        <v>77</v>
      </c>
      <c r="C8" s="98">
        <f>Ingresos!D9*3</f>
        <v>8700</v>
      </c>
      <c r="D8" s="98">
        <f>Ingresos!F9*3</f>
        <v>24900</v>
      </c>
      <c r="E8" s="98">
        <f>Ingresos!H9*3</f>
        <v>44700</v>
      </c>
      <c r="F8" s="98">
        <f>Ingresos!J9*3</f>
        <v>73500</v>
      </c>
      <c r="H8" s="76" t="s">
        <v>78</v>
      </c>
    </row>
    <row r="9" spans="1:26" s="76" customFormat="1" x14ac:dyDescent="0.35">
      <c r="B9" s="97" t="s">
        <v>177</v>
      </c>
      <c r="C9" s="98">
        <f>Ingresos!E12/3</f>
        <v>96666.666666666672</v>
      </c>
      <c r="D9" s="98">
        <f>Ingresos!G12/3</f>
        <v>180000</v>
      </c>
      <c r="E9" s="98">
        <f>Ingresos!I12/3</f>
        <v>220000</v>
      </c>
      <c r="F9" s="98">
        <f>Ingresos!K12/3</f>
        <v>320000</v>
      </c>
    </row>
    <row r="10" spans="1:26" s="76" customFormat="1" x14ac:dyDescent="0.35">
      <c r="B10" s="97"/>
      <c r="C10" s="98"/>
      <c r="D10" s="98"/>
      <c r="E10" s="98"/>
      <c r="F10" s="98"/>
    </row>
    <row r="11" spans="1:26" s="76" customFormat="1" x14ac:dyDescent="0.35">
      <c r="B11" s="96" t="s">
        <v>79</v>
      </c>
      <c r="C11" s="98"/>
      <c r="D11" s="98"/>
      <c r="E11" s="98"/>
      <c r="F11" s="98"/>
    </row>
    <row r="12" spans="1:26" s="99" customFormat="1" x14ac:dyDescent="0.35">
      <c r="A12" s="76"/>
      <c r="B12" s="97" t="s">
        <v>28</v>
      </c>
      <c r="C12" s="98">
        <f>'Personal Gastos y SS'!E13</f>
        <v>177500</v>
      </c>
      <c r="D12" s="98">
        <v>350000</v>
      </c>
      <c r="E12" s="98">
        <v>390000</v>
      </c>
      <c r="F12" s="98">
        <v>440000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s="76" customFormat="1" x14ac:dyDescent="0.35">
      <c r="B13" s="97" t="s">
        <v>21</v>
      </c>
      <c r="C13" s="98">
        <f>'Personal Gastos y SS'!E14</f>
        <v>58575</v>
      </c>
      <c r="D13" s="98">
        <v>115500</v>
      </c>
      <c r="E13" s="98">
        <v>128700</v>
      </c>
      <c r="F13" s="98">
        <v>145200</v>
      </c>
    </row>
    <row r="14" spans="1:26" s="76" customFormat="1" x14ac:dyDescent="0.35">
      <c r="B14" s="76" t="s">
        <v>27</v>
      </c>
      <c r="C14" s="98">
        <v>12000</v>
      </c>
      <c r="D14" s="98">
        <v>12000</v>
      </c>
      <c r="E14" s="98">
        <v>12000</v>
      </c>
      <c r="F14" s="98">
        <v>12000</v>
      </c>
    </row>
    <row r="15" spans="1:26" s="76" customFormat="1" ht="14.6" thickBot="1" x14ac:dyDescent="0.4">
      <c r="C15" s="100"/>
      <c r="D15" s="100"/>
      <c r="E15" s="100"/>
      <c r="F15" s="100"/>
    </row>
    <row r="16" spans="1:26" s="101" customFormat="1" ht="14.6" thickTop="1" x14ac:dyDescent="0.35">
      <c r="B16" s="102" t="s">
        <v>3</v>
      </c>
      <c r="C16" s="103">
        <v>1500</v>
      </c>
      <c r="D16" s="103">
        <v>1500</v>
      </c>
      <c r="E16" s="103">
        <v>1500</v>
      </c>
      <c r="F16" s="104">
        <v>1500</v>
      </c>
    </row>
    <row r="17" spans="2:6" s="101" customFormat="1" x14ac:dyDescent="0.35">
      <c r="B17" s="105" t="s">
        <v>4</v>
      </c>
      <c r="C17" s="106">
        <f>150*12</f>
        <v>1800</v>
      </c>
      <c r="D17" s="106">
        <f t="shared" ref="D17:F18" si="0">150*12</f>
        <v>1800</v>
      </c>
      <c r="E17" s="106">
        <f t="shared" si="0"/>
        <v>1800</v>
      </c>
      <c r="F17" s="107">
        <f t="shared" si="0"/>
        <v>1800</v>
      </c>
    </row>
    <row r="18" spans="2:6" s="101" customFormat="1" x14ac:dyDescent="0.35">
      <c r="B18" s="105" t="s">
        <v>22</v>
      </c>
      <c r="C18" s="106">
        <f>150*12</f>
        <v>1800</v>
      </c>
      <c r="D18" s="106">
        <f t="shared" si="0"/>
        <v>1800</v>
      </c>
      <c r="E18" s="106">
        <f t="shared" si="0"/>
        <v>1800</v>
      </c>
      <c r="F18" s="107">
        <f t="shared" si="0"/>
        <v>1800</v>
      </c>
    </row>
    <row r="19" spans="2:6" ht="14.6" thickBot="1" x14ac:dyDescent="0.4">
      <c r="B19" s="162" t="s">
        <v>159</v>
      </c>
      <c r="C19" s="108">
        <f>SUM(C16:C18)</f>
        <v>5100</v>
      </c>
      <c r="D19" s="108">
        <f>SUM(D16:D18)</f>
        <v>5100</v>
      </c>
      <c r="E19" s="108">
        <f>SUM(E16:E18)</f>
        <v>5100</v>
      </c>
      <c r="F19" s="109">
        <f>SUM(F16:F18)</f>
        <v>5100</v>
      </c>
    </row>
    <row r="20" spans="2:6" ht="15" thickTop="1" thickBot="1" x14ac:dyDescent="0.4">
      <c r="B20" s="110"/>
      <c r="C20" s="100"/>
      <c r="D20" s="100"/>
      <c r="E20" s="100"/>
      <c r="F20" s="100"/>
    </row>
    <row r="21" spans="2:6" s="101" customFormat="1" ht="14.6" thickTop="1" x14ac:dyDescent="0.35">
      <c r="B21" s="143" t="s">
        <v>104</v>
      </c>
      <c r="C21" s="103">
        <v>6000</v>
      </c>
      <c r="D21" s="103">
        <v>8000</v>
      </c>
      <c r="E21" s="103">
        <v>10000</v>
      </c>
      <c r="F21" s="104">
        <v>15000</v>
      </c>
    </row>
    <row r="22" spans="2:6" s="101" customFormat="1" x14ac:dyDescent="0.35">
      <c r="B22" s="111" t="s">
        <v>15</v>
      </c>
      <c r="C22" s="106">
        <v>4000</v>
      </c>
      <c r="D22" s="106">
        <v>6000</v>
      </c>
      <c r="E22" s="106">
        <v>8000</v>
      </c>
      <c r="F22" s="107">
        <v>10000</v>
      </c>
    </row>
    <row r="23" spans="2:6" s="101" customFormat="1" x14ac:dyDescent="0.35">
      <c r="B23" s="111" t="s">
        <v>183</v>
      </c>
      <c r="C23" s="106">
        <v>3000</v>
      </c>
      <c r="D23" s="106">
        <v>5000</v>
      </c>
      <c r="E23" s="106">
        <v>5000</v>
      </c>
      <c r="F23" s="107">
        <v>5000</v>
      </c>
    </row>
    <row r="24" spans="2:6" s="101" customFormat="1" x14ac:dyDescent="0.35">
      <c r="B24" s="111" t="s">
        <v>182</v>
      </c>
      <c r="C24" s="106">
        <v>3000</v>
      </c>
      <c r="D24" s="106">
        <v>3500</v>
      </c>
      <c r="E24" s="106">
        <v>4000</v>
      </c>
      <c r="F24" s="107">
        <v>4500</v>
      </c>
    </row>
    <row r="25" spans="2:6" ht="14.6" thickBot="1" x14ac:dyDescent="0.4">
      <c r="B25" s="163" t="s">
        <v>160</v>
      </c>
      <c r="C25" s="108">
        <f>SUM(C21:C24)</f>
        <v>16000</v>
      </c>
      <c r="D25" s="108">
        <f t="shared" ref="D25:F25" si="1">SUM(D21:D24)</f>
        <v>22500</v>
      </c>
      <c r="E25" s="108">
        <f t="shared" si="1"/>
        <v>27000</v>
      </c>
      <c r="F25" s="109">
        <f t="shared" si="1"/>
        <v>34500</v>
      </c>
    </row>
    <row r="26" spans="2:6" ht="14.6" thickTop="1" x14ac:dyDescent="0.35">
      <c r="C26" s="112"/>
      <c r="D26" s="112"/>
      <c r="E26" s="112"/>
      <c r="F26" s="112"/>
    </row>
    <row r="27" spans="2:6" s="76" customFormat="1" x14ac:dyDescent="0.35">
      <c r="B27" s="96" t="s">
        <v>14</v>
      </c>
      <c r="C27" s="185">
        <v>1000</v>
      </c>
      <c r="D27" s="185">
        <v>1000</v>
      </c>
      <c r="E27" s="185">
        <v>2000</v>
      </c>
      <c r="F27" s="185">
        <v>5000</v>
      </c>
    </row>
    <row r="28" spans="2:6" s="76" customFormat="1" x14ac:dyDescent="0.35">
      <c r="B28" s="96" t="s">
        <v>29</v>
      </c>
      <c r="C28" s="185">
        <v>1000</v>
      </c>
      <c r="D28" s="185">
        <v>1000</v>
      </c>
      <c r="E28" s="185">
        <v>1000</v>
      </c>
      <c r="F28" s="185">
        <v>1000</v>
      </c>
    </row>
    <row r="29" spans="2:6" ht="14.6" thickBot="1" x14ac:dyDescent="0.4">
      <c r="C29" s="112"/>
      <c r="D29" s="112"/>
      <c r="E29" s="112"/>
      <c r="F29" s="112"/>
    </row>
    <row r="30" spans="2:6" ht="14.6" thickTop="1" x14ac:dyDescent="0.35">
      <c r="B30" s="102" t="s">
        <v>5</v>
      </c>
      <c r="C30" s="103">
        <v>1000</v>
      </c>
      <c r="D30" s="103">
        <v>1200</v>
      </c>
      <c r="E30" s="103">
        <v>1500</v>
      </c>
      <c r="F30" s="104">
        <v>1700</v>
      </c>
    </row>
    <row r="31" spans="2:6" x14ac:dyDescent="0.35">
      <c r="B31" s="105" t="s">
        <v>31</v>
      </c>
      <c r="C31" s="106">
        <v>2000</v>
      </c>
      <c r="D31" s="106">
        <v>2000</v>
      </c>
      <c r="E31" s="106">
        <v>2000</v>
      </c>
      <c r="F31" s="107">
        <v>2000</v>
      </c>
    </row>
    <row r="32" spans="2:6" x14ac:dyDescent="0.35">
      <c r="B32" s="105" t="s">
        <v>32</v>
      </c>
      <c r="C32" s="106">
        <f>500*12</f>
        <v>6000</v>
      </c>
      <c r="D32" s="106">
        <v>7000</v>
      </c>
      <c r="E32" s="106">
        <v>8000</v>
      </c>
      <c r="F32" s="107">
        <v>9000</v>
      </c>
    </row>
    <row r="33" spans="2:6" s="76" customFormat="1" ht="14.6" thickBot="1" x14ac:dyDescent="0.4">
      <c r="B33" s="162" t="s">
        <v>30</v>
      </c>
      <c r="C33" s="113">
        <f>SUM(C30:C32)</f>
        <v>9000</v>
      </c>
      <c r="D33" s="113">
        <f t="shared" ref="D33:F33" si="2">SUM(D30:D32)</f>
        <v>10200</v>
      </c>
      <c r="E33" s="113">
        <f t="shared" si="2"/>
        <v>11500</v>
      </c>
      <c r="F33" s="114">
        <f t="shared" si="2"/>
        <v>12700</v>
      </c>
    </row>
    <row r="34" spans="2:6" ht="14.6" thickTop="1" x14ac:dyDescent="0.35">
      <c r="C34" s="112"/>
      <c r="D34" s="112"/>
      <c r="E34" s="112"/>
      <c r="F34" s="1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6"/>
  <sheetViews>
    <sheetView workbookViewId="0">
      <selection activeCell="B5" sqref="B5"/>
    </sheetView>
  </sheetViews>
  <sheetFormatPr baseColWidth="10" defaultColWidth="10.85546875" defaultRowHeight="14.15" x14ac:dyDescent="0.35"/>
  <cols>
    <col min="1" max="1" width="10.85546875" style="78"/>
    <col min="2" max="2" width="43" style="78" customWidth="1"/>
    <col min="3" max="3" width="10.85546875" style="78"/>
    <col min="4" max="4" width="27.7109375" style="78" customWidth="1"/>
    <col min="5" max="5" width="18.85546875" style="78" customWidth="1"/>
    <col min="6" max="16384" width="10.85546875" style="78"/>
  </cols>
  <sheetData>
    <row r="2" spans="2:5" ht="22.75" x14ac:dyDescent="0.55000000000000004">
      <c r="B2" s="158" t="s">
        <v>83</v>
      </c>
    </row>
    <row r="3" spans="2:5" x14ac:dyDescent="0.35">
      <c r="B3" s="76"/>
    </row>
    <row r="5" spans="2:5" x14ac:dyDescent="0.35">
      <c r="B5" s="129" t="s">
        <v>84</v>
      </c>
      <c r="C5" s="125" t="s">
        <v>87</v>
      </c>
      <c r="D5" s="125" t="s">
        <v>86</v>
      </c>
      <c r="E5" s="125" t="s">
        <v>85</v>
      </c>
    </row>
    <row r="6" spans="2:5" x14ac:dyDescent="0.35">
      <c r="B6" s="115" t="s">
        <v>16</v>
      </c>
      <c r="C6" s="116">
        <v>10000</v>
      </c>
      <c r="D6" s="77">
        <v>10</v>
      </c>
      <c r="E6" s="117">
        <f>C6/D6</f>
        <v>1000</v>
      </c>
    </row>
    <row r="7" spans="2:5" x14ac:dyDescent="0.35">
      <c r="B7" s="118" t="s">
        <v>17</v>
      </c>
      <c r="C7" s="116">
        <v>10000</v>
      </c>
      <c r="D7" s="77">
        <v>4</v>
      </c>
      <c r="E7" s="117">
        <f>C7/D7</f>
        <v>2500</v>
      </c>
    </row>
    <row r="8" spans="2:5" x14ac:dyDescent="0.35">
      <c r="B8" s="119" t="s">
        <v>18</v>
      </c>
      <c r="C8" s="116">
        <v>3000</v>
      </c>
      <c r="D8" s="77">
        <v>5</v>
      </c>
      <c r="E8" s="117">
        <f>C8/D8</f>
        <v>600</v>
      </c>
    </row>
    <row r="9" spans="2:5" x14ac:dyDescent="0.35">
      <c r="B9" s="115" t="s">
        <v>96</v>
      </c>
      <c r="C9" s="116">
        <v>5000</v>
      </c>
      <c r="D9" s="77">
        <v>10</v>
      </c>
      <c r="E9" s="117">
        <f>C9/D9</f>
        <v>500</v>
      </c>
    </row>
    <row r="10" spans="2:5" x14ac:dyDescent="0.35">
      <c r="B10" s="115" t="s">
        <v>19</v>
      </c>
      <c r="C10" s="116">
        <v>20000</v>
      </c>
      <c r="D10" s="77">
        <v>7</v>
      </c>
      <c r="E10" s="117">
        <f>C10/D10</f>
        <v>2857.1428571428573</v>
      </c>
    </row>
    <row r="11" spans="2:5" x14ac:dyDescent="0.35">
      <c r="C11" s="112"/>
      <c r="D11" s="150" t="s">
        <v>105</v>
      </c>
      <c r="E11" s="151">
        <f>SUM(E6:E10)</f>
        <v>7457.1428571428569</v>
      </c>
    </row>
    <row r="12" spans="2:5" x14ac:dyDescent="0.35">
      <c r="C12" s="112"/>
      <c r="D12" s="77"/>
      <c r="E12" s="77"/>
    </row>
    <row r="13" spans="2:5" x14ac:dyDescent="0.35">
      <c r="B13" s="149" t="s">
        <v>108</v>
      </c>
      <c r="C13" s="100">
        <f>SUM(C6:C12)</f>
        <v>48000</v>
      </c>
      <c r="D13" s="77"/>
      <c r="E13" s="77"/>
    </row>
    <row r="14" spans="2:5" x14ac:dyDescent="0.35">
      <c r="C14" s="77"/>
      <c r="D14" s="77"/>
      <c r="E14" s="77"/>
    </row>
    <row r="15" spans="2:5" x14ac:dyDescent="0.35">
      <c r="B15" s="76"/>
      <c r="C15" s="77"/>
      <c r="D15" s="77"/>
      <c r="E15" s="77"/>
    </row>
    <row r="16" spans="2:5" x14ac:dyDescent="0.35">
      <c r="C16" s="77"/>
      <c r="D16" s="77"/>
      <c r="E16" s="7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5"/>
  <sheetViews>
    <sheetView topLeftCell="A14" workbookViewId="0">
      <selection activeCell="I24" sqref="I24"/>
    </sheetView>
  </sheetViews>
  <sheetFormatPr baseColWidth="10" defaultColWidth="10.85546875" defaultRowHeight="15" x14ac:dyDescent="0.35"/>
  <cols>
    <col min="1" max="1" width="6.640625" style="2" customWidth="1"/>
    <col min="2" max="2" width="32.140625" style="2" customWidth="1"/>
    <col min="3" max="3" width="10.5703125" style="1" customWidth="1"/>
    <col min="4" max="4" width="9.85546875" style="2" customWidth="1"/>
    <col min="5" max="5" width="9.7109375" style="2" customWidth="1"/>
    <col min="6" max="6" width="10.5703125" style="2" customWidth="1"/>
    <col min="7" max="16384" width="10.85546875" style="2"/>
  </cols>
  <sheetData>
    <row r="2" spans="2:6" ht="22.75" x14ac:dyDescent="0.55000000000000004">
      <c r="B2" s="158" t="s">
        <v>33</v>
      </c>
    </row>
    <row r="3" spans="2:6" ht="15.45" thickBot="1" x14ac:dyDescent="0.4"/>
    <row r="4" spans="2:6" s="1" customFormat="1" x14ac:dyDescent="0.35">
      <c r="B4" s="2"/>
      <c r="C4" s="134" t="s">
        <v>103</v>
      </c>
      <c r="D4" s="134" t="s">
        <v>1</v>
      </c>
      <c r="E4" s="134" t="s">
        <v>2</v>
      </c>
      <c r="F4" s="134" t="s">
        <v>23</v>
      </c>
    </row>
    <row r="5" spans="2:6" x14ac:dyDescent="0.35">
      <c r="B5" s="144" t="s">
        <v>102</v>
      </c>
      <c r="C5" s="145">
        <f>Ingresos!E13</f>
        <v>337000</v>
      </c>
      <c r="D5" s="146">
        <f>Ingresos!G13</f>
        <v>646500</v>
      </c>
      <c r="E5" s="146">
        <f>Ingresos!I13</f>
        <v>978000</v>
      </c>
      <c r="F5" s="146">
        <f>Ingresos!K13</f>
        <v>1465000</v>
      </c>
    </row>
    <row r="6" spans="2:6" x14ac:dyDescent="0.35">
      <c r="B6" s="26"/>
      <c r="C6" s="32"/>
      <c r="D6" s="28"/>
      <c r="E6" s="28"/>
      <c r="F6" s="28"/>
    </row>
    <row r="7" spans="2:6" x14ac:dyDescent="0.35">
      <c r="B7" s="26" t="s">
        <v>48</v>
      </c>
      <c r="C7" s="32"/>
      <c r="D7" s="28"/>
      <c r="E7" s="28"/>
      <c r="F7" s="28"/>
    </row>
    <row r="8" spans="2:6" x14ac:dyDescent="0.35">
      <c r="B8" s="27" t="s">
        <v>154</v>
      </c>
      <c r="C8" s="33">
        <f>'Gastos Totales'!C7</f>
        <v>6000</v>
      </c>
      <c r="D8" s="29">
        <f>'Gastos Totales'!D7</f>
        <v>12000</v>
      </c>
      <c r="E8" s="29">
        <f>'Gastos Totales'!E7</f>
        <v>20000</v>
      </c>
      <c r="F8" s="29">
        <f>'Gastos Totales'!F7</f>
        <v>40000</v>
      </c>
    </row>
    <row r="9" spans="2:6" x14ac:dyDescent="0.35">
      <c r="B9" s="27" t="s">
        <v>107</v>
      </c>
      <c r="C9" s="33">
        <f>'Gastos Totales'!C8</f>
        <v>8700</v>
      </c>
      <c r="D9" s="29">
        <f>'Gastos Totales'!D8</f>
        <v>24900</v>
      </c>
      <c r="E9" s="29">
        <f>'Gastos Totales'!E8</f>
        <v>44700</v>
      </c>
      <c r="F9" s="29">
        <f>'Gastos Totales'!F8</f>
        <v>73500</v>
      </c>
    </row>
    <row r="10" spans="2:6" x14ac:dyDescent="0.35">
      <c r="B10" s="27" t="s">
        <v>176</v>
      </c>
      <c r="C10" s="33">
        <f>'Gastos Totales'!C9</f>
        <v>96666.666666666672</v>
      </c>
      <c r="D10" s="33">
        <f>'Gastos Totales'!D9</f>
        <v>180000</v>
      </c>
      <c r="E10" s="33">
        <f>'Gastos Totales'!E9</f>
        <v>220000</v>
      </c>
      <c r="F10" s="33">
        <f>'Gastos Totales'!F9</f>
        <v>320000</v>
      </c>
    </row>
    <row r="11" spans="2:6" ht="15" customHeight="1" x14ac:dyDescent="0.4">
      <c r="B11" s="164" t="s">
        <v>50</v>
      </c>
      <c r="C11" s="165">
        <f>SUM(C8:C10)</f>
        <v>111366.66666666667</v>
      </c>
      <c r="D11" s="165">
        <f t="shared" ref="D11:F11" si="0">SUM(D8:D10)</f>
        <v>216900</v>
      </c>
      <c r="E11" s="165">
        <f t="shared" si="0"/>
        <v>284700</v>
      </c>
      <c r="F11" s="165">
        <f t="shared" si="0"/>
        <v>433500</v>
      </c>
    </row>
    <row r="12" spans="2:6" x14ac:dyDescent="0.35">
      <c r="B12" s="26"/>
      <c r="C12" s="32"/>
      <c r="D12" s="28"/>
      <c r="E12" s="28"/>
      <c r="F12" s="28"/>
    </row>
    <row r="13" spans="2:6" x14ac:dyDescent="0.35">
      <c r="B13" s="26" t="s">
        <v>49</v>
      </c>
      <c r="C13" s="32"/>
      <c r="D13" s="28"/>
      <c r="E13" s="28"/>
      <c r="F13" s="28"/>
    </row>
    <row r="14" spans="2:6" x14ac:dyDescent="0.35">
      <c r="B14" s="27" t="s">
        <v>106</v>
      </c>
      <c r="C14" s="33">
        <f>'Gastos Totales'!C12</f>
        <v>177500</v>
      </c>
      <c r="D14" s="29">
        <f>'Personal Gastos y SS'!G13</f>
        <v>240000</v>
      </c>
      <c r="E14" s="29">
        <f>'Personal Gastos y SS'!I13</f>
        <v>350000</v>
      </c>
      <c r="F14" s="29">
        <f>'Personal Gastos y SS'!K13</f>
        <v>485000</v>
      </c>
    </row>
    <row r="15" spans="2:6" x14ac:dyDescent="0.35">
      <c r="B15" s="27" t="s">
        <v>21</v>
      </c>
      <c r="C15" s="33">
        <f>'Personal Gastos y SS'!E14</f>
        <v>58575</v>
      </c>
      <c r="D15" s="29">
        <f>'Personal Gastos y SS'!G14</f>
        <v>79200</v>
      </c>
      <c r="E15" s="29">
        <f>'Personal Gastos y SS'!I14</f>
        <v>115500</v>
      </c>
      <c r="F15" s="29">
        <f>'Personal Gastos y SS'!K14</f>
        <v>160050</v>
      </c>
    </row>
    <row r="16" spans="2:6" x14ac:dyDescent="0.35">
      <c r="B16" s="27" t="s">
        <v>27</v>
      </c>
      <c r="C16" s="33">
        <f>'Gastos Totales'!C14</f>
        <v>12000</v>
      </c>
      <c r="D16" s="29">
        <f>'Gastos Totales'!D14</f>
        <v>12000</v>
      </c>
      <c r="E16" s="29">
        <f>'Gastos Totales'!E14</f>
        <v>12000</v>
      </c>
      <c r="F16" s="29">
        <f>'Gastos Totales'!F14</f>
        <v>12000</v>
      </c>
    </row>
    <row r="17" spans="2:6" x14ac:dyDescent="0.35">
      <c r="B17" s="27" t="s">
        <v>25</v>
      </c>
      <c r="C17" s="33">
        <f>'Gastos Totales'!C19</f>
        <v>5100</v>
      </c>
      <c r="D17" s="29">
        <f>'Gastos Totales'!D19</f>
        <v>5100</v>
      </c>
      <c r="E17" s="29">
        <f>'Gastos Totales'!E19</f>
        <v>5100</v>
      </c>
      <c r="F17" s="29">
        <f>'Gastos Totales'!F19</f>
        <v>5100</v>
      </c>
    </row>
    <row r="18" spans="2:6" x14ac:dyDescent="0.35">
      <c r="B18" s="27" t="s">
        <v>26</v>
      </c>
      <c r="C18" s="33">
        <f>'Gastos Totales'!C25</f>
        <v>16000</v>
      </c>
      <c r="D18" s="29">
        <f>'Gastos Totales'!D25</f>
        <v>22500</v>
      </c>
      <c r="E18" s="29">
        <f>'Gastos Totales'!E25</f>
        <v>27000</v>
      </c>
      <c r="F18" s="29">
        <f>'Gastos Totales'!F25</f>
        <v>34500</v>
      </c>
    </row>
    <row r="19" spans="2:6" x14ac:dyDescent="0.35">
      <c r="B19" s="27" t="s">
        <v>14</v>
      </c>
      <c r="C19" s="33">
        <f>'Gastos Totales'!C27</f>
        <v>1000</v>
      </c>
      <c r="D19" s="29">
        <f>'Gastos Totales'!D27</f>
        <v>1000</v>
      </c>
      <c r="E19" s="29">
        <f>'Gastos Totales'!E27</f>
        <v>2000</v>
      </c>
      <c r="F19" s="29">
        <f>'Gastos Totales'!F27</f>
        <v>5000</v>
      </c>
    </row>
    <row r="20" spans="2:6" x14ac:dyDescent="0.35">
      <c r="B20" s="27" t="s">
        <v>43</v>
      </c>
      <c r="C20" s="33">
        <f>'Gastos Totales'!C28</f>
        <v>1000</v>
      </c>
      <c r="D20" s="29">
        <f>'Gastos Totales'!C28</f>
        <v>1000</v>
      </c>
      <c r="E20" s="29">
        <f>'Gastos Totales'!D28</f>
        <v>1000</v>
      </c>
      <c r="F20" s="29">
        <f>'Gastos Totales'!F28</f>
        <v>1000</v>
      </c>
    </row>
    <row r="21" spans="2:6" x14ac:dyDescent="0.35">
      <c r="B21" s="27" t="s">
        <v>30</v>
      </c>
      <c r="C21" s="33">
        <f>'Gastos Totales'!C33</f>
        <v>9000</v>
      </c>
      <c r="D21" s="29">
        <f>'Gastos Totales'!D33</f>
        <v>10200</v>
      </c>
      <c r="E21" s="29">
        <f>'Gastos Totales'!E33</f>
        <v>11500</v>
      </c>
      <c r="F21" s="29">
        <f>'Gastos Totales'!F33</f>
        <v>12700</v>
      </c>
    </row>
    <row r="22" spans="2:6" x14ac:dyDescent="0.35">
      <c r="B22" s="166" t="s">
        <v>113</v>
      </c>
      <c r="C22" s="167">
        <f>SUM(C14:C21)</f>
        <v>280175</v>
      </c>
      <c r="D22" s="168">
        <f>SUM(D14:D21)</f>
        <v>371000</v>
      </c>
      <c r="E22" s="168">
        <f>SUM(E14:E21)</f>
        <v>524100</v>
      </c>
      <c r="F22" s="168">
        <f>SUM(F14:F21)</f>
        <v>715350</v>
      </c>
    </row>
    <row r="23" spans="2:6" x14ac:dyDescent="0.35">
      <c r="B23" s="186"/>
      <c r="C23" s="187"/>
      <c r="D23" s="188"/>
      <c r="E23" s="188"/>
      <c r="F23" s="188"/>
    </row>
    <row r="24" spans="2:6" x14ac:dyDescent="0.35">
      <c r="B24" s="27" t="s">
        <v>101</v>
      </c>
      <c r="C24" s="130">
        <v>0</v>
      </c>
      <c r="D24" s="131">
        <v>0</v>
      </c>
      <c r="E24" s="131">
        <v>0</v>
      </c>
      <c r="F24" s="131">
        <v>50000</v>
      </c>
    </row>
    <row r="25" spans="2:6" x14ac:dyDescent="0.35">
      <c r="B25" s="26"/>
      <c r="C25" s="32"/>
      <c r="D25" s="28"/>
      <c r="E25" s="28"/>
      <c r="F25" s="28"/>
    </row>
    <row r="26" spans="2:6" x14ac:dyDescent="0.35">
      <c r="B26" s="147" t="s">
        <v>46</v>
      </c>
      <c r="C26" s="148">
        <f>C11+C22</f>
        <v>391541.66666666669</v>
      </c>
      <c r="D26" s="148">
        <f>D11+D22</f>
        <v>587900</v>
      </c>
      <c r="E26" s="148">
        <f>E11+E22</f>
        <v>808800</v>
      </c>
      <c r="F26" s="148">
        <f>F11+F22</f>
        <v>1148850</v>
      </c>
    </row>
    <row r="27" spans="2:6" x14ac:dyDescent="0.35">
      <c r="B27" s="26"/>
      <c r="C27" s="32"/>
      <c r="D27" s="32"/>
      <c r="E27" s="32"/>
      <c r="F27" s="32"/>
    </row>
    <row r="28" spans="2:6" x14ac:dyDescent="0.35">
      <c r="B28" s="26" t="s">
        <v>114</v>
      </c>
      <c r="C28" s="32">
        <f>C5-C26</f>
        <v>-54541.666666666686</v>
      </c>
      <c r="D28" s="32">
        <f>D5-D26</f>
        <v>58600</v>
      </c>
      <c r="E28" s="32">
        <f>E5-E26</f>
        <v>169200</v>
      </c>
      <c r="F28" s="32">
        <f>F5-F26</f>
        <v>316150</v>
      </c>
    </row>
    <row r="29" spans="2:6" x14ac:dyDescent="0.35">
      <c r="B29" s="27" t="s">
        <v>165</v>
      </c>
      <c r="C29" s="33">
        <f>Amortizaciones!E11</f>
        <v>7457.1428571428569</v>
      </c>
      <c r="D29" s="29">
        <f>C29</f>
        <v>7457.1428571428569</v>
      </c>
      <c r="E29" s="29">
        <f>C29</f>
        <v>7457.1428571428569</v>
      </c>
      <c r="F29" s="29">
        <f>C29</f>
        <v>7457.1428571428569</v>
      </c>
    </row>
    <row r="30" spans="2:6" x14ac:dyDescent="0.35">
      <c r="B30" s="26" t="s">
        <v>110</v>
      </c>
      <c r="C30" s="32">
        <f>C28-C29</f>
        <v>-61998.809523809541</v>
      </c>
      <c r="D30" s="28">
        <f>D28-D29</f>
        <v>51142.857142857145</v>
      </c>
      <c r="E30" s="28">
        <f>E28-E29</f>
        <v>161742.85714285713</v>
      </c>
      <c r="F30" s="28">
        <f>F28-F29</f>
        <v>308692.85714285716</v>
      </c>
    </row>
    <row r="31" spans="2:6" x14ac:dyDescent="0.35">
      <c r="B31" s="27" t="s">
        <v>164</v>
      </c>
      <c r="C31" s="33">
        <f>Prestamo!C18</f>
        <v>2400</v>
      </c>
      <c r="D31" s="29">
        <f>Prestamo!C19</f>
        <v>1631.1635058944132</v>
      </c>
      <c r="E31" s="29">
        <f>Prestamo!C20</f>
        <v>831.57355202460315</v>
      </c>
      <c r="F31" s="29">
        <v>0</v>
      </c>
    </row>
    <row r="32" spans="2:6" x14ac:dyDescent="0.35">
      <c r="B32" s="26" t="s">
        <v>115</v>
      </c>
      <c r="C32" s="32">
        <f>C30-C31</f>
        <v>-64398.809523809541</v>
      </c>
      <c r="D32" s="28">
        <f>D30-D31</f>
        <v>49511.693636962729</v>
      </c>
      <c r="E32" s="28">
        <f>E30-E31</f>
        <v>160911.28359083252</v>
      </c>
      <c r="F32" s="28">
        <f>F30-F31</f>
        <v>308692.85714285716</v>
      </c>
    </row>
    <row r="33" spans="2:6" x14ac:dyDescent="0.35">
      <c r="B33" s="27" t="s">
        <v>166</v>
      </c>
      <c r="C33" s="33">
        <v>0</v>
      </c>
      <c r="D33" s="29">
        <f>0.22*D32</f>
        <v>10892.5726001318</v>
      </c>
      <c r="E33" s="29">
        <f t="shared" ref="E33:F33" si="1">0.22*E32</f>
        <v>35400.482389983154</v>
      </c>
      <c r="F33" s="29">
        <f t="shared" si="1"/>
        <v>67912.42857142858</v>
      </c>
    </row>
    <row r="34" spans="2:6" ht="15.45" thickBot="1" x14ac:dyDescent="0.4">
      <c r="B34" s="26" t="s">
        <v>116</v>
      </c>
      <c r="C34" s="34">
        <f>C32-C33</f>
        <v>-64398.809523809541</v>
      </c>
      <c r="D34" s="30">
        <f>D32-D33</f>
        <v>38619.121036830926</v>
      </c>
      <c r="E34" s="30">
        <f>E32-E33</f>
        <v>125510.80120084937</v>
      </c>
      <c r="F34" s="30">
        <f>F32-F33</f>
        <v>240780.42857142858</v>
      </c>
    </row>
    <row r="35" spans="2:6" x14ac:dyDescent="0.35">
      <c r="C35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Y41"/>
  <sheetViews>
    <sheetView topLeftCell="A23" workbookViewId="0">
      <selection activeCell="L34" sqref="L34"/>
    </sheetView>
  </sheetViews>
  <sheetFormatPr baseColWidth="10" defaultColWidth="10.85546875" defaultRowHeight="15" x14ac:dyDescent="0.35"/>
  <cols>
    <col min="1" max="1" width="3.5" style="2" customWidth="1"/>
    <col min="2" max="2" width="38.140625" style="2" customWidth="1"/>
    <col min="3" max="3" width="8.140625" style="2" customWidth="1"/>
    <col min="4" max="5" width="10.85546875" style="2"/>
    <col min="6" max="6" width="10.85546875" style="2" customWidth="1"/>
    <col min="7" max="7" width="10.85546875" style="2"/>
    <col min="8" max="8" width="7.92578125" style="2" customWidth="1"/>
    <col min="9" max="9" width="8.5703125" style="2" customWidth="1"/>
    <col min="10" max="10" width="8.5" style="2" customWidth="1"/>
    <col min="11" max="11" width="9.140625" style="2" customWidth="1"/>
    <col min="12" max="16384" width="10.85546875" style="2"/>
  </cols>
  <sheetData>
    <row r="3" spans="2:25" x14ac:dyDescent="0.35">
      <c r="B3" s="16"/>
      <c r="C3" s="16"/>
      <c r="D3" s="16"/>
      <c r="E3" s="16"/>
      <c r="F3" s="17"/>
      <c r="G3" s="17"/>
      <c r="H3" s="17"/>
    </row>
    <row r="4" spans="2:25" x14ac:dyDescent="0.35">
      <c r="B4" s="16"/>
      <c r="C4" s="16"/>
      <c r="D4" s="16"/>
      <c r="E4" s="16"/>
      <c r="F4" s="17"/>
      <c r="G4" s="17"/>
      <c r="H4" s="17"/>
    </row>
    <row r="5" spans="2:25" x14ac:dyDescent="0.35">
      <c r="B5" s="16"/>
      <c r="C5" s="16"/>
      <c r="D5" s="16"/>
      <c r="E5" s="16"/>
      <c r="F5" s="17"/>
      <c r="G5" s="17"/>
      <c r="H5" s="17"/>
    </row>
    <row r="6" spans="2:25" ht="22.75" x14ac:dyDescent="0.55000000000000004">
      <c r="B6" s="192" t="s">
        <v>93</v>
      </c>
      <c r="C6" s="193"/>
      <c r="D6" s="193"/>
      <c r="E6" s="193"/>
      <c r="F6" s="193"/>
      <c r="G6" s="194"/>
      <c r="H6" s="17"/>
    </row>
    <row r="7" spans="2:25" x14ac:dyDescent="0.35">
      <c r="B7" s="16"/>
      <c r="C7" s="16"/>
      <c r="D7" s="16"/>
      <c r="E7" s="16"/>
      <c r="F7" s="17"/>
      <c r="G7" s="17"/>
      <c r="H7" s="17"/>
    </row>
    <row r="8" spans="2:25" s="70" customFormat="1" ht="22" customHeight="1" thickBot="1" x14ac:dyDescent="0.45">
      <c r="B8" s="128"/>
      <c r="C8" s="128" t="s">
        <v>35</v>
      </c>
      <c r="D8" s="189" t="s">
        <v>0</v>
      </c>
      <c r="E8" s="189" t="s">
        <v>1</v>
      </c>
      <c r="F8" s="189" t="s">
        <v>2</v>
      </c>
      <c r="G8" s="189" t="s">
        <v>23</v>
      </c>
      <c r="H8" s="6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0.05" customHeight="1" x14ac:dyDescent="0.35">
      <c r="B9" s="156" t="s">
        <v>151</v>
      </c>
      <c r="C9" s="18">
        <v>0</v>
      </c>
      <c r="D9" s="18">
        <f>C38</f>
        <v>120000</v>
      </c>
      <c r="E9" s="18">
        <f>D38</f>
        <v>47137.420980693656</v>
      </c>
      <c r="F9" s="18">
        <f>E38</f>
        <v>58323.936027922202</v>
      </c>
      <c r="G9" s="19">
        <f>F38</f>
        <v>145802.54128529946</v>
      </c>
      <c r="H9" s="17"/>
    </row>
    <row r="10" spans="2:25" ht="15.45" x14ac:dyDescent="0.4">
      <c r="B10" s="20" t="s">
        <v>36</v>
      </c>
      <c r="C10" s="16"/>
      <c r="D10" s="16"/>
      <c r="E10" s="16"/>
      <c r="F10" s="16"/>
      <c r="G10" s="21"/>
      <c r="H10" s="17"/>
    </row>
    <row r="11" spans="2:25" x14ac:dyDescent="0.35">
      <c r="B11" s="13" t="s">
        <v>42</v>
      </c>
      <c r="C11" s="16"/>
      <c r="D11" s="16">
        <f>'Cuenta P y G'!C5</f>
        <v>337000</v>
      </c>
      <c r="E11" s="16">
        <f>'Cuenta P y G'!D5</f>
        <v>646500</v>
      </c>
      <c r="F11" s="16">
        <f>'Cuenta P y G'!E5</f>
        <v>978000</v>
      </c>
      <c r="G11" s="21">
        <f>'Cuenta P y G'!F5</f>
        <v>1465000</v>
      </c>
      <c r="H11" s="17"/>
    </row>
    <row r="12" spans="2:25" x14ac:dyDescent="0.35">
      <c r="B12" s="13" t="s">
        <v>146</v>
      </c>
      <c r="C12" s="16"/>
      <c r="D12" s="16"/>
      <c r="E12" s="16"/>
      <c r="F12" s="16"/>
      <c r="G12" s="21"/>
      <c r="H12" s="17"/>
    </row>
    <row r="13" spans="2:25" x14ac:dyDescent="0.35">
      <c r="B13" s="13" t="s">
        <v>148</v>
      </c>
      <c r="C13" s="71">
        <f>Balance!C15</f>
        <v>120000</v>
      </c>
      <c r="D13" s="16"/>
      <c r="E13" s="16"/>
      <c r="F13" s="16"/>
      <c r="G13" s="21"/>
      <c r="H13" s="17"/>
    </row>
    <row r="14" spans="2:25" x14ac:dyDescent="0.35">
      <c r="B14" s="13" t="s">
        <v>137</v>
      </c>
      <c r="C14" s="16"/>
      <c r="D14" s="16">
        <f>Prestamo!B3</f>
        <v>60000</v>
      </c>
      <c r="E14" s="16"/>
      <c r="F14" s="16"/>
      <c r="G14" s="21"/>
      <c r="H14" s="17"/>
    </row>
    <row r="15" spans="2:25" x14ac:dyDescent="0.35">
      <c r="B15" s="13" t="s">
        <v>149</v>
      </c>
      <c r="C15" s="16"/>
      <c r="D15" s="16"/>
      <c r="E15" s="16"/>
      <c r="F15" s="16"/>
      <c r="G15" s="21"/>
      <c r="H15" s="17"/>
    </row>
    <row r="16" spans="2:25" x14ac:dyDescent="0.35">
      <c r="B16" s="13" t="s">
        <v>134</v>
      </c>
      <c r="C16" s="16"/>
      <c r="D16" s="16"/>
      <c r="E16" s="16">
        <v>10000</v>
      </c>
      <c r="F16" s="16">
        <v>20000</v>
      </c>
      <c r="G16" s="16">
        <v>30000</v>
      </c>
      <c r="H16" s="17"/>
    </row>
    <row r="17" spans="2:8" x14ac:dyDescent="0.35">
      <c r="B17" s="13" t="s">
        <v>150</v>
      </c>
      <c r="C17" s="16"/>
      <c r="D17" s="16"/>
      <c r="E17" s="16"/>
      <c r="F17" s="16"/>
      <c r="G17" s="21"/>
      <c r="H17" s="17"/>
    </row>
    <row r="18" spans="2:8" x14ac:dyDescent="0.35">
      <c r="B18" s="13" t="s">
        <v>147</v>
      </c>
      <c r="C18" s="16"/>
      <c r="D18" s="16"/>
      <c r="E18" s="16"/>
      <c r="F18" s="16"/>
      <c r="G18" s="21"/>
      <c r="H18" s="17"/>
    </row>
    <row r="19" spans="2:8" ht="15.45" x14ac:dyDescent="0.4">
      <c r="B19" s="14" t="s">
        <v>37</v>
      </c>
      <c r="C19" s="22">
        <f>SUM(C11:C18)</f>
        <v>120000</v>
      </c>
      <c r="D19" s="22">
        <f>SUM(D11:D18)</f>
        <v>397000</v>
      </c>
      <c r="E19" s="22">
        <f>SUM(E11:E18)</f>
        <v>656500</v>
      </c>
      <c r="F19" s="22">
        <f>SUM(F11:F18)</f>
        <v>998000</v>
      </c>
      <c r="G19" s="23">
        <f>SUM(G11:G18)</f>
        <v>1495000</v>
      </c>
      <c r="H19" s="17"/>
    </row>
    <row r="20" spans="2:8" ht="15.45" x14ac:dyDescent="0.4">
      <c r="B20" s="15" t="s">
        <v>38</v>
      </c>
      <c r="C20" s="16"/>
      <c r="D20" s="16"/>
      <c r="E20" s="16"/>
      <c r="F20" s="16"/>
      <c r="G20" s="21"/>
      <c r="H20" s="17"/>
    </row>
    <row r="21" spans="2:8" x14ac:dyDescent="0.35">
      <c r="B21" s="13" t="s">
        <v>145</v>
      </c>
      <c r="C21" s="16"/>
      <c r="D21" s="16">
        <f>Amortizaciones!C13</f>
        <v>48000</v>
      </c>
      <c r="E21" s="16">
        <f>Amortizaciones!D13</f>
        <v>0</v>
      </c>
      <c r="F21" s="16">
        <f>Amortizaciones!E13</f>
        <v>0</v>
      </c>
      <c r="G21" s="21">
        <f>Amortizaciones!F13</f>
        <v>0</v>
      </c>
      <c r="H21" s="17"/>
    </row>
    <row r="22" spans="2:8" x14ac:dyDescent="0.35">
      <c r="B22" s="13" t="s">
        <v>44</v>
      </c>
      <c r="C22" s="16"/>
      <c r="D22" s="16">
        <f>'Cuenta P y G'!C11</f>
        <v>111366.66666666667</v>
      </c>
      <c r="E22" s="16">
        <f>'Cuenta P y G'!D11</f>
        <v>216900</v>
      </c>
      <c r="F22" s="16">
        <f>'Cuenta P y G'!E11</f>
        <v>284700</v>
      </c>
      <c r="G22" s="159">
        <f>'Cuenta P y G'!F11</f>
        <v>433500</v>
      </c>
      <c r="H22" s="17"/>
    </row>
    <row r="23" spans="2:8" x14ac:dyDescent="0.35">
      <c r="B23" s="13" t="s">
        <v>45</v>
      </c>
      <c r="C23" s="16"/>
      <c r="D23" s="16">
        <f>'Gastos Totales'!C8</f>
        <v>8700</v>
      </c>
      <c r="E23" s="16">
        <f>'Gastos Totales'!D8</f>
        <v>24900</v>
      </c>
      <c r="F23" s="16">
        <f>'Gastos Totales'!E8</f>
        <v>44700</v>
      </c>
      <c r="G23" s="21">
        <f>'Gastos Totales'!F8</f>
        <v>73500</v>
      </c>
      <c r="H23" s="17"/>
    </row>
    <row r="24" spans="2:8" x14ac:dyDescent="0.35">
      <c r="B24" s="13" t="s">
        <v>28</v>
      </c>
      <c r="C24" s="16"/>
      <c r="D24" s="16">
        <f>'Gastos Totales'!C12</f>
        <v>177500</v>
      </c>
      <c r="E24" s="16">
        <f>'Personal Gastos y SS'!G13</f>
        <v>240000</v>
      </c>
      <c r="F24" s="16">
        <f>'Cuenta P y G'!E14</f>
        <v>350000</v>
      </c>
      <c r="G24" s="21">
        <f>'Cuenta P y G'!F14</f>
        <v>485000</v>
      </c>
      <c r="H24" s="17"/>
    </row>
    <row r="25" spans="2:8" x14ac:dyDescent="0.35">
      <c r="B25" s="13" t="s">
        <v>21</v>
      </c>
      <c r="C25" s="16"/>
      <c r="D25" s="16">
        <f>'Cuenta P y G'!C15</f>
        <v>58575</v>
      </c>
      <c r="E25" s="16">
        <f>'Cuenta P y G'!D15</f>
        <v>79200</v>
      </c>
      <c r="F25" s="16">
        <f>'Cuenta P y G'!E15</f>
        <v>115500</v>
      </c>
      <c r="G25" s="21">
        <f>'Cuenta P y G'!F15</f>
        <v>160050</v>
      </c>
      <c r="H25" s="17"/>
    </row>
    <row r="26" spans="2:8" x14ac:dyDescent="0.35">
      <c r="B26" s="13" t="s">
        <v>27</v>
      </c>
      <c r="C26" s="16"/>
      <c r="D26" s="16">
        <f>'Gastos Totales'!C14</f>
        <v>12000</v>
      </c>
      <c r="E26" s="16">
        <f>'Gastos Totales'!D14</f>
        <v>12000</v>
      </c>
      <c r="F26" s="16">
        <f>'Gastos Totales'!E14</f>
        <v>12000</v>
      </c>
      <c r="G26" s="21">
        <f>'Gastos Totales'!F14</f>
        <v>12000</v>
      </c>
      <c r="H26" s="17"/>
    </row>
    <row r="27" spans="2:8" x14ac:dyDescent="0.35">
      <c r="B27" s="13" t="s">
        <v>25</v>
      </c>
      <c r="C27" s="16"/>
      <c r="D27" s="16">
        <f>'Gastos Totales'!C19</f>
        <v>5100</v>
      </c>
      <c r="E27" s="16">
        <f>'Gastos Totales'!D19</f>
        <v>5100</v>
      </c>
      <c r="F27" s="16">
        <f>'Gastos Totales'!E19</f>
        <v>5100</v>
      </c>
      <c r="G27" s="21">
        <f>'Gastos Totales'!F19</f>
        <v>5100</v>
      </c>
      <c r="H27" s="17"/>
    </row>
    <row r="28" spans="2:8" x14ac:dyDescent="0.35">
      <c r="B28" s="13" t="s">
        <v>26</v>
      </c>
      <c r="C28" s="16"/>
      <c r="D28" s="16">
        <f>'Gastos Totales'!C25</f>
        <v>16000</v>
      </c>
      <c r="E28" s="16">
        <f>'Gastos Totales'!D25</f>
        <v>22500</v>
      </c>
      <c r="F28" s="16">
        <f>'Gastos Totales'!E25</f>
        <v>27000</v>
      </c>
      <c r="G28" s="21">
        <f>'Gastos Totales'!F25</f>
        <v>34500</v>
      </c>
      <c r="H28" s="17"/>
    </row>
    <row r="29" spans="2:8" x14ac:dyDescent="0.35">
      <c r="B29" s="13" t="s">
        <v>14</v>
      </c>
      <c r="C29" s="16"/>
      <c r="D29" s="16">
        <f>'Gastos Totales'!C27</f>
        <v>1000</v>
      </c>
      <c r="E29" s="16">
        <f>'Gastos Totales'!D27</f>
        <v>1000</v>
      </c>
      <c r="F29" s="16">
        <f>'Gastos Totales'!E27</f>
        <v>2000</v>
      </c>
      <c r="G29" s="21">
        <f>'Gastos Totales'!F27</f>
        <v>5000</v>
      </c>
      <c r="H29" s="17"/>
    </row>
    <row r="30" spans="2:8" x14ac:dyDescent="0.35">
      <c r="B30" s="13" t="s">
        <v>43</v>
      </c>
      <c r="C30" s="16"/>
      <c r="D30" s="16">
        <f>'Gastos Totales'!C28</f>
        <v>1000</v>
      </c>
      <c r="E30" s="16">
        <f>'Gastos Totales'!D28</f>
        <v>1000</v>
      </c>
      <c r="F30" s="16">
        <f>'Gastos Totales'!E28</f>
        <v>1000</v>
      </c>
      <c r="G30" s="21">
        <f>'Gastos Totales'!F28</f>
        <v>1000</v>
      </c>
      <c r="H30" s="17"/>
    </row>
    <row r="31" spans="2:8" x14ac:dyDescent="0.35">
      <c r="B31" s="13" t="s">
        <v>30</v>
      </c>
      <c r="C31" s="16"/>
      <c r="D31" s="16">
        <f>'Gastos Totales'!C33</f>
        <v>9000</v>
      </c>
      <c r="E31" s="16">
        <f>'Gastos Totales'!D33</f>
        <v>10200</v>
      </c>
      <c r="F31" s="16">
        <f>'Gastos Totales'!E33</f>
        <v>11500</v>
      </c>
      <c r="G31" s="21">
        <f>'Gastos Totales'!F33</f>
        <v>12700</v>
      </c>
      <c r="H31" s="17"/>
    </row>
    <row r="32" spans="2:8" x14ac:dyDescent="0.35">
      <c r="B32" s="13" t="s">
        <v>41</v>
      </c>
      <c r="C32" s="16"/>
      <c r="D32" s="16">
        <f>'Cuenta P y G'!C33</f>
        <v>0</v>
      </c>
      <c r="E32" s="16">
        <f>'Cuenta P y G'!D33</f>
        <v>10892.5726001318</v>
      </c>
      <c r="F32" s="16">
        <f>'Cuenta P y G'!E33</f>
        <v>35400.482389983154</v>
      </c>
      <c r="G32" s="21">
        <f>'Cuenta P y G'!F33</f>
        <v>67912.42857142858</v>
      </c>
      <c r="H32" s="17"/>
    </row>
    <row r="33" spans="2:8" x14ac:dyDescent="0.35">
      <c r="B33" s="13" t="s">
        <v>141</v>
      </c>
      <c r="D33" s="16">
        <f>'Cuenta P y G'!C31</f>
        <v>2400</v>
      </c>
      <c r="E33" s="16">
        <f>'Cuenta P y G'!D31</f>
        <v>1631.1635058944132</v>
      </c>
      <c r="F33" s="16">
        <f>'Cuenta P y G'!E31</f>
        <v>831.57355202460315</v>
      </c>
      <c r="G33" s="21">
        <v>0</v>
      </c>
      <c r="H33" s="17"/>
    </row>
    <row r="34" spans="2:8" x14ac:dyDescent="0.35">
      <c r="B34" s="13" t="s">
        <v>142</v>
      </c>
      <c r="C34" s="16"/>
      <c r="D34" s="16"/>
      <c r="E34" s="16"/>
      <c r="F34" s="16"/>
      <c r="G34" s="21"/>
      <c r="H34" s="17"/>
    </row>
    <row r="35" spans="2:8" x14ac:dyDescent="0.35">
      <c r="B35" s="13" t="s">
        <v>143</v>
      </c>
      <c r="D35" s="16">
        <f>Principal1</f>
        <v>19220.912352639669</v>
      </c>
      <c r="E35" s="16">
        <f>Principal2</f>
        <v>19989.748846745257</v>
      </c>
      <c r="F35" s="16">
        <f>Principal3</f>
        <v>20789.338800615067</v>
      </c>
      <c r="G35" s="21">
        <v>0</v>
      </c>
    </row>
    <row r="36" spans="2:8" x14ac:dyDescent="0.35">
      <c r="B36" s="13" t="s">
        <v>144</v>
      </c>
      <c r="D36" s="16"/>
      <c r="E36" s="16"/>
      <c r="F36" s="16"/>
      <c r="G36" s="21">
        <v>50000</v>
      </c>
    </row>
    <row r="37" spans="2:8" ht="27" customHeight="1" x14ac:dyDescent="0.4">
      <c r="B37" s="14" t="s">
        <v>39</v>
      </c>
      <c r="C37" s="22">
        <f>SUM(C21:C30)</f>
        <v>0</v>
      </c>
      <c r="D37" s="22">
        <f>SUM(D21:D36)</f>
        <v>469862.57901930634</v>
      </c>
      <c r="E37" s="22">
        <f>SUM(E21:E36)</f>
        <v>645313.48495277145</v>
      </c>
      <c r="F37" s="22">
        <f>SUM(F21:F36)</f>
        <v>910521.39474262274</v>
      </c>
      <c r="G37" s="23">
        <f>SUM(G21:G36)</f>
        <v>1340262.4285714286</v>
      </c>
    </row>
    <row r="38" spans="2:8" ht="29.15" customHeight="1" thickBot="1" x14ac:dyDescent="0.4">
      <c r="B38" s="24" t="s">
        <v>152</v>
      </c>
      <c r="C38" s="25">
        <f>C19-C37</f>
        <v>120000</v>
      </c>
      <c r="D38" s="25">
        <f>D9+D19-D37</f>
        <v>47137.420980693656</v>
      </c>
      <c r="E38" s="25">
        <f t="shared" ref="E38:G38" si="0">E9+E19-E37</f>
        <v>58323.936027922202</v>
      </c>
      <c r="F38" s="25">
        <f t="shared" si="0"/>
        <v>145802.54128529946</v>
      </c>
      <c r="G38" s="157">
        <f t="shared" si="0"/>
        <v>300540.11271387083</v>
      </c>
    </row>
    <row r="39" spans="2:8" ht="27" customHeight="1" x14ac:dyDescent="0.35">
      <c r="B39" s="16"/>
      <c r="D39" s="9"/>
    </row>
    <row r="40" spans="2:8" ht="15.45" x14ac:dyDescent="0.4">
      <c r="B40" s="169" t="s">
        <v>180</v>
      </c>
      <c r="D40" s="9"/>
    </row>
    <row r="41" spans="2:8" ht="15.45" x14ac:dyDescent="0.4">
      <c r="B41" s="169" t="s">
        <v>161</v>
      </c>
    </row>
  </sheetData>
  <mergeCells count="1">
    <mergeCell ref="B6:G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8"/>
  <sheetViews>
    <sheetView topLeftCell="A6" workbookViewId="0">
      <selection activeCell="G11" sqref="G11"/>
    </sheetView>
  </sheetViews>
  <sheetFormatPr baseColWidth="10" defaultColWidth="10.85546875" defaultRowHeight="15" x14ac:dyDescent="0.35"/>
  <cols>
    <col min="1" max="1" width="10.85546875" style="2"/>
    <col min="2" max="2" width="41.0703125" style="2" customWidth="1"/>
    <col min="3" max="3" width="7.85546875" style="2" customWidth="1"/>
    <col min="4" max="16384" width="10.85546875" style="2"/>
  </cols>
  <sheetData>
    <row r="2" spans="2:10" ht="15.45" thickBot="1" x14ac:dyDescent="0.4">
      <c r="B2" s="126"/>
      <c r="C2" s="127" t="s">
        <v>35</v>
      </c>
      <c r="D2" s="127" t="s">
        <v>0</v>
      </c>
      <c r="E2" s="127" t="s">
        <v>1</v>
      </c>
      <c r="F2" s="127" t="s">
        <v>2</v>
      </c>
      <c r="G2" s="127" t="s">
        <v>23</v>
      </c>
      <c r="H2" s="3"/>
    </row>
    <row r="3" spans="2:10" ht="15.45" thickBot="1" x14ac:dyDescent="0.4">
      <c r="B3" s="5" t="s">
        <v>90</v>
      </c>
      <c r="C3" s="6">
        <f>SUM(C4:C7)</f>
        <v>0</v>
      </c>
      <c r="D3" s="6">
        <f>SUM(D4:D7)</f>
        <v>40542.857142857145</v>
      </c>
      <c r="E3" s="6">
        <f>SUM(E4:E7)</f>
        <v>33085.71428571429</v>
      </c>
      <c r="F3" s="6">
        <f>SUM(F4:F7)</f>
        <v>25628.571428571428</v>
      </c>
      <c r="G3" s="7">
        <f>SUM(G4:G7)</f>
        <v>18171.428571428572</v>
      </c>
      <c r="H3" s="3"/>
    </row>
    <row r="4" spans="2:10" x14ac:dyDescent="0.35">
      <c r="B4" s="160" t="s">
        <v>129</v>
      </c>
      <c r="C4" s="4">
        <v>0</v>
      </c>
      <c r="D4" s="4">
        <v>48000</v>
      </c>
      <c r="E4" s="4">
        <v>48000</v>
      </c>
      <c r="F4" s="4">
        <v>48000</v>
      </c>
      <c r="G4" s="8">
        <v>48000</v>
      </c>
      <c r="H4" s="3"/>
    </row>
    <row r="5" spans="2:10" x14ac:dyDescent="0.35">
      <c r="B5" s="160" t="s">
        <v>130</v>
      </c>
      <c r="C5" s="4">
        <v>0</v>
      </c>
      <c r="D5" s="4">
        <v>0</v>
      </c>
      <c r="E5" s="4">
        <v>0</v>
      </c>
      <c r="F5" s="4">
        <v>0</v>
      </c>
      <c r="G5" s="8">
        <v>0</v>
      </c>
      <c r="H5" s="3"/>
      <c r="I5" s="4" t="s">
        <v>81</v>
      </c>
    </row>
    <row r="6" spans="2:10" x14ac:dyDescent="0.35">
      <c r="B6" s="160" t="s">
        <v>131</v>
      </c>
      <c r="C6" s="4">
        <v>0</v>
      </c>
      <c r="D6" s="4">
        <f>-Amortizaciones!E11</f>
        <v>-7457.1428571428569</v>
      </c>
      <c r="E6" s="4">
        <f>D6*2</f>
        <v>-14914.285714285714</v>
      </c>
      <c r="F6" s="4">
        <f>D6*3</f>
        <v>-22371.428571428572</v>
      </c>
      <c r="G6" s="8">
        <f>D6*4</f>
        <v>-29828.571428571428</v>
      </c>
      <c r="H6" s="3"/>
      <c r="I6" s="4" t="s">
        <v>82</v>
      </c>
    </row>
    <row r="7" spans="2:10" ht="15.45" thickBot="1" x14ac:dyDescent="0.4">
      <c r="B7" s="160" t="s">
        <v>132</v>
      </c>
      <c r="C7" s="4">
        <v>0</v>
      </c>
      <c r="D7" s="4">
        <f>+C7</f>
        <v>0</v>
      </c>
      <c r="E7" s="4">
        <f t="shared" ref="E7:G7" si="0">+D7</f>
        <v>0</v>
      </c>
      <c r="F7" s="4">
        <f t="shared" si="0"/>
        <v>0</v>
      </c>
      <c r="G7" s="8">
        <f t="shared" si="0"/>
        <v>0</v>
      </c>
      <c r="H7" s="3"/>
    </row>
    <row r="8" spans="2:10" ht="15.45" thickBot="1" x14ac:dyDescent="0.4">
      <c r="B8" s="5" t="s">
        <v>89</v>
      </c>
      <c r="C8" s="6">
        <f>SUM(C9:C11)</f>
        <v>120000</v>
      </c>
      <c r="D8" s="6">
        <f>SUM(D9:D11)</f>
        <v>75837.420980693641</v>
      </c>
      <c r="E8" s="6">
        <f t="shared" ref="E8:G8" si="1">SUM(E9:E11)</f>
        <v>111923.93602792217</v>
      </c>
      <c r="F8" s="6">
        <f t="shared" si="1"/>
        <v>244102.54128529935</v>
      </c>
      <c r="G8" s="7">
        <f t="shared" si="1"/>
        <v>492340.11271387077</v>
      </c>
      <c r="H8" s="3"/>
    </row>
    <row r="9" spans="2:10" x14ac:dyDescent="0.35">
      <c r="B9" s="160" t="s">
        <v>133</v>
      </c>
      <c r="C9" s="4">
        <v>0</v>
      </c>
      <c r="D9" s="4">
        <v>40000</v>
      </c>
      <c r="E9" s="4">
        <v>60000</v>
      </c>
      <c r="F9" s="4">
        <v>100000</v>
      </c>
      <c r="G9" s="8">
        <v>100000</v>
      </c>
      <c r="H9" s="3"/>
      <c r="I9" s="4"/>
    </row>
    <row r="10" spans="2:10" x14ac:dyDescent="0.35">
      <c r="B10" s="160" t="s">
        <v>134</v>
      </c>
      <c r="C10" s="4">
        <v>0</v>
      </c>
      <c r="D10" s="4">
        <v>10000</v>
      </c>
      <c r="E10" s="4">
        <v>20000</v>
      </c>
      <c r="F10" s="4">
        <v>30000</v>
      </c>
      <c r="G10" s="8">
        <v>50000</v>
      </c>
      <c r="H10" s="3"/>
      <c r="I10" s="4"/>
      <c r="J10" s="3"/>
    </row>
    <row r="11" spans="2:10" ht="15.45" thickBot="1" x14ac:dyDescent="0.4">
      <c r="B11" s="160" t="s">
        <v>135</v>
      </c>
      <c r="C11" s="4">
        <f>C15</f>
        <v>120000</v>
      </c>
      <c r="D11" s="4">
        <f>D27-D3-D9-D10</f>
        <v>25837.420980693641</v>
      </c>
      <c r="E11" s="4">
        <f>E27-E3-E9-E10</f>
        <v>31923.936027922173</v>
      </c>
      <c r="F11" s="4">
        <f>F27-F3-F9-F10</f>
        <v>114102.54128529935</v>
      </c>
      <c r="G11" s="37">
        <f>G27-G3-G9-G10</f>
        <v>342340.11271387077</v>
      </c>
      <c r="H11" s="3"/>
      <c r="J11" s="9"/>
    </row>
    <row r="12" spans="2:10" ht="18" customHeight="1" thickBot="1" x14ac:dyDescent="0.4">
      <c r="B12" s="135" t="s">
        <v>91</v>
      </c>
      <c r="C12" s="136">
        <f>C3+C8</f>
        <v>120000</v>
      </c>
      <c r="D12" s="136">
        <f>D3+D8</f>
        <v>116380.27812355079</v>
      </c>
      <c r="E12" s="136">
        <f>E3+E8</f>
        <v>145009.65031363646</v>
      </c>
      <c r="F12" s="136">
        <f>F3+F8</f>
        <v>269731.11271387077</v>
      </c>
      <c r="G12" s="137">
        <f>G3+G8</f>
        <v>510511.54128529935</v>
      </c>
      <c r="H12" s="3"/>
      <c r="J12" s="9"/>
    </row>
    <row r="13" spans="2:10" ht="21" customHeight="1" thickBot="1" x14ac:dyDescent="0.4">
      <c r="B13" s="10"/>
      <c r="C13" s="11"/>
      <c r="D13" s="11"/>
      <c r="E13" s="11"/>
      <c r="F13" s="4"/>
      <c r="G13" s="11"/>
      <c r="H13" s="3"/>
      <c r="J13" s="9"/>
    </row>
    <row r="14" spans="2:10" x14ac:dyDescent="0.35">
      <c r="B14" s="138" t="s">
        <v>55</v>
      </c>
      <c r="C14" s="139">
        <f>SUM(C15:C17)</f>
        <v>120000</v>
      </c>
      <c r="D14" s="139">
        <f>SUM(D15:D17)</f>
        <v>55601.190476190459</v>
      </c>
      <c r="E14" s="139">
        <f>SUM(E15:E16)</f>
        <v>94220.311513021385</v>
      </c>
      <c r="F14" s="139">
        <f t="shared" ref="F14:G14" si="2">SUM(F15:F16)</f>
        <v>219731.11271387077</v>
      </c>
      <c r="G14" s="140">
        <f t="shared" si="2"/>
        <v>460511.54128529935</v>
      </c>
      <c r="H14" s="3"/>
      <c r="I14" s="4" t="s">
        <v>157</v>
      </c>
    </row>
    <row r="15" spans="2:10" x14ac:dyDescent="0.35">
      <c r="B15" s="160" t="s">
        <v>118</v>
      </c>
      <c r="C15" s="4">
        <v>120000</v>
      </c>
      <c r="D15" s="4">
        <v>120000</v>
      </c>
      <c r="E15" s="4">
        <v>120000</v>
      </c>
      <c r="F15" s="4">
        <v>120000</v>
      </c>
      <c r="G15" s="8">
        <v>120000</v>
      </c>
      <c r="H15" s="3"/>
    </row>
    <row r="16" spans="2:10" x14ac:dyDescent="0.35">
      <c r="B16" s="160" t="s">
        <v>136</v>
      </c>
      <c r="C16" s="4">
        <v>0</v>
      </c>
      <c r="D16" s="4">
        <f>+C16</f>
        <v>0</v>
      </c>
      <c r="E16" s="4">
        <f>D17+E17</f>
        <v>-25779.688486978615</v>
      </c>
      <c r="F16" s="4">
        <f>E16+F17</f>
        <v>99731.112713870752</v>
      </c>
      <c r="G16" s="8">
        <f>F16+G17</f>
        <v>340511.54128529935</v>
      </c>
      <c r="H16" s="3"/>
      <c r="I16" s="4"/>
    </row>
    <row r="17" spans="2:9" ht="15.45" thickBot="1" x14ac:dyDescent="0.4">
      <c r="B17" s="161" t="s">
        <v>112</v>
      </c>
      <c r="C17" s="36">
        <v>0</v>
      </c>
      <c r="D17" s="36">
        <f>'Cuenta P y G'!C34</f>
        <v>-64398.809523809541</v>
      </c>
      <c r="E17" s="36">
        <f>'Cuenta P y G'!D34</f>
        <v>38619.121036830926</v>
      </c>
      <c r="F17" s="36">
        <f>'Cuenta P y G'!E34</f>
        <v>125510.80120084937</v>
      </c>
      <c r="G17" s="37">
        <f>'Cuenta P y G'!F34</f>
        <v>240780.42857142858</v>
      </c>
      <c r="H17" s="3"/>
    </row>
    <row r="18" spans="2:9" ht="15.45" thickBot="1" x14ac:dyDescent="0.4">
      <c r="B18" s="42"/>
      <c r="C18" s="36"/>
      <c r="D18" s="36"/>
      <c r="E18" s="36"/>
      <c r="F18" s="36"/>
      <c r="G18" s="37"/>
      <c r="H18" s="3"/>
    </row>
    <row r="19" spans="2:9" ht="15.45" thickBot="1" x14ac:dyDescent="0.4">
      <c r="B19" s="196" t="s">
        <v>181</v>
      </c>
      <c r="C19" s="190"/>
      <c r="D19" s="190"/>
      <c r="E19" s="190"/>
      <c r="F19" s="190"/>
      <c r="G19" s="191"/>
      <c r="H19" s="3"/>
    </row>
    <row r="20" spans="2:9" ht="14.6" customHeight="1" thickBot="1" x14ac:dyDescent="0.4">
      <c r="B20" s="35" t="s">
        <v>97</v>
      </c>
      <c r="C20" s="36">
        <f>SUM(C21:C22)</f>
        <v>0</v>
      </c>
      <c r="D20" s="36">
        <f>SUM(D21:D22)</f>
        <v>40779.087647360328</v>
      </c>
      <c r="E20" s="36">
        <f>SUM(E21:E22)</f>
        <v>20789.338800615078</v>
      </c>
      <c r="F20" s="36">
        <f>SUM(F21:F22)</f>
        <v>0</v>
      </c>
      <c r="G20" s="37">
        <f>SUM(G21:G22)</f>
        <v>0</v>
      </c>
      <c r="H20" s="3"/>
    </row>
    <row r="21" spans="2:9" x14ac:dyDescent="0.35">
      <c r="B21" s="160" t="s">
        <v>137</v>
      </c>
      <c r="C21" s="39">
        <v>0</v>
      </c>
      <c r="D21" s="39">
        <f>Prestamo!F18</f>
        <v>40779.087647360328</v>
      </c>
      <c r="E21" s="39">
        <f>Prestamo!F19</f>
        <v>20789.338800615078</v>
      </c>
      <c r="F21" s="39">
        <v>0</v>
      </c>
      <c r="G21" s="40"/>
      <c r="H21" s="3"/>
      <c r="I21" s="4"/>
    </row>
    <row r="22" spans="2:9" ht="15.45" thickBot="1" x14ac:dyDescent="0.4">
      <c r="B22" s="160" t="s">
        <v>138</v>
      </c>
      <c r="C22" s="4">
        <v>0</v>
      </c>
      <c r="D22" s="4">
        <f>+C22</f>
        <v>0</v>
      </c>
      <c r="E22" s="4">
        <f t="shared" ref="E22:G22" si="3">+D22</f>
        <v>0</v>
      </c>
      <c r="F22" s="4">
        <f t="shared" si="3"/>
        <v>0</v>
      </c>
      <c r="G22" s="8">
        <f t="shared" si="3"/>
        <v>0</v>
      </c>
      <c r="H22" s="3"/>
    </row>
    <row r="23" spans="2:9" ht="15.45" thickBot="1" x14ac:dyDescent="0.4">
      <c r="B23" s="5" t="s">
        <v>98</v>
      </c>
      <c r="C23" s="6">
        <f>SUM(C24:C25)</f>
        <v>0</v>
      </c>
      <c r="D23" s="6">
        <f>SUM(D24:D25)</f>
        <v>20000</v>
      </c>
      <c r="E23" s="6">
        <f>SUM(E24:E25)</f>
        <v>30000</v>
      </c>
      <c r="F23" s="6">
        <f>SUM(F24:F25)</f>
        <v>50000</v>
      </c>
      <c r="G23" s="7">
        <f>SUM(G24:G25)</f>
        <v>50000</v>
      </c>
      <c r="H23" s="3"/>
      <c r="I23" s="3"/>
    </row>
    <row r="24" spans="2:9" x14ac:dyDescent="0.35">
      <c r="B24" s="160" t="s">
        <v>139</v>
      </c>
      <c r="C24" s="4">
        <v>0</v>
      </c>
      <c r="D24" s="4">
        <v>0</v>
      </c>
      <c r="E24" s="4">
        <v>0</v>
      </c>
      <c r="F24" s="4">
        <v>0</v>
      </c>
      <c r="G24" s="8">
        <v>0</v>
      </c>
      <c r="H24" s="3"/>
    </row>
    <row r="25" spans="2:9" x14ac:dyDescent="0.35">
      <c r="B25" s="160" t="s">
        <v>140</v>
      </c>
      <c r="C25" s="4">
        <v>0</v>
      </c>
      <c r="D25" s="4">
        <v>20000</v>
      </c>
      <c r="E25" s="4">
        <v>30000</v>
      </c>
      <c r="F25" s="4">
        <v>50000</v>
      </c>
      <c r="G25" s="8">
        <v>50000</v>
      </c>
      <c r="H25" s="3"/>
    </row>
    <row r="26" spans="2:9" ht="15.45" thickBot="1" x14ac:dyDescent="0.4">
      <c r="B26" s="141" t="s">
        <v>92</v>
      </c>
      <c r="C26" s="142">
        <f>C20+C23</f>
        <v>0</v>
      </c>
      <c r="D26" s="142">
        <f t="shared" ref="D26:G26" si="4">D20+D23</f>
        <v>60779.087647360328</v>
      </c>
      <c r="E26" s="142">
        <f t="shared" si="4"/>
        <v>50789.338800615078</v>
      </c>
      <c r="F26" s="142">
        <f t="shared" si="4"/>
        <v>50000</v>
      </c>
      <c r="G26" s="142">
        <f t="shared" si="4"/>
        <v>50000</v>
      </c>
      <c r="H26" s="3"/>
    </row>
    <row r="27" spans="2:9" ht="15.45" thickBot="1" x14ac:dyDescent="0.4">
      <c r="B27" s="135" t="s">
        <v>40</v>
      </c>
      <c r="C27" s="136">
        <f>C23+C20+C14</f>
        <v>120000</v>
      </c>
      <c r="D27" s="136">
        <f>D23+D20+D14</f>
        <v>116380.27812355079</v>
      </c>
      <c r="E27" s="136">
        <f>E23+E20+E14</f>
        <v>145009.65031363646</v>
      </c>
      <c r="F27" s="136">
        <f>F23+F20+F14</f>
        <v>269731.11271387077</v>
      </c>
      <c r="G27" s="137">
        <f>G23+G20+G14</f>
        <v>510511.54128529935</v>
      </c>
      <c r="H27" s="3"/>
    </row>
    <row r="28" spans="2:9" x14ac:dyDescent="0.35">
      <c r="B28" s="10"/>
      <c r="C28" s="11"/>
      <c r="D28" s="11"/>
      <c r="E28" s="11"/>
      <c r="F28" s="4"/>
      <c r="G28" s="11"/>
      <c r="H28" s="3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26F5-B3D3-4205-BB35-9EF4743AD64C}">
  <dimension ref="A2:H16"/>
  <sheetViews>
    <sheetView tabSelected="1" topLeftCell="A2" workbookViewId="0">
      <selection activeCell="I16" sqref="I16"/>
    </sheetView>
  </sheetViews>
  <sheetFormatPr baseColWidth="10" defaultRowHeight="15.9" x14ac:dyDescent="0.45"/>
  <cols>
    <col min="2" max="2" width="43.92578125" customWidth="1"/>
    <col min="4" max="4" width="8.28515625" customWidth="1"/>
    <col min="5" max="5" width="9.78515625" customWidth="1"/>
    <col min="6" max="6" width="9.640625" customWidth="1"/>
    <col min="7" max="7" width="10.140625" customWidth="1"/>
    <col min="8" max="8" width="23.5703125" customWidth="1"/>
    <col min="9" max="9" width="2.140625" customWidth="1"/>
  </cols>
  <sheetData>
    <row r="2" spans="1:8" ht="23.15" x14ac:dyDescent="0.6">
      <c r="B2" s="153" t="s">
        <v>156</v>
      </c>
    </row>
    <row r="3" spans="1:8" ht="23.15" x14ac:dyDescent="0.6">
      <c r="A3" s="152"/>
      <c r="B3" s="153"/>
    </row>
    <row r="4" spans="1:8" ht="23.15" x14ac:dyDescent="0.6">
      <c r="B4" s="178" t="s">
        <v>109</v>
      </c>
      <c r="C4" s="179" t="s">
        <v>51</v>
      </c>
      <c r="D4" s="179" t="s">
        <v>52</v>
      </c>
      <c r="E4" s="179" t="s">
        <v>53</v>
      </c>
      <c r="F4" s="179" t="s">
        <v>54</v>
      </c>
      <c r="G4" s="179" t="s">
        <v>170</v>
      </c>
    </row>
    <row r="5" spans="1:8" x14ac:dyDescent="0.45">
      <c r="B5" t="s">
        <v>42</v>
      </c>
      <c r="C5" s="41">
        <f>'Cuenta P y G'!C5</f>
        <v>337000</v>
      </c>
      <c r="D5" s="41">
        <f>'Cuenta P y G'!D5</f>
        <v>646500</v>
      </c>
      <c r="E5" s="41">
        <f>'Cuenta P y G'!E5</f>
        <v>978000</v>
      </c>
      <c r="F5" s="41">
        <f>'Cuenta P y G'!F5</f>
        <v>1465000</v>
      </c>
      <c r="G5" s="170">
        <f>SUM(C5:F5)</f>
        <v>3426500</v>
      </c>
      <c r="H5" s="173" t="s">
        <v>167</v>
      </c>
    </row>
    <row r="6" spans="1:8" x14ac:dyDescent="0.45">
      <c r="B6" t="s">
        <v>117</v>
      </c>
      <c r="C6" s="41">
        <f>'Cuenta P y G'!C34</f>
        <v>-64398.809523809541</v>
      </c>
      <c r="D6" s="41">
        <f>'Cuenta P y G'!D34</f>
        <v>38619.121036830926</v>
      </c>
      <c r="E6" s="41">
        <f>'Cuenta P y G'!E34</f>
        <v>125510.80120084937</v>
      </c>
      <c r="F6" s="41">
        <f>'Cuenta P y G'!F34</f>
        <v>240780.42857142858</v>
      </c>
      <c r="G6" s="171">
        <f>SUM(C6:F6)</f>
        <v>340511.54128529935</v>
      </c>
      <c r="H6" s="174" t="s">
        <v>168</v>
      </c>
    </row>
    <row r="7" spans="1:8" x14ac:dyDescent="0.45">
      <c r="B7" t="s">
        <v>122</v>
      </c>
      <c r="C7" s="41">
        <f>Balance!D14</f>
        <v>55601.190476190459</v>
      </c>
      <c r="D7" s="41">
        <f>Balance!E14</f>
        <v>94220.311513021385</v>
      </c>
      <c r="E7" s="41">
        <f>Balance!F14</f>
        <v>219731.11271387077</v>
      </c>
      <c r="F7" s="41">
        <f>Balance!G14</f>
        <v>460511.54128529935</v>
      </c>
      <c r="G7" s="171">
        <f>F7</f>
        <v>460511.54128529935</v>
      </c>
      <c r="H7" s="174" t="s">
        <v>124</v>
      </c>
    </row>
    <row r="8" spans="1:8" x14ac:dyDescent="0.45">
      <c r="B8" t="s">
        <v>111</v>
      </c>
      <c r="C8" s="41">
        <f>Balance!D12</f>
        <v>116380.27812355079</v>
      </c>
      <c r="D8" s="41">
        <f>Balance!E12</f>
        <v>145009.65031363646</v>
      </c>
      <c r="E8" s="41">
        <f>Balance!F12</f>
        <v>269731.11271387077</v>
      </c>
      <c r="F8" s="41">
        <f>Balance!G12</f>
        <v>510511.54128529935</v>
      </c>
      <c r="G8" s="171">
        <f>F8</f>
        <v>510511.54128529935</v>
      </c>
      <c r="H8" s="174" t="s">
        <v>125</v>
      </c>
    </row>
    <row r="9" spans="1:8" x14ac:dyDescent="0.45">
      <c r="B9" t="s">
        <v>118</v>
      </c>
      <c r="C9" s="41">
        <v>120000</v>
      </c>
      <c r="D9" s="41">
        <v>120000</v>
      </c>
      <c r="E9" s="41">
        <v>120000</v>
      </c>
      <c r="F9" s="41">
        <v>120000</v>
      </c>
      <c r="G9" s="172">
        <v>120000</v>
      </c>
      <c r="H9" s="175" t="s">
        <v>126</v>
      </c>
    </row>
    <row r="11" spans="1:8" ht="16" customHeight="1" x14ac:dyDescent="0.6">
      <c r="B11" s="154"/>
    </row>
    <row r="12" spans="1:8" ht="23.15" x14ac:dyDescent="0.6">
      <c r="B12" s="177" t="s">
        <v>169</v>
      </c>
      <c r="C12" s="176" t="s">
        <v>51</v>
      </c>
      <c r="D12" s="176" t="s">
        <v>52</v>
      </c>
      <c r="E12" s="176" t="s">
        <v>53</v>
      </c>
      <c r="F12" s="176" t="s">
        <v>54</v>
      </c>
      <c r="G12" s="176" t="s">
        <v>170</v>
      </c>
    </row>
    <row r="13" spans="1:8" x14ac:dyDescent="0.45">
      <c r="B13" t="s">
        <v>119</v>
      </c>
      <c r="C13" s="180">
        <f>(C6/C7)</f>
        <v>-1.158227170538487</v>
      </c>
      <c r="D13" s="180">
        <f t="shared" ref="D13:G13" si="0">(D6/D7)</f>
        <v>0.40988105873003516</v>
      </c>
      <c r="E13" s="180">
        <f t="shared" si="0"/>
        <v>0.57120177316121312</v>
      </c>
      <c r="F13" s="180">
        <f t="shared" si="0"/>
        <v>0.52285427613693314</v>
      </c>
      <c r="G13" s="180">
        <f t="shared" si="0"/>
        <v>0.73942021156499793</v>
      </c>
    </row>
    <row r="14" spans="1:8" x14ac:dyDescent="0.45">
      <c r="B14" t="s">
        <v>120</v>
      </c>
      <c r="C14" s="180">
        <f>C6/C8</f>
        <v>-0.55334813219335099</v>
      </c>
      <c r="D14" s="180">
        <f t="shared" ref="D14:G14" si="1">D6/D8</f>
        <v>0.26632104107073518</v>
      </c>
      <c r="E14" s="180">
        <f t="shared" si="1"/>
        <v>0.46531821983024446</v>
      </c>
      <c r="F14" s="180">
        <f t="shared" si="1"/>
        <v>0.47164541660551501</v>
      </c>
      <c r="G14" s="180">
        <f t="shared" si="1"/>
        <v>0.66700067236091043</v>
      </c>
    </row>
    <row r="15" spans="1:8" x14ac:dyDescent="0.45">
      <c r="B15" t="s">
        <v>123</v>
      </c>
      <c r="C15" s="180">
        <f>C6/C9</f>
        <v>-0.53665674603174618</v>
      </c>
      <c r="D15" s="180">
        <f t="shared" ref="D15:G15" si="2">D6/D9</f>
        <v>0.32182600864025773</v>
      </c>
      <c r="E15" s="180">
        <f t="shared" si="2"/>
        <v>1.0459233433404114</v>
      </c>
      <c r="F15" s="180">
        <f t="shared" si="2"/>
        <v>2.0065035714285715</v>
      </c>
      <c r="G15" s="180">
        <f t="shared" si="2"/>
        <v>2.8375961773774945</v>
      </c>
    </row>
    <row r="16" spans="1:8" x14ac:dyDescent="0.45">
      <c r="B16" t="s">
        <v>121</v>
      </c>
      <c r="C16" s="180">
        <f>C6/C5</f>
        <v>-0.19109439027836658</v>
      </c>
      <c r="D16" s="180">
        <f t="shared" ref="D16:G16" si="3">D6/D5</f>
        <v>5.9735686058516514E-2</v>
      </c>
      <c r="E16" s="180">
        <f t="shared" si="3"/>
        <v>0.1283341525571057</v>
      </c>
      <c r="F16" s="181">
        <f t="shared" si="3"/>
        <v>0.16435524134568505</v>
      </c>
      <c r="G16" s="180">
        <f t="shared" si="3"/>
        <v>9.9375905817977339E-2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workbookViewId="0">
      <selection activeCell="C18" sqref="C18"/>
    </sheetView>
  </sheetViews>
  <sheetFormatPr baseColWidth="10" defaultRowHeight="15.9" x14ac:dyDescent="0.45"/>
  <cols>
    <col min="1" max="1" width="29.5" customWidth="1"/>
    <col min="2" max="2" width="10.85546875" customWidth="1"/>
    <col min="4" max="4" width="18.140625" customWidth="1"/>
  </cols>
  <sheetData>
    <row r="1" spans="1:8" ht="20.149999999999999" x14ac:dyDescent="0.5">
      <c r="A1" s="195" t="s">
        <v>56</v>
      </c>
      <c r="B1" s="195"/>
      <c r="C1" s="195"/>
      <c r="D1" s="195"/>
      <c r="E1" s="195"/>
      <c r="F1" s="195"/>
      <c r="G1" s="195"/>
      <c r="H1" s="195"/>
    </row>
    <row r="2" spans="1:8" ht="16.3" thickBot="1" x14ac:dyDescent="0.5">
      <c r="A2" s="43" t="s">
        <v>57</v>
      </c>
      <c r="B2" s="10"/>
      <c r="C2" s="10"/>
      <c r="D2" s="10"/>
      <c r="E2" s="10"/>
      <c r="F2" s="10"/>
      <c r="G2" s="10"/>
      <c r="H2" s="10"/>
    </row>
    <row r="3" spans="1:8" x14ac:dyDescent="0.45">
      <c r="A3" s="44" t="s">
        <v>58</v>
      </c>
      <c r="B3" s="72">
        <v>60000</v>
      </c>
      <c r="C3" s="45"/>
      <c r="D3" s="10"/>
      <c r="E3" s="10"/>
      <c r="F3" s="10"/>
      <c r="G3" s="10"/>
      <c r="H3" s="10"/>
    </row>
    <row r="4" spans="1:8" ht="16.3" thickBot="1" x14ac:dyDescent="0.5">
      <c r="A4" s="46" t="s">
        <v>59</v>
      </c>
      <c r="B4" s="73">
        <v>0.04</v>
      </c>
      <c r="C4" s="47"/>
      <c r="D4" s="10" t="s">
        <v>60</v>
      </c>
      <c r="E4" s="10"/>
      <c r="F4" s="10"/>
      <c r="G4" s="48"/>
      <c r="H4" s="10"/>
    </row>
    <row r="5" spans="1:8" x14ac:dyDescent="0.45">
      <c r="A5" s="46" t="s">
        <v>99</v>
      </c>
      <c r="B5" s="74">
        <v>3</v>
      </c>
      <c r="C5" s="49"/>
      <c r="D5" s="38" t="s">
        <v>61</v>
      </c>
      <c r="E5" s="50">
        <f>B7*B3</f>
        <v>180</v>
      </c>
      <c r="F5" s="10"/>
      <c r="G5" s="10"/>
      <c r="H5" s="10"/>
    </row>
    <row r="6" spans="1:8" x14ac:dyDescent="0.45">
      <c r="A6" s="46" t="s">
        <v>62</v>
      </c>
      <c r="B6" s="74">
        <v>1</v>
      </c>
      <c r="C6" s="49"/>
      <c r="D6" s="12" t="s">
        <v>63</v>
      </c>
      <c r="E6" s="51">
        <f>B8*B3</f>
        <v>300</v>
      </c>
      <c r="F6" s="10"/>
      <c r="G6" s="10"/>
      <c r="H6" s="10"/>
    </row>
    <row r="7" spans="1:8" x14ac:dyDescent="0.45">
      <c r="A7" s="46" t="s">
        <v>61</v>
      </c>
      <c r="B7" s="75">
        <v>3.0000000000000001E-3</v>
      </c>
      <c r="C7" s="52"/>
      <c r="D7" s="12" t="s">
        <v>64</v>
      </c>
      <c r="E7" s="53">
        <f>B3-E5-E6-B9-B10</f>
        <v>59130</v>
      </c>
      <c r="F7" s="10"/>
      <c r="G7" s="54"/>
      <c r="H7" s="10"/>
    </row>
    <row r="8" spans="1:8" ht="16.3" thickBot="1" x14ac:dyDescent="0.5">
      <c r="A8" s="46" t="s">
        <v>63</v>
      </c>
      <c r="B8" s="75">
        <v>5.0000000000000001E-3</v>
      </c>
      <c r="C8" s="52"/>
      <c r="D8" s="55" t="s">
        <v>65</v>
      </c>
      <c r="E8" s="56">
        <f>EFFECT(RATE(B5*B6,PMT(B4/B6,B5*B6,B3,,B12),E7,,B12,0.1)*B6,B6)</f>
        <v>4.7734033005298659E-2</v>
      </c>
      <c r="F8" s="10"/>
      <c r="G8" s="54"/>
      <c r="H8" s="10"/>
    </row>
    <row r="9" spans="1:8" x14ac:dyDescent="0.45">
      <c r="A9" s="46" t="s">
        <v>66</v>
      </c>
      <c r="B9" s="74">
        <v>300</v>
      </c>
      <c r="C9" s="49"/>
      <c r="D9" s="10"/>
      <c r="E9" s="10"/>
      <c r="F9" s="57"/>
      <c r="G9" s="10"/>
      <c r="H9" s="10"/>
    </row>
    <row r="10" spans="1:8" x14ac:dyDescent="0.45">
      <c r="A10" s="46" t="s">
        <v>67</v>
      </c>
      <c r="B10" s="74">
        <v>90</v>
      </c>
      <c r="C10" s="49"/>
      <c r="D10" s="10"/>
      <c r="E10" s="10"/>
      <c r="F10" s="10"/>
      <c r="G10" s="58"/>
      <c r="H10" s="10"/>
    </row>
    <row r="11" spans="1:8" ht="18" x14ac:dyDescent="0.45">
      <c r="A11" s="46" t="s">
        <v>68</v>
      </c>
      <c r="B11" s="73">
        <v>0.01</v>
      </c>
      <c r="C11" s="47"/>
      <c r="D11" s="10"/>
      <c r="E11" s="45"/>
      <c r="F11" s="59"/>
      <c r="G11" s="10"/>
      <c r="H11" s="10"/>
    </row>
    <row r="12" spans="1:8" ht="16.3" thickBot="1" x14ac:dyDescent="0.5">
      <c r="A12" s="60" t="s">
        <v>69</v>
      </c>
      <c r="B12" s="74">
        <v>0</v>
      </c>
      <c r="C12" s="49"/>
      <c r="D12" s="10"/>
      <c r="E12" s="10"/>
      <c r="F12" s="10"/>
      <c r="G12" s="10"/>
      <c r="H12" s="10"/>
    </row>
    <row r="13" spans="1:8" x14ac:dyDescent="0.45">
      <c r="A13" s="10"/>
      <c r="B13" s="49"/>
      <c r="C13" s="49"/>
      <c r="D13" s="10"/>
      <c r="E13" s="10"/>
      <c r="F13" s="10"/>
      <c r="G13" s="10"/>
      <c r="H13" s="10"/>
    </row>
    <row r="14" spans="1:8" x14ac:dyDescent="0.45">
      <c r="A14" s="10" t="s">
        <v>60</v>
      </c>
      <c r="B14" s="10"/>
      <c r="C14" s="10"/>
      <c r="D14" s="10"/>
      <c r="E14" s="10"/>
      <c r="F14" s="10"/>
      <c r="G14" s="10"/>
      <c r="H14" s="10"/>
    </row>
    <row r="15" spans="1:8" x14ac:dyDescent="0.45">
      <c r="A15" s="10"/>
      <c r="B15" s="10"/>
      <c r="C15" s="10"/>
      <c r="D15" s="10"/>
      <c r="E15" s="10"/>
      <c r="F15" s="10"/>
      <c r="G15" s="10"/>
      <c r="H15" s="10"/>
    </row>
    <row r="16" spans="1:8" ht="37.299999999999997" x14ac:dyDescent="0.45">
      <c r="A16" s="61" t="s">
        <v>100</v>
      </c>
      <c r="B16" s="62" t="s">
        <v>70</v>
      </c>
      <c r="C16" s="62" t="s">
        <v>71</v>
      </c>
      <c r="D16" s="62" t="s">
        <v>72</v>
      </c>
      <c r="E16" s="62" t="s">
        <v>73</v>
      </c>
      <c r="F16" s="62" t="s">
        <v>74</v>
      </c>
      <c r="G16" s="62" t="s">
        <v>75</v>
      </c>
      <c r="H16" s="62" t="s">
        <v>76</v>
      </c>
    </row>
    <row r="17" spans="1:8" x14ac:dyDescent="0.45">
      <c r="A17" s="61">
        <v>0</v>
      </c>
      <c r="B17" s="62"/>
      <c r="C17" s="62"/>
      <c r="D17" s="62"/>
      <c r="E17" s="62"/>
      <c r="F17" s="63">
        <f>B3</f>
        <v>60000</v>
      </c>
      <c r="G17" s="62"/>
      <c r="H17" s="62"/>
    </row>
    <row r="18" spans="1:8" x14ac:dyDescent="0.45">
      <c r="A18" s="64">
        <f t="shared" ref="A18:A42" si="0">IF(A17&lt;$B$5*$B$6,A17+1,"")</f>
        <v>1</v>
      </c>
      <c r="B18" s="65">
        <f>IF(A18="","",-PMT($B$4/$B$6,$B$5*$B$6,$B$3,,$B$12))</f>
        <v>21620.912352639669</v>
      </c>
      <c r="C18" s="66">
        <f>IF(A18="","",$B$4/$B$6*F17)</f>
        <v>2400</v>
      </c>
      <c r="D18" s="65">
        <f t="shared" ref="D18:D41" si="1">IF(A18="","",B18-C18)</f>
        <v>19220.912352639669</v>
      </c>
      <c r="E18" s="65">
        <f>IF(A18="","",D18+E17)</f>
        <v>19220.912352639669</v>
      </c>
      <c r="F18" s="65">
        <f>IF(A18="","",$F$17-E18)</f>
        <v>40779.087647360328</v>
      </c>
      <c r="G18" s="65">
        <f>IF(A18="","",$B$11*F18)</f>
        <v>407.7908764736033</v>
      </c>
      <c r="H18" s="67">
        <f>IF(A18="","",F18+G18)</f>
        <v>41186.878523833933</v>
      </c>
    </row>
    <row r="19" spans="1:8" x14ac:dyDescent="0.45">
      <c r="A19" s="64">
        <f t="shared" si="0"/>
        <v>2</v>
      </c>
      <c r="B19" s="65">
        <f t="shared" ref="B19:B41" si="2">IF(A19="","",-PMT($B$4/$B$6,$B$5*$B$6,$B$3,,$B$12))</f>
        <v>21620.912352639669</v>
      </c>
      <c r="C19" s="66">
        <f t="shared" ref="C19:C41" si="3">IF(A19="","",$B$4/$B$6*F18)</f>
        <v>1631.1635058944132</v>
      </c>
      <c r="D19" s="65">
        <f>IF(A19="","",B19-C19)</f>
        <v>19989.748846745257</v>
      </c>
      <c r="E19" s="65">
        <f t="shared" ref="E19:E40" si="4">IF(A19="","",D19+E18)</f>
        <v>39210.661199384922</v>
      </c>
      <c r="F19" s="65">
        <f t="shared" ref="F19:F41" si="5">IF(A19="","",$F$17-E19)</f>
        <v>20789.338800615078</v>
      </c>
      <c r="G19" s="65">
        <f t="shared" ref="G19:G41" si="6">IF(A19="","",$B$11*F19)</f>
        <v>207.89338800615079</v>
      </c>
      <c r="H19" s="67">
        <f t="shared" ref="H19:H41" si="7">IF(A19="","",F19+G19)</f>
        <v>20997.23218862123</v>
      </c>
    </row>
    <row r="20" spans="1:8" x14ac:dyDescent="0.45">
      <c r="A20" s="64">
        <f t="shared" si="0"/>
        <v>3</v>
      </c>
      <c r="B20" s="65">
        <f t="shared" si="2"/>
        <v>21620.912352639669</v>
      </c>
      <c r="C20" s="66">
        <f t="shared" si="3"/>
        <v>831.57355202460315</v>
      </c>
      <c r="D20" s="65">
        <f t="shared" si="1"/>
        <v>20789.338800615067</v>
      </c>
      <c r="E20" s="65">
        <f t="shared" si="4"/>
        <v>59999.999999999985</v>
      </c>
      <c r="F20" s="65">
        <f t="shared" si="5"/>
        <v>1.4551915228366852E-11</v>
      </c>
      <c r="G20" s="65">
        <f t="shared" si="6"/>
        <v>1.4551915228366852E-13</v>
      </c>
      <c r="H20" s="67">
        <f t="shared" si="7"/>
        <v>1.469743438065052E-11</v>
      </c>
    </row>
    <row r="21" spans="1:8" x14ac:dyDescent="0.45">
      <c r="A21" s="64" t="str">
        <f t="shared" si="0"/>
        <v/>
      </c>
      <c r="B21" s="65" t="str">
        <f t="shared" si="2"/>
        <v/>
      </c>
      <c r="C21" s="66" t="str">
        <f t="shared" si="3"/>
        <v/>
      </c>
      <c r="D21" s="65" t="str">
        <f t="shared" si="1"/>
        <v/>
      </c>
      <c r="E21" s="65" t="str">
        <f t="shared" si="4"/>
        <v/>
      </c>
      <c r="F21" s="65" t="str">
        <f t="shared" si="5"/>
        <v/>
      </c>
      <c r="G21" s="65" t="str">
        <f t="shared" si="6"/>
        <v/>
      </c>
      <c r="H21" s="67" t="str">
        <f t="shared" si="7"/>
        <v/>
      </c>
    </row>
    <row r="22" spans="1:8" x14ac:dyDescent="0.45">
      <c r="A22" s="64" t="str">
        <f t="shared" si="0"/>
        <v/>
      </c>
      <c r="B22" s="65" t="str">
        <f t="shared" si="2"/>
        <v/>
      </c>
      <c r="C22" s="66" t="str">
        <f t="shared" si="3"/>
        <v/>
      </c>
      <c r="D22" s="65" t="str">
        <f t="shared" si="1"/>
        <v/>
      </c>
      <c r="E22" s="65" t="str">
        <f t="shared" si="4"/>
        <v/>
      </c>
      <c r="F22" s="65" t="str">
        <f t="shared" si="5"/>
        <v/>
      </c>
      <c r="G22" s="65" t="str">
        <f t="shared" si="6"/>
        <v/>
      </c>
      <c r="H22" s="67" t="str">
        <f t="shared" si="7"/>
        <v/>
      </c>
    </row>
    <row r="23" spans="1:8" x14ac:dyDescent="0.45">
      <c r="A23" s="64" t="str">
        <f t="shared" si="0"/>
        <v/>
      </c>
      <c r="B23" s="65" t="str">
        <f t="shared" si="2"/>
        <v/>
      </c>
      <c r="C23" s="66" t="str">
        <f t="shared" si="3"/>
        <v/>
      </c>
      <c r="D23" s="65" t="str">
        <f t="shared" si="1"/>
        <v/>
      </c>
      <c r="E23" s="65" t="str">
        <f t="shared" si="4"/>
        <v/>
      </c>
      <c r="F23" s="65" t="str">
        <f t="shared" si="5"/>
        <v/>
      </c>
      <c r="G23" s="65" t="str">
        <f t="shared" si="6"/>
        <v/>
      </c>
      <c r="H23" s="67" t="str">
        <f t="shared" si="7"/>
        <v/>
      </c>
    </row>
    <row r="24" spans="1:8" x14ac:dyDescent="0.45">
      <c r="A24" s="64" t="str">
        <f t="shared" si="0"/>
        <v/>
      </c>
      <c r="B24" s="65" t="str">
        <f t="shared" si="2"/>
        <v/>
      </c>
      <c r="C24" s="66" t="str">
        <f t="shared" si="3"/>
        <v/>
      </c>
      <c r="D24" s="65" t="str">
        <f t="shared" si="1"/>
        <v/>
      </c>
      <c r="E24" s="65" t="str">
        <f t="shared" si="4"/>
        <v/>
      </c>
      <c r="F24" s="65" t="str">
        <f t="shared" si="5"/>
        <v/>
      </c>
      <c r="G24" s="65" t="str">
        <f t="shared" si="6"/>
        <v/>
      </c>
      <c r="H24" s="67" t="str">
        <f t="shared" si="7"/>
        <v/>
      </c>
    </row>
    <row r="25" spans="1:8" x14ac:dyDescent="0.45">
      <c r="A25" s="64" t="str">
        <f t="shared" si="0"/>
        <v/>
      </c>
      <c r="B25" s="65" t="str">
        <f t="shared" si="2"/>
        <v/>
      </c>
      <c r="C25" s="66" t="str">
        <f t="shared" si="3"/>
        <v/>
      </c>
      <c r="D25" s="65" t="str">
        <f t="shared" si="1"/>
        <v/>
      </c>
      <c r="E25" s="65" t="str">
        <f t="shared" si="4"/>
        <v/>
      </c>
      <c r="F25" s="65" t="str">
        <f t="shared" si="5"/>
        <v/>
      </c>
      <c r="G25" s="65" t="str">
        <f t="shared" si="6"/>
        <v/>
      </c>
      <c r="H25" s="67" t="str">
        <f t="shared" si="7"/>
        <v/>
      </c>
    </row>
    <row r="26" spans="1:8" x14ac:dyDescent="0.45">
      <c r="A26" s="64" t="str">
        <f t="shared" si="0"/>
        <v/>
      </c>
      <c r="B26" s="65" t="str">
        <f t="shared" si="2"/>
        <v/>
      </c>
      <c r="C26" s="66" t="str">
        <f t="shared" si="3"/>
        <v/>
      </c>
      <c r="D26" s="65" t="str">
        <f t="shared" si="1"/>
        <v/>
      </c>
      <c r="E26" s="65" t="str">
        <f t="shared" si="4"/>
        <v/>
      </c>
      <c r="F26" s="65" t="str">
        <f t="shared" si="5"/>
        <v/>
      </c>
      <c r="G26" s="65" t="str">
        <f t="shared" si="6"/>
        <v/>
      </c>
      <c r="H26" s="67" t="str">
        <f t="shared" si="7"/>
        <v/>
      </c>
    </row>
    <row r="27" spans="1:8" x14ac:dyDescent="0.45">
      <c r="A27" s="64" t="str">
        <f t="shared" si="0"/>
        <v/>
      </c>
      <c r="B27" s="65" t="str">
        <f t="shared" si="2"/>
        <v/>
      </c>
      <c r="C27" s="66" t="str">
        <f t="shared" si="3"/>
        <v/>
      </c>
      <c r="D27" s="65" t="str">
        <f t="shared" si="1"/>
        <v/>
      </c>
      <c r="E27" s="65" t="str">
        <f t="shared" si="4"/>
        <v/>
      </c>
      <c r="F27" s="65" t="str">
        <f t="shared" si="5"/>
        <v/>
      </c>
      <c r="G27" s="65" t="str">
        <f t="shared" si="6"/>
        <v/>
      </c>
      <c r="H27" s="67" t="str">
        <f t="shared" si="7"/>
        <v/>
      </c>
    </row>
    <row r="28" spans="1:8" x14ac:dyDescent="0.45">
      <c r="A28" s="64" t="str">
        <f t="shared" si="0"/>
        <v/>
      </c>
      <c r="B28" s="65" t="str">
        <f t="shared" si="2"/>
        <v/>
      </c>
      <c r="C28" s="66" t="str">
        <f t="shared" si="3"/>
        <v/>
      </c>
      <c r="D28" s="65" t="str">
        <f t="shared" si="1"/>
        <v/>
      </c>
      <c r="E28" s="65" t="str">
        <f t="shared" si="4"/>
        <v/>
      </c>
      <c r="F28" s="65" t="str">
        <f t="shared" si="5"/>
        <v/>
      </c>
      <c r="G28" s="65" t="str">
        <f t="shared" si="6"/>
        <v/>
      </c>
      <c r="H28" s="67" t="str">
        <f t="shared" si="7"/>
        <v/>
      </c>
    </row>
    <row r="29" spans="1:8" x14ac:dyDescent="0.45">
      <c r="A29" s="64" t="str">
        <f t="shared" si="0"/>
        <v/>
      </c>
      <c r="B29" s="65" t="str">
        <f t="shared" si="2"/>
        <v/>
      </c>
      <c r="C29" s="66" t="str">
        <f t="shared" si="3"/>
        <v/>
      </c>
      <c r="D29" s="65" t="str">
        <f t="shared" si="1"/>
        <v/>
      </c>
      <c r="E29" s="65" t="str">
        <f t="shared" si="4"/>
        <v/>
      </c>
      <c r="F29" s="65" t="str">
        <f t="shared" si="5"/>
        <v/>
      </c>
      <c r="G29" s="65" t="str">
        <f t="shared" si="6"/>
        <v/>
      </c>
      <c r="H29" s="67" t="str">
        <f t="shared" si="7"/>
        <v/>
      </c>
    </row>
    <row r="30" spans="1:8" x14ac:dyDescent="0.45">
      <c r="A30" s="64" t="str">
        <f t="shared" si="0"/>
        <v/>
      </c>
      <c r="B30" s="65" t="str">
        <f t="shared" si="2"/>
        <v/>
      </c>
      <c r="C30" s="66" t="str">
        <f t="shared" si="3"/>
        <v/>
      </c>
      <c r="D30" s="65" t="str">
        <f t="shared" si="1"/>
        <v/>
      </c>
      <c r="E30" s="65" t="str">
        <f t="shared" si="4"/>
        <v/>
      </c>
      <c r="F30" s="65" t="str">
        <f t="shared" si="5"/>
        <v/>
      </c>
      <c r="G30" s="65" t="str">
        <f t="shared" si="6"/>
        <v/>
      </c>
      <c r="H30" s="67" t="str">
        <f t="shared" si="7"/>
        <v/>
      </c>
    </row>
    <row r="31" spans="1:8" x14ac:dyDescent="0.45">
      <c r="A31" s="64" t="str">
        <f t="shared" si="0"/>
        <v/>
      </c>
      <c r="B31" s="65" t="str">
        <f t="shared" si="2"/>
        <v/>
      </c>
      <c r="C31" s="66" t="str">
        <f t="shared" si="3"/>
        <v/>
      </c>
      <c r="D31" s="65" t="str">
        <f t="shared" si="1"/>
        <v/>
      </c>
      <c r="E31" s="65" t="str">
        <f t="shared" si="4"/>
        <v/>
      </c>
      <c r="F31" s="65" t="str">
        <f t="shared" si="5"/>
        <v/>
      </c>
      <c r="G31" s="65" t="str">
        <f t="shared" si="6"/>
        <v/>
      </c>
      <c r="H31" s="67" t="str">
        <f t="shared" si="7"/>
        <v/>
      </c>
    </row>
    <row r="32" spans="1:8" x14ac:dyDescent="0.45">
      <c r="A32" s="64" t="str">
        <f t="shared" si="0"/>
        <v/>
      </c>
      <c r="B32" s="65" t="str">
        <f t="shared" si="2"/>
        <v/>
      </c>
      <c r="C32" s="66" t="str">
        <f t="shared" si="3"/>
        <v/>
      </c>
      <c r="D32" s="65" t="str">
        <f t="shared" si="1"/>
        <v/>
      </c>
      <c r="E32" s="65" t="str">
        <f t="shared" si="4"/>
        <v/>
      </c>
      <c r="F32" s="65" t="str">
        <f t="shared" si="5"/>
        <v/>
      </c>
      <c r="G32" s="65" t="str">
        <f t="shared" si="6"/>
        <v/>
      </c>
      <c r="H32" s="67" t="str">
        <f t="shared" si="7"/>
        <v/>
      </c>
    </row>
    <row r="33" spans="1:8" x14ac:dyDescent="0.45">
      <c r="A33" s="64" t="str">
        <f t="shared" si="0"/>
        <v/>
      </c>
      <c r="B33" s="65" t="str">
        <f t="shared" si="2"/>
        <v/>
      </c>
      <c r="C33" s="66" t="str">
        <f t="shared" si="3"/>
        <v/>
      </c>
      <c r="D33" s="65" t="str">
        <f t="shared" si="1"/>
        <v/>
      </c>
      <c r="E33" s="65" t="str">
        <f t="shared" si="4"/>
        <v/>
      </c>
      <c r="F33" s="65" t="str">
        <f t="shared" si="5"/>
        <v/>
      </c>
      <c r="G33" s="65" t="str">
        <f t="shared" si="6"/>
        <v/>
      </c>
      <c r="H33" s="67" t="str">
        <f t="shared" si="7"/>
        <v/>
      </c>
    </row>
    <row r="34" spans="1:8" x14ac:dyDescent="0.45">
      <c r="A34" s="64" t="str">
        <f t="shared" si="0"/>
        <v/>
      </c>
      <c r="B34" s="65" t="str">
        <f t="shared" si="2"/>
        <v/>
      </c>
      <c r="C34" s="66" t="str">
        <f t="shared" si="3"/>
        <v/>
      </c>
      <c r="D34" s="65" t="str">
        <f t="shared" si="1"/>
        <v/>
      </c>
      <c r="E34" s="65" t="str">
        <f t="shared" si="4"/>
        <v/>
      </c>
      <c r="F34" s="65" t="str">
        <f t="shared" si="5"/>
        <v/>
      </c>
      <c r="G34" s="65" t="str">
        <f t="shared" si="6"/>
        <v/>
      </c>
      <c r="H34" s="67" t="str">
        <f t="shared" si="7"/>
        <v/>
      </c>
    </row>
    <row r="35" spans="1:8" x14ac:dyDescent="0.45">
      <c r="A35" s="64" t="str">
        <f t="shared" si="0"/>
        <v/>
      </c>
      <c r="B35" s="65" t="str">
        <f t="shared" si="2"/>
        <v/>
      </c>
      <c r="C35" s="66" t="str">
        <f t="shared" si="3"/>
        <v/>
      </c>
      <c r="D35" s="65" t="str">
        <f t="shared" si="1"/>
        <v/>
      </c>
      <c r="E35" s="65" t="str">
        <f t="shared" si="4"/>
        <v/>
      </c>
      <c r="F35" s="65" t="str">
        <f t="shared" si="5"/>
        <v/>
      </c>
      <c r="G35" s="65" t="str">
        <f t="shared" si="6"/>
        <v/>
      </c>
      <c r="H35" s="67" t="str">
        <f t="shared" si="7"/>
        <v/>
      </c>
    </row>
    <row r="36" spans="1:8" x14ac:dyDescent="0.45">
      <c r="A36" s="64" t="str">
        <f t="shared" si="0"/>
        <v/>
      </c>
      <c r="B36" s="65" t="str">
        <f t="shared" si="2"/>
        <v/>
      </c>
      <c r="C36" s="66" t="str">
        <f t="shared" si="3"/>
        <v/>
      </c>
      <c r="D36" s="65" t="str">
        <f t="shared" si="1"/>
        <v/>
      </c>
      <c r="E36" s="65" t="str">
        <f t="shared" si="4"/>
        <v/>
      </c>
      <c r="F36" s="65" t="str">
        <f t="shared" si="5"/>
        <v/>
      </c>
      <c r="G36" s="65" t="str">
        <f t="shared" si="6"/>
        <v/>
      </c>
      <c r="H36" s="67" t="str">
        <f t="shared" si="7"/>
        <v/>
      </c>
    </row>
    <row r="37" spans="1:8" x14ac:dyDescent="0.45">
      <c r="A37" s="64" t="str">
        <f t="shared" si="0"/>
        <v/>
      </c>
      <c r="B37" s="65" t="str">
        <f t="shared" si="2"/>
        <v/>
      </c>
      <c r="C37" s="66" t="str">
        <f t="shared" si="3"/>
        <v/>
      </c>
      <c r="D37" s="65" t="str">
        <f t="shared" si="1"/>
        <v/>
      </c>
      <c r="E37" s="65" t="str">
        <f t="shared" si="4"/>
        <v/>
      </c>
      <c r="F37" s="65" t="str">
        <f t="shared" si="5"/>
        <v/>
      </c>
      <c r="G37" s="65" t="str">
        <f t="shared" si="6"/>
        <v/>
      </c>
      <c r="H37" s="67" t="str">
        <f t="shared" si="7"/>
        <v/>
      </c>
    </row>
    <row r="38" spans="1:8" x14ac:dyDescent="0.45">
      <c r="A38" s="64" t="str">
        <f t="shared" si="0"/>
        <v/>
      </c>
      <c r="B38" s="65" t="str">
        <f t="shared" si="2"/>
        <v/>
      </c>
      <c r="C38" s="66" t="str">
        <f t="shared" si="3"/>
        <v/>
      </c>
      <c r="D38" s="65" t="str">
        <f t="shared" si="1"/>
        <v/>
      </c>
      <c r="E38" s="65" t="str">
        <f t="shared" si="4"/>
        <v/>
      </c>
      <c r="F38" s="65" t="str">
        <f t="shared" si="5"/>
        <v/>
      </c>
      <c r="G38" s="65" t="str">
        <f t="shared" si="6"/>
        <v/>
      </c>
      <c r="H38" s="67" t="str">
        <f t="shared" si="7"/>
        <v/>
      </c>
    </row>
    <row r="39" spans="1:8" x14ac:dyDescent="0.45">
      <c r="A39" s="64" t="str">
        <f t="shared" si="0"/>
        <v/>
      </c>
      <c r="B39" s="65" t="str">
        <f t="shared" si="2"/>
        <v/>
      </c>
      <c r="C39" s="66" t="str">
        <f t="shared" si="3"/>
        <v/>
      </c>
      <c r="D39" s="65" t="str">
        <f t="shared" si="1"/>
        <v/>
      </c>
      <c r="E39" s="65" t="str">
        <f t="shared" si="4"/>
        <v/>
      </c>
      <c r="F39" s="65" t="str">
        <f t="shared" si="5"/>
        <v/>
      </c>
      <c r="G39" s="65" t="str">
        <f t="shared" si="6"/>
        <v/>
      </c>
      <c r="H39" s="67" t="str">
        <f t="shared" si="7"/>
        <v/>
      </c>
    </row>
    <row r="40" spans="1:8" x14ac:dyDescent="0.45">
      <c r="A40" s="64" t="str">
        <f t="shared" si="0"/>
        <v/>
      </c>
      <c r="B40" s="65" t="str">
        <f t="shared" si="2"/>
        <v/>
      </c>
      <c r="C40" s="66" t="str">
        <f t="shared" si="3"/>
        <v/>
      </c>
      <c r="D40" s="65" t="str">
        <f t="shared" si="1"/>
        <v/>
      </c>
      <c r="E40" s="65" t="str">
        <f t="shared" si="4"/>
        <v/>
      </c>
      <c r="F40" s="65" t="str">
        <f t="shared" si="5"/>
        <v/>
      </c>
      <c r="G40" s="65" t="str">
        <f t="shared" si="6"/>
        <v/>
      </c>
      <c r="H40" s="67" t="str">
        <f t="shared" si="7"/>
        <v/>
      </c>
    </row>
    <row r="41" spans="1:8" x14ac:dyDescent="0.45">
      <c r="A41" s="64" t="str">
        <f t="shared" si="0"/>
        <v/>
      </c>
      <c r="B41" s="65" t="str">
        <f t="shared" si="2"/>
        <v/>
      </c>
      <c r="C41" s="66" t="str">
        <f t="shared" si="3"/>
        <v/>
      </c>
      <c r="D41" s="65" t="str">
        <f t="shared" si="1"/>
        <v/>
      </c>
      <c r="E41" s="65" t="str">
        <f>IF(A41="","",D41+E40)</f>
        <v/>
      </c>
      <c r="F41" s="65" t="str">
        <f t="shared" si="5"/>
        <v/>
      </c>
      <c r="G41" s="65" t="str">
        <f t="shared" si="6"/>
        <v/>
      </c>
      <c r="H41" s="67" t="str">
        <f t="shared" si="7"/>
        <v/>
      </c>
    </row>
    <row r="42" spans="1:8" x14ac:dyDescent="0.45">
      <c r="A42" s="49" t="str">
        <f t="shared" si="0"/>
        <v/>
      </c>
      <c r="B42" s="45" t="str">
        <f t="shared" ref="B42" si="8">IF(A42&lt;=$B$5*$B$6,-PMT($B$4/$B$6,$B$5*$B$6,$B$3,,$B$12),"")</f>
        <v/>
      </c>
      <c r="C42" s="68" t="str">
        <f t="shared" ref="C42" si="9">IF(A42&lt;=$B$5*$B$6,-IPMT($B$4/$B$6,A42,$B$5*$B$6,$B$3,,$B$12),"")</f>
        <v/>
      </c>
      <c r="D42" s="45" t="str">
        <f t="shared" ref="D42" si="10">IF(A42&lt;=$B$5*$B$6,-PPMT($B$4/$B$6,A42,$B$5*$B$6,$B$3,,$B$12),"")</f>
        <v/>
      </c>
      <c r="E42" s="45" t="str">
        <f>IF(A42&lt;=$B$5*$B$6,SUM($D$18:D42),"")</f>
        <v/>
      </c>
      <c r="F42" s="45" t="str">
        <f t="shared" ref="F42" si="11">IF(A42&lt;=$B$5*$B$6,$B$3-E42,"")</f>
        <v/>
      </c>
      <c r="G42" s="45" t="str">
        <f t="shared" ref="G42" si="12">IF(F42="","",$B$11*F42)</f>
        <v/>
      </c>
      <c r="H42" s="45" t="str">
        <f t="shared" ref="H42" si="13">IF(G42="","",F42+G42)</f>
        <v/>
      </c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Ingresos</vt:lpstr>
      <vt:lpstr>Personal Gastos y SS</vt:lpstr>
      <vt:lpstr>Gastos Totales</vt:lpstr>
      <vt:lpstr>Amortizaciones</vt:lpstr>
      <vt:lpstr>Cuenta P y G</vt:lpstr>
      <vt:lpstr>Tesoreria</vt:lpstr>
      <vt:lpstr>Balance</vt:lpstr>
      <vt:lpstr>Analisis Rentabilidad</vt:lpstr>
      <vt:lpstr>Prestamo</vt:lpstr>
      <vt:lpstr>Pago1</vt:lpstr>
      <vt:lpstr>Pago2</vt:lpstr>
      <vt:lpstr>Pago3</vt:lpstr>
      <vt:lpstr>Principal1</vt:lpstr>
      <vt:lpstr>Principal2</vt:lpstr>
      <vt:lpstr>Principal3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Olivares</dc:creator>
  <cp:keywords/>
  <dc:description/>
  <cp:lastModifiedBy>Gonzalo Olivares Ruiz</cp:lastModifiedBy>
  <dcterms:created xsi:type="dcterms:W3CDTF">2016-05-06T15:35:25Z</dcterms:created>
  <dcterms:modified xsi:type="dcterms:W3CDTF">2025-04-24T09:53:06Z</dcterms:modified>
  <cp:category/>
</cp:coreProperties>
</file>