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embeddings/oleObject2.bin" ContentType="application/vnd.openxmlformats-officedocument.oleObject"/>
  <Override PartName="/xl/drawings/drawing4.xml" ContentType="application/vnd.openxmlformats-officedocument.drawing+xml"/>
  <Override PartName="/xl/embeddings/oleObject3.bin" ContentType="application/vnd.openxmlformats-officedocument.oleObject"/>
  <Override PartName="/xl/drawings/drawing5.xml" ContentType="application/vnd.openxmlformats-officedocument.drawing+xml"/>
  <Override PartName="/xl/embeddings/oleObject4.bin" ContentType="application/vnd.openxmlformats-officedocument.oleObject"/>
  <Override PartName="/xl/drawings/drawing6.xml" ContentType="application/vnd.openxmlformats-officedocument.drawing+xml"/>
  <Override PartName="/xl/embeddings/oleObject5.bin" ContentType="application/vnd.openxmlformats-officedocument.oleObject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embeddings/oleObject6.bin" ContentType="application/vnd.openxmlformats-officedocument.oleObject"/>
  <Override PartName="/xl/drawings/drawing8.xml" ContentType="application/vnd.openxmlformats-officedocument.drawing+xml"/>
  <Override PartName="/xl/embeddings/oleObject7.bin" ContentType="application/vnd.openxmlformats-officedocument.oleObject"/>
  <Override PartName="/xl/drawings/drawing9.xml" ContentType="application/vnd.openxmlformats-officedocument.drawing+xml"/>
  <Override PartName="/xl/embeddings/oleObject8.bin" ContentType="application/vnd.openxmlformats-officedocument.oleObject"/>
  <Override PartName="/xl/drawings/drawing10.xml" ContentType="application/vnd.openxmlformats-officedocument.drawing+xml"/>
  <Override PartName="/xl/embeddings/oleObject9.bin" ContentType="application/vnd.openxmlformats-officedocument.oleObject"/>
  <Override PartName="/xl/drawings/drawing11.xml" ContentType="application/vnd.openxmlformats-officedocument.drawing+xml"/>
  <Override PartName="/xl/embeddings/oleObject10.bin" ContentType="application/vnd.openxmlformats-officedocument.oleObject"/>
  <Override PartName="/xl/drawings/drawing12.xml" ContentType="application/vnd.openxmlformats-officedocument.drawing+xml"/>
  <Override PartName="/xl/embeddings/oleObject11.bin" ContentType="application/vnd.openxmlformats-officedocument.oleObject"/>
  <Override PartName="/xl/drawings/drawing13.xml" ContentType="application/vnd.openxmlformats-officedocument.drawing+xml"/>
  <Override PartName="/xl/embeddings/oleObject1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-aplicaciones-web\sate-operativo-vbn\data\"/>
    </mc:Choice>
  </mc:AlternateContent>
  <bookViews>
    <workbookView xWindow="0" yWindow="120" windowWidth="12120" windowHeight="6210" tabRatio="869" activeTab="5"/>
  </bookViews>
  <sheets>
    <sheet name="Resúmen" sheetId="14" r:id="rId1"/>
    <sheet name="1-Relacionador CTA-TAR" sheetId="1" r:id="rId2"/>
    <sheet name="2-Cambio de Línea" sheetId="2" r:id="rId3"/>
    <sheet name="3-Movimientos" sheetId="3" r:id="rId4"/>
    <sheet name="5-Saldos por plan" sheetId="10" r:id="rId5"/>
    <sheet name="6-Clientes" sheetId="9" r:id="rId6"/>
    <sheet name="Data" sheetId="19" r:id="rId7"/>
    <sheet name="7-Cuentas" sheetId="8" r:id="rId8"/>
    <sheet name="8-Direccion de cuenta" sheetId="7" r:id="rId9"/>
    <sheet name="9-Direcciones a nivel tarjeta" sheetId="6" r:id="rId10"/>
    <sheet name="4-Log Contable" sheetId="4" r:id="rId11"/>
    <sheet name="I3-Financieras MVTB" sheetId="16" r:id="rId12"/>
    <sheet name="14-Cargo en cuenta" sheetId="15" r:id="rId13"/>
    <sheet name="10-Calificación de Cliente" sheetId="5" r:id="rId14"/>
    <sheet name="11-Cronogramas" sheetId="11" r:id="rId15"/>
    <sheet name="12-Tarjetas" sheetId="13" r:id="rId16"/>
    <sheet name="X5-Regularizaciones financieras" sheetId="17" r:id="rId17"/>
    <sheet name="13-Administrativas" sheetId="18" r:id="rId18"/>
  </sheets>
  <definedNames>
    <definedName name="A_impresión_IM" localSheetId="12">#REF!</definedName>
    <definedName name="A_impresión_IM" localSheetId="11">#REF!</definedName>
    <definedName name="A_impresión_IM" localSheetId="0">#REF!</definedName>
    <definedName name="A_impresión_IM" localSheetId="16">#REF!</definedName>
    <definedName name="A_impresión_IM">#REF!</definedName>
    <definedName name="_xlnm.Print_Area" localSheetId="15">'12-Tarjetas'!$B$7:$H$31</definedName>
    <definedName name="_xlnm.Print_Area" localSheetId="17">'13-Administrativas'!$A$1:$L$2294</definedName>
    <definedName name="_xlnm.Print_Area" localSheetId="1">'1-Relacionador CTA-TAR'!$A$1:$G$21</definedName>
    <definedName name="_xlnm.Print_Area" localSheetId="2">'2-Cambio de Línea'!$A$4:$G$23</definedName>
    <definedName name="_xlnm.Print_Area" localSheetId="3">'3-Movimientos'!$A$1:$G$47</definedName>
    <definedName name="_xlnm.Print_Area" localSheetId="4">'5-Saldos por plan'!$A$1:$H$92</definedName>
    <definedName name="_xlnm.Print_Area" localSheetId="5">'6-Clientes'!$A$1:$G$42</definedName>
    <definedName name="_xlnm.Print_Area" localSheetId="7">'7-Cuentas'!$A$1:$H$118</definedName>
    <definedName name="_xlnm.Print_Area" localSheetId="11">'I3-Financieras MVTB'!$A$1:$K$68</definedName>
    <definedName name="_xlnm.Print_Area" localSheetId="0">Resúmen!$A$2:$F$40</definedName>
  </definedNames>
  <calcPr calcId="162913"/>
</workbook>
</file>

<file path=xl/calcChain.xml><?xml version="1.0" encoding="utf-8"?>
<calcChain xmlns="http://schemas.openxmlformats.org/spreadsheetml/2006/main">
  <c r="I23" i="8" l="1"/>
  <c r="J16" i="13" l="1"/>
  <c r="H19" i="9" l="1"/>
  <c r="H26" i="9" s="1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251" i="19"/>
  <c r="B252" i="19"/>
  <c r="B253" i="19"/>
  <c r="B254" i="19"/>
  <c r="B255" i="19"/>
  <c r="B256" i="19"/>
  <c r="B257" i="19"/>
  <c r="B258" i="19"/>
  <c r="B259" i="19"/>
  <c r="B260" i="19"/>
  <c r="B7" i="19"/>
  <c r="H30" i="9" l="1"/>
  <c r="H41" i="9"/>
  <c r="H24" i="9"/>
  <c r="H39" i="9"/>
  <c r="H29" i="9"/>
  <c r="H36" i="9"/>
  <c r="H28" i="9"/>
  <c r="H33" i="9"/>
  <c r="H40" i="9"/>
  <c r="H23" i="9"/>
  <c r="H22" i="9"/>
  <c r="H35" i="9"/>
  <c r="H27" i="9"/>
  <c r="H25" i="9"/>
  <c r="H32" i="9"/>
  <c r="H31" i="9"/>
  <c r="H38" i="9"/>
  <c r="H37" i="9"/>
  <c r="H42" i="9"/>
  <c r="H34" i="9"/>
  <c r="N24" i="4"/>
  <c r="M24" i="4"/>
  <c r="L24" i="4"/>
  <c r="K24" i="4"/>
  <c r="J24" i="4"/>
  <c r="I24" i="4"/>
  <c r="K16" i="13"/>
  <c r="L16" i="13"/>
  <c r="J119" i="8"/>
  <c r="J21" i="8"/>
  <c r="I119" i="8"/>
  <c r="I21" i="8"/>
  <c r="K21" i="8"/>
  <c r="I29" i="10" l="1"/>
  <c r="I81" i="10"/>
  <c r="I73" i="10"/>
  <c r="I35" i="10"/>
  <c r="H57" i="7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53" i="7"/>
  <c r="H52" i="7"/>
  <c r="H56" i="7"/>
  <c r="H55" i="7"/>
  <c r="H54" i="7"/>
  <c r="H51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28" i="7"/>
  <c r="H31" i="7"/>
  <c r="H30" i="7"/>
  <c r="H29" i="7"/>
  <c r="H27" i="7"/>
  <c r="H26" i="7"/>
  <c r="H25" i="7"/>
  <c r="H24" i="7"/>
  <c r="H23" i="7"/>
  <c r="H22" i="7"/>
  <c r="H21" i="7"/>
  <c r="H20" i="7"/>
  <c r="H19" i="7"/>
  <c r="H13" i="7"/>
  <c r="H16" i="7"/>
  <c r="H18" i="7"/>
  <c r="H17" i="7"/>
  <c r="H15" i="7"/>
  <c r="H12" i="7"/>
  <c r="H10" i="11" l="1"/>
  <c r="H35" i="11"/>
  <c r="H27" i="11"/>
  <c r="H26" i="11"/>
  <c r="H25" i="11"/>
  <c r="H17" i="11"/>
  <c r="H49" i="11"/>
  <c r="H47" i="11"/>
  <c r="H46" i="11"/>
  <c r="H45" i="11"/>
  <c r="H44" i="11"/>
  <c r="H38" i="11"/>
  <c r="H37" i="11"/>
  <c r="H36" i="11"/>
  <c r="H34" i="11"/>
  <c r="H33" i="11"/>
  <c r="H32" i="11"/>
  <c r="H31" i="11"/>
  <c r="H30" i="11"/>
  <c r="H23" i="11"/>
  <c r="H20" i="11"/>
  <c r="H13" i="11"/>
  <c r="H12" i="11"/>
  <c r="H48" i="11"/>
  <c r="H43" i="11"/>
  <c r="H42" i="11"/>
  <c r="H41" i="11"/>
  <c r="H40" i="11"/>
  <c r="H39" i="11"/>
  <c r="H29" i="11"/>
  <c r="H28" i="11"/>
  <c r="H24" i="11"/>
  <c r="H22" i="11"/>
  <c r="H21" i="11"/>
  <c r="H19" i="11"/>
  <c r="H18" i="11"/>
  <c r="H16" i="11"/>
  <c r="H15" i="11"/>
  <c r="H14" i="11"/>
  <c r="J10" i="15" l="1"/>
  <c r="E10" i="15"/>
  <c r="E11" i="15" s="1"/>
  <c r="E12" i="15" s="1"/>
  <c r="E13" i="15" s="1"/>
  <c r="E14" i="15" l="1"/>
  <c r="C14" i="15"/>
  <c r="J14" i="15" s="1"/>
  <c r="C12" i="15"/>
  <c r="J12" i="15" s="1"/>
  <c r="C13" i="15"/>
  <c r="J13" i="15" s="1"/>
  <c r="C11" i="15"/>
  <c r="J11" i="15" s="1"/>
  <c r="C15" i="15" l="1"/>
  <c r="J15" i="15" s="1"/>
  <c r="E15" i="15"/>
  <c r="H11" i="11"/>
  <c r="E16" i="15" l="1"/>
  <c r="C16" i="15"/>
  <c r="J16" i="15" s="1"/>
  <c r="I11" i="10"/>
  <c r="I68" i="10"/>
  <c r="I92" i="10"/>
  <c r="I91" i="10"/>
  <c r="I90" i="10"/>
  <c r="I89" i="10"/>
  <c r="I88" i="10"/>
  <c r="I87" i="10"/>
  <c r="I84" i="10"/>
  <c r="I86" i="10"/>
  <c r="I85" i="10"/>
  <c r="I83" i="10"/>
  <c r="I82" i="10"/>
  <c r="I80" i="10"/>
  <c r="I79" i="10"/>
  <c r="I78" i="10"/>
  <c r="I77" i="10"/>
  <c r="I76" i="10"/>
  <c r="I75" i="10"/>
  <c r="I74" i="10"/>
  <c r="I72" i="10"/>
  <c r="I69" i="10"/>
  <c r="I70" i="10"/>
  <c r="I71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7" i="10"/>
  <c r="I38" i="10"/>
  <c r="I36" i="10"/>
  <c r="I34" i="10"/>
  <c r="I33" i="10"/>
  <c r="I32" i="10"/>
  <c r="I31" i="10"/>
  <c r="I30" i="10"/>
  <c r="I28" i="10"/>
  <c r="I27" i="10"/>
  <c r="I24" i="10"/>
  <c r="I23" i="10"/>
  <c r="I15" i="10"/>
  <c r="I14" i="10"/>
  <c r="I13" i="10"/>
  <c r="I12" i="10"/>
  <c r="I26" i="10"/>
  <c r="I25" i="10"/>
  <c r="I22" i="10"/>
  <c r="I21" i="10" l="1"/>
  <c r="H15" i="17" l="1"/>
  <c r="H13" i="17"/>
  <c r="H12" i="17"/>
  <c r="H11" i="17"/>
  <c r="H10" i="17"/>
  <c r="H16" i="5"/>
  <c r="H15" i="5"/>
  <c r="H14" i="5"/>
  <c r="H13" i="5"/>
  <c r="H12" i="5"/>
  <c r="H47" i="3"/>
  <c r="H46" i="3"/>
  <c r="H45" i="3"/>
  <c r="H40" i="3"/>
  <c r="H37" i="3"/>
  <c r="H34" i="3"/>
  <c r="H31" i="3"/>
  <c r="H29" i="3"/>
  <c r="H26" i="3"/>
  <c r="H25" i="3"/>
  <c r="H39" i="3"/>
  <c r="H38" i="3"/>
  <c r="H36" i="3"/>
  <c r="H35" i="3"/>
  <c r="H33" i="3"/>
  <c r="H32" i="3"/>
  <c r="H30" i="3"/>
  <c r="H28" i="3"/>
  <c r="H27" i="3"/>
  <c r="H24" i="3"/>
  <c r="H23" i="3"/>
  <c r="H44" i="3"/>
  <c r="H22" i="3"/>
  <c r="H17" i="3"/>
  <c r="H16" i="3"/>
  <c r="H15" i="3"/>
  <c r="H14" i="3"/>
  <c r="H13" i="3"/>
  <c r="H12" i="3"/>
  <c r="H23" i="2"/>
  <c r="H22" i="2"/>
  <c r="H21" i="2"/>
  <c r="H20" i="2"/>
  <c r="H19" i="2"/>
  <c r="H18" i="2"/>
  <c r="H17" i="2"/>
  <c r="H16" i="2"/>
  <c r="H15" i="2"/>
  <c r="H14" i="2"/>
  <c r="H13" i="2"/>
  <c r="H12" i="2"/>
  <c r="H20" i="1"/>
  <c r="H19" i="1"/>
  <c r="H18" i="1"/>
  <c r="H17" i="1"/>
  <c r="H16" i="1"/>
  <c r="H15" i="1"/>
  <c r="H14" i="1"/>
  <c r="H24" i="4" l="1"/>
  <c r="J22" i="10" l="1"/>
  <c r="J19" i="15" l="1"/>
  <c r="J2244" i="18" l="1"/>
  <c r="J2243" i="18"/>
  <c r="J2241" i="18"/>
  <c r="J2239" i="18"/>
  <c r="J2237" i="18"/>
  <c r="J2235" i="18"/>
  <c r="J2234" i="18"/>
  <c r="J2233" i="18"/>
  <c r="J2231" i="18"/>
  <c r="J2229" i="18"/>
  <c r="J2227" i="18"/>
  <c r="K2226" i="18"/>
  <c r="K2227" i="18" s="1"/>
  <c r="K2228" i="18" s="1"/>
  <c r="J2226" i="18"/>
  <c r="J2225" i="18"/>
  <c r="J2224" i="18"/>
  <c r="J2223" i="18"/>
  <c r="J2222" i="18"/>
  <c r="J2221" i="18"/>
  <c r="D2221" i="18"/>
  <c r="J2220" i="18"/>
  <c r="J2219" i="18"/>
  <c r="J2218" i="18"/>
  <c r="J2214" i="18"/>
  <c r="J2212" i="18"/>
  <c r="J2210" i="18"/>
  <c r="J2209" i="18"/>
  <c r="J2208" i="18"/>
  <c r="J2206" i="18"/>
  <c r="J2204" i="18"/>
  <c r="J2202" i="18"/>
  <c r="K2201" i="18"/>
  <c r="K2202" i="18" s="1"/>
  <c r="K2203" i="18" s="1"/>
  <c r="J2201" i="18"/>
  <c r="J2200" i="18"/>
  <c r="J2199" i="18"/>
  <c r="J2198" i="18"/>
  <c r="J2197" i="18"/>
  <c r="J2196" i="18"/>
  <c r="D2196" i="18"/>
  <c r="J2195" i="18"/>
  <c r="J2194" i="18"/>
  <c r="J2193" i="18"/>
  <c r="J2191" i="18"/>
  <c r="J2189" i="18"/>
  <c r="J2188" i="18"/>
  <c r="J2187" i="18"/>
  <c r="J2185" i="18"/>
  <c r="J2184" i="18"/>
  <c r="J2183" i="18"/>
  <c r="J2181" i="18"/>
  <c r="J2179" i="18"/>
  <c r="J2177" i="18"/>
  <c r="K2176" i="18"/>
  <c r="K2177" i="18" s="1"/>
  <c r="K2178" i="18" s="1"/>
  <c r="J2176" i="18"/>
  <c r="J2175" i="18"/>
  <c r="J2174" i="18"/>
  <c r="J2173" i="18"/>
  <c r="J2172" i="18"/>
  <c r="J2171" i="18"/>
  <c r="D2171" i="18"/>
  <c r="J2170" i="18"/>
  <c r="J2169" i="18"/>
  <c r="J2168" i="18"/>
  <c r="J2164" i="18"/>
  <c r="J2163" i="18"/>
  <c r="J2162" i="18"/>
  <c r="J2160" i="18"/>
  <c r="J2159" i="18"/>
  <c r="J2158" i="18"/>
  <c r="J2156" i="18"/>
  <c r="J2154" i="18"/>
  <c r="J2152" i="18"/>
  <c r="K2151" i="18"/>
  <c r="K2152" i="18" s="1"/>
  <c r="K2153" i="18" s="1"/>
  <c r="J2151" i="18"/>
  <c r="J2150" i="18"/>
  <c r="J2149" i="18"/>
  <c r="J2148" i="18"/>
  <c r="J2147" i="18"/>
  <c r="J2146" i="18"/>
  <c r="D2146" i="18"/>
  <c r="J2145" i="18"/>
  <c r="J2144" i="18"/>
  <c r="J2143" i="18"/>
  <c r="J2141" i="18"/>
  <c r="J2139" i="18"/>
  <c r="J2138" i="18"/>
  <c r="J2137" i="18"/>
  <c r="J2135" i="18"/>
  <c r="J2133" i="18"/>
  <c r="J2132" i="18"/>
  <c r="J2131" i="18"/>
  <c r="J2129" i="18"/>
  <c r="J2128" i="18"/>
  <c r="J2127" i="18"/>
  <c r="J2125" i="18"/>
  <c r="J2124" i="18"/>
  <c r="J2123" i="18"/>
  <c r="J2121" i="18"/>
  <c r="J2119" i="18"/>
  <c r="J2117" i="18"/>
  <c r="K2116" i="18"/>
  <c r="K2117" i="18" s="1"/>
  <c r="K2118" i="18" s="1"/>
  <c r="J2116" i="18"/>
  <c r="J2115" i="18"/>
  <c r="J2114" i="18"/>
  <c r="J2113" i="18"/>
  <c r="J2112" i="18"/>
  <c r="J2111" i="18"/>
  <c r="D2111" i="18"/>
  <c r="J2110" i="18"/>
  <c r="J2109" i="18"/>
  <c r="J2108" i="18"/>
  <c r="J2106" i="18"/>
  <c r="J2104" i="18"/>
  <c r="J2103" i="18"/>
  <c r="J2102" i="18"/>
  <c r="J2100" i="18"/>
  <c r="J2098" i="18"/>
  <c r="J2097" i="18"/>
  <c r="J2096" i="18"/>
  <c r="J2094" i="18"/>
  <c r="J2093" i="18"/>
  <c r="J2092" i="18"/>
  <c r="J2090" i="18"/>
  <c r="J2089" i="18"/>
  <c r="J2088" i="18"/>
  <c r="J2086" i="18"/>
  <c r="J2084" i="18"/>
  <c r="J2082" i="18"/>
  <c r="K2081" i="18"/>
  <c r="K2082" i="18" s="1"/>
  <c r="K2083" i="18" s="1"/>
  <c r="J2081" i="18"/>
  <c r="J2080" i="18"/>
  <c r="J2079" i="18"/>
  <c r="J2078" i="18"/>
  <c r="J2077" i="18"/>
  <c r="J2076" i="18"/>
  <c r="D2076" i="18"/>
  <c r="J2075" i="18"/>
  <c r="J2074" i="18"/>
  <c r="J2073" i="18"/>
  <c r="J2071" i="18"/>
  <c r="J2069" i="18"/>
  <c r="J2067" i="18"/>
  <c r="J2066" i="18"/>
  <c r="J2065" i="18"/>
  <c r="J2064" i="18"/>
  <c r="J2063" i="18"/>
  <c r="J2062" i="18"/>
  <c r="J2060" i="18"/>
  <c r="J2058" i="18"/>
  <c r="J2056" i="18"/>
  <c r="J2055" i="18"/>
  <c r="J2054" i="18"/>
  <c r="J2053" i="18"/>
  <c r="J2052" i="18"/>
  <c r="J2051" i="18"/>
  <c r="J2049" i="18"/>
  <c r="J2048" i="18"/>
  <c r="J2047" i="18"/>
  <c r="J2046" i="18"/>
  <c r="J2044" i="18"/>
  <c r="J2043" i="18"/>
  <c r="J2041" i="18"/>
  <c r="J2040" i="18"/>
  <c r="J2039" i="18"/>
  <c r="J2038" i="18"/>
  <c r="J2037" i="18"/>
  <c r="J2036" i="18"/>
  <c r="J2034" i="18"/>
  <c r="J2033" i="18"/>
  <c r="J2031" i="18"/>
  <c r="J2030" i="18"/>
  <c r="J2029" i="18"/>
  <c r="J2028" i="18"/>
  <c r="J2027" i="18"/>
  <c r="J2025" i="18"/>
  <c r="J2024" i="18"/>
  <c r="J2022" i="18"/>
  <c r="J2021" i="18"/>
  <c r="J2019" i="18"/>
  <c r="J2017" i="18"/>
  <c r="J2016" i="18"/>
  <c r="J2014" i="18"/>
  <c r="J2013" i="18"/>
  <c r="J2011" i="18"/>
  <c r="J2010" i="18"/>
  <c r="J2008" i="18"/>
  <c r="J2007" i="18"/>
  <c r="J2005" i="18"/>
  <c r="J2004" i="18"/>
  <c r="J2002" i="18"/>
  <c r="J2001" i="18"/>
  <c r="J1999" i="18"/>
  <c r="J1998" i="18"/>
  <c r="J1996" i="18"/>
  <c r="J1995" i="18"/>
  <c r="J1993" i="18"/>
  <c r="J1992" i="18"/>
  <c r="J1990" i="18"/>
  <c r="J1989" i="18"/>
  <c r="J1987" i="18"/>
  <c r="J1986" i="18"/>
  <c r="J1984" i="18"/>
  <c r="J1983" i="18"/>
  <c r="J1981" i="18"/>
  <c r="J1980" i="18"/>
  <c r="J1978" i="18"/>
  <c r="J1977" i="18"/>
  <c r="J1976" i="18"/>
  <c r="J1975" i="18"/>
  <c r="J1973" i="18"/>
  <c r="J1972" i="18"/>
  <c r="J1971" i="18"/>
  <c r="J1969" i="18"/>
  <c r="J1967" i="18"/>
  <c r="J1965" i="18"/>
  <c r="K1964" i="18"/>
  <c r="K1965" i="18" s="1"/>
  <c r="K1966" i="18" s="1"/>
  <c r="J1964" i="18"/>
  <c r="J1963" i="18"/>
  <c r="J1962" i="18"/>
  <c r="J1961" i="18"/>
  <c r="J1960" i="18"/>
  <c r="J1959" i="18"/>
  <c r="D1959" i="18"/>
  <c r="J1958" i="18"/>
  <c r="J1957" i="18"/>
  <c r="J1956" i="18"/>
  <c r="J1954" i="18"/>
  <c r="J1952" i="18"/>
  <c r="J1950" i="18"/>
  <c r="J1949" i="18"/>
  <c r="J1948" i="18"/>
  <c r="J1947" i="18"/>
  <c r="J1946" i="18"/>
  <c r="J1945" i="18"/>
  <c r="J1943" i="18"/>
  <c r="J1941" i="18"/>
  <c r="J1939" i="18"/>
  <c r="J1938" i="18"/>
  <c r="J1937" i="18"/>
  <c r="J1936" i="18"/>
  <c r="J1935" i="18"/>
  <c r="J1934" i="18"/>
  <c r="J1932" i="18"/>
  <c r="J1931" i="18"/>
  <c r="J1930" i="18"/>
  <c r="J1929" i="18"/>
  <c r="J1928" i="18"/>
  <c r="J1926" i="18"/>
  <c r="J1925" i="18"/>
  <c r="J1923" i="18"/>
  <c r="J1922" i="18"/>
  <c r="J1921" i="18"/>
  <c r="J1920" i="18"/>
  <c r="J1919" i="18"/>
  <c r="J1918" i="18"/>
  <c r="J1916" i="18"/>
  <c r="J1915" i="18"/>
  <c r="J1913" i="18"/>
  <c r="J1912" i="18"/>
  <c r="J1911" i="18"/>
  <c r="J1910" i="18"/>
  <c r="J1909" i="18"/>
  <c r="J1907" i="18"/>
  <c r="J1906" i="18"/>
  <c r="J1904" i="18"/>
  <c r="J1903" i="18"/>
  <c r="J1901" i="18"/>
  <c r="J1899" i="18"/>
  <c r="J1898" i="18"/>
  <c r="J1896" i="18"/>
  <c r="J1895" i="18"/>
  <c r="J1893" i="18"/>
  <c r="J1892" i="18"/>
  <c r="J1890" i="18"/>
  <c r="J1889" i="18"/>
  <c r="J1887" i="18"/>
  <c r="J1885" i="18"/>
  <c r="J1884" i="18"/>
  <c r="J1882" i="18"/>
  <c r="J1881" i="18"/>
  <c r="J1879" i="18"/>
  <c r="J1878" i="18"/>
  <c r="J1876" i="18"/>
  <c r="J1875" i="18"/>
  <c r="J1873" i="18"/>
  <c r="J1872" i="18"/>
  <c r="J1870" i="18"/>
  <c r="J1869" i="18"/>
  <c r="J1867" i="18"/>
  <c r="J1866" i="18"/>
  <c r="J1864" i="18"/>
  <c r="J1863" i="18"/>
  <c r="J1861" i="18"/>
  <c r="J1860" i="18"/>
  <c r="J1859" i="18"/>
  <c r="J1858" i="18"/>
  <c r="J1856" i="18"/>
  <c r="J1855" i="18"/>
  <c r="J1854" i="18"/>
  <c r="J1852" i="18"/>
  <c r="J1850" i="18"/>
  <c r="J1848" i="18"/>
  <c r="K1847" i="18"/>
  <c r="K1848" i="18" s="1"/>
  <c r="K1849" i="18" s="1"/>
  <c r="J1847" i="18"/>
  <c r="J1846" i="18"/>
  <c r="J1845" i="18"/>
  <c r="J1844" i="18"/>
  <c r="J1843" i="18"/>
  <c r="J1842" i="18"/>
  <c r="D1842" i="18"/>
  <c r="J1841" i="18"/>
  <c r="J1840" i="18"/>
  <c r="J1839" i="18"/>
  <c r="J1837" i="18"/>
  <c r="J1836" i="18"/>
  <c r="J1835" i="18"/>
  <c r="J1833" i="18"/>
  <c r="J1832" i="18"/>
  <c r="J1830" i="18"/>
  <c r="J1829" i="18"/>
  <c r="J1827" i="18"/>
  <c r="J1825" i="18"/>
  <c r="J1824" i="18"/>
  <c r="J1823" i="18"/>
  <c r="J1821" i="18"/>
  <c r="J1819" i="18"/>
  <c r="J1817" i="18"/>
  <c r="K1816" i="18"/>
  <c r="K1817" i="18" s="1"/>
  <c r="K1818" i="18" s="1"/>
  <c r="J1816" i="18"/>
  <c r="J1815" i="18"/>
  <c r="J1814" i="18"/>
  <c r="J1813" i="18"/>
  <c r="J1812" i="18"/>
  <c r="J1811" i="18"/>
  <c r="D1811" i="18"/>
  <c r="J1810" i="18"/>
  <c r="J1809" i="18"/>
  <c r="J1808" i="18"/>
  <c r="J1806" i="18"/>
  <c r="J1805" i="18"/>
  <c r="J1804" i="18"/>
  <c r="J1802" i="18"/>
  <c r="J1801" i="18"/>
  <c r="J1799" i="18"/>
  <c r="J1798" i="18"/>
  <c r="J1796" i="18"/>
  <c r="J1794" i="18"/>
  <c r="J1793" i="18"/>
  <c r="J1792" i="18"/>
  <c r="J1790" i="18"/>
  <c r="J1788" i="18"/>
  <c r="J1786" i="18"/>
  <c r="K1785" i="18"/>
  <c r="K1786" i="18" s="1"/>
  <c r="K1787" i="18" s="1"/>
  <c r="J1785" i="18"/>
  <c r="J1784" i="18"/>
  <c r="J1783" i="18"/>
  <c r="J1782" i="18"/>
  <c r="J1781" i="18"/>
  <c r="J1780" i="18"/>
  <c r="D1780" i="18"/>
  <c r="J1779" i="18"/>
  <c r="J1778" i="18"/>
  <c r="J1777" i="18"/>
  <c r="J1775" i="18"/>
  <c r="J1774" i="18"/>
  <c r="J1773" i="18"/>
  <c r="J1771" i="18"/>
  <c r="J1770" i="18"/>
  <c r="J1769" i="18"/>
  <c r="J1768" i="18"/>
  <c r="J1767" i="18"/>
  <c r="J1766" i="18"/>
  <c r="J1765" i="18"/>
  <c r="J1763" i="18"/>
  <c r="J1762" i="18"/>
  <c r="J1760" i="18"/>
  <c r="J1759" i="18"/>
  <c r="J1758" i="18"/>
  <c r="J1756" i="18"/>
  <c r="J1754" i="18"/>
  <c r="J1753" i="18"/>
  <c r="J1751" i="18"/>
  <c r="J1750" i="18"/>
  <c r="J1748" i="18"/>
  <c r="J1747" i="18"/>
  <c r="J1745" i="18"/>
  <c r="J1744" i="18"/>
  <c r="J1742" i="18"/>
  <c r="J1741" i="18"/>
  <c r="J1739" i="18"/>
  <c r="J1738" i="18"/>
  <c r="J1736" i="18"/>
  <c r="J1735" i="18"/>
  <c r="J1733" i="18"/>
  <c r="J1732" i="18"/>
  <c r="J1730" i="18"/>
  <c r="J1729" i="18"/>
  <c r="J1727" i="18"/>
  <c r="J1726" i="18"/>
  <c r="J1724" i="18"/>
  <c r="J1723" i="18"/>
  <c r="J1721" i="18"/>
  <c r="J1720" i="18"/>
  <c r="J1718" i="18"/>
  <c r="J1717" i="18"/>
  <c r="J1715" i="18"/>
  <c r="J1714" i="18"/>
  <c r="J1713" i="18"/>
  <c r="J1712" i="18"/>
  <c r="J1711" i="18"/>
  <c r="J1710" i="18"/>
  <c r="J1709" i="18"/>
  <c r="J1707" i="18"/>
  <c r="J1706" i="18"/>
  <c r="J1704" i="18"/>
  <c r="J1703" i="18"/>
  <c r="J1702" i="18"/>
  <c r="J1700" i="18"/>
  <c r="J1698" i="18"/>
  <c r="J1697" i="18"/>
  <c r="J1695" i="18"/>
  <c r="J1694" i="18"/>
  <c r="J1692" i="18"/>
  <c r="J1691" i="18"/>
  <c r="J1689" i="18"/>
  <c r="J1688" i="18"/>
  <c r="J1686" i="18"/>
  <c r="J1685" i="18"/>
  <c r="J1683" i="18"/>
  <c r="J1682" i="18"/>
  <c r="J1680" i="18"/>
  <c r="J1679" i="18"/>
  <c r="J1677" i="18"/>
  <c r="J1676" i="18"/>
  <c r="J1674" i="18"/>
  <c r="J1673" i="18"/>
  <c r="J1671" i="18"/>
  <c r="J1670" i="18"/>
  <c r="J1668" i="18"/>
  <c r="J1667" i="18"/>
  <c r="J1665" i="18"/>
  <c r="J1664" i="18"/>
  <c r="J1662" i="18"/>
  <c r="J1661" i="18"/>
  <c r="J1659" i="18"/>
  <c r="J1658" i="18"/>
  <c r="J1657" i="18"/>
  <c r="J1655" i="18"/>
  <c r="J1653" i="18"/>
  <c r="J1651" i="18"/>
  <c r="K1650" i="18"/>
  <c r="K1651" i="18" s="1"/>
  <c r="K1652" i="18" s="1"/>
  <c r="J1650" i="18"/>
  <c r="J1649" i="18"/>
  <c r="J1648" i="18"/>
  <c r="J1647" i="18"/>
  <c r="J1646" i="18"/>
  <c r="J1645" i="18"/>
  <c r="D1645" i="18"/>
  <c r="J1644" i="18"/>
  <c r="J1643" i="18"/>
  <c r="J1642" i="18"/>
  <c r="J1640" i="18"/>
  <c r="J1639" i="18"/>
  <c r="J1638" i="18"/>
  <c r="J1636" i="18"/>
  <c r="J1635" i="18"/>
  <c r="J1634" i="18"/>
  <c r="J1633" i="18"/>
  <c r="J1632" i="18"/>
  <c r="J1631" i="18"/>
  <c r="J1630" i="18"/>
  <c r="J1628" i="18"/>
  <c r="J1627" i="18"/>
  <c r="J1625" i="18"/>
  <c r="J1624" i="18"/>
  <c r="J1622" i="18"/>
  <c r="J1620" i="18"/>
  <c r="J1619" i="18"/>
  <c r="J1617" i="18"/>
  <c r="J1616" i="18"/>
  <c r="J1614" i="18"/>
  <c r="J1613" i="18"/>
  <c r="J1611" i="18"/>
  <c r="J1610" i="18"/>
  <c r="J1608" i="18"/>
  <c r="J1607" i="18"/>
  <c r="J1605" i="18"/>
  <c r="J1604" i="18"/>
  <c r="J1602" i="18"/>
  <c r="J1601" i="18"/>
  <c r="J1599" i="18"/>
  <c r="J1598" i="18"/>
  <c r="J1596" i="18"/>
  <c r="J1595" i="18"/>
  <c r="J1593" i="18"/>
  <c r="J1592" i="18"/>
  <c r="J1590" i="18"/>
  <c r="J1589" i="18"/>
  <c r="J1587" i="18"/>
  <c r="J1586" i="18"/>
  <c r="J1584" i="18"/>
  <c r="J1583" i="18"/>
  <c r="J1581" i="18"/>
  <c r="J1580" i="18"/>
  <c r="J1579" i="18"/>
  <c r="J1578" i="18"/>
  <c r="J1577" i="18"/>
  <c r="J1576" i="18"/>
  <c r="J1575" i="18"/>
  <c r="J1573" i="18"/>
  <c r="J1572" i="18"/>
  <c r="J1570" i="18"/>
  <c r="J1569" i="18"/>
  <c r="J1568" i="18"/>
  <c r="J1566" i="18"/>
  <c r="J1564" i="18"/>
  <c r="J1563" i="18"/>
  <c r="J1561" i="18"/>
  <c r="J1560" i="18"/>
  <c r="J1558" i="18"/>
  <c r="J1557" i="18"/>
  <c r="J1555" i="18"/>
  <c r="J1554" i="18"/>
  <c r="J1552" i="18"/>
  <c r="J1551" i="18"/>
  <c r="J1549" i="18"/>
  <c r="J1548" i="18"/>
  <c r="J1546" i="18"/>
  <c r="J1545" i="18"/>
  <c r="J1543" i="18"/>
  <c r="J1542" i="18"/>
  <c r="J1540" i="18"/>
  <c r="J1539" i="18"/>
  <c r="J1537" i="18"/>
  <c r="J1536" i="18"/>
  <c r="J1534" i="18"/>
  <c r="J1533" i="18"/>
  <c r="J1531" i="18"/>
  <c r="J1530" i="18"/>
  <c r="J1528" i="18"/>
  <c r="J1527" i="18"/>
  <c r="J1525" i="18"/>
  <c r="J1524" i="18"/>
  <c r="J1523" i="18"/>
  <c r="J1521" i="18"/>
  <c r="J1519" i="18"/>
  <c r="J1517" i="18"/>
  <c r="K1516" i="18"/>
  <c r="K1517" i="18" s="1"/>
  <c r="K1518" i="18" s="1"/>
  <c r="J1516" i="18"/>
  <c r="J1515" i="18"/>
  <c r="J1514" i="18"/>
  <c r="J1513" i="18"/>
  <c r="J1512" i="18"/>
  <c r="J1511" i="18"/>
  <c r="D1511" i="18"/>
  <c r="J1510" i="18"/>
  <c r="J1509" i="18"/>
  <c r="J1508" i="18"/>
  <c r="J1506" i="18"/>
  <c r="J1505" i="18"/>
  <c r="J1504" i="18"/>
  <c r="J1502" i="18"/>
  <c r="J1501" i="18"/>
  <c r="J1499" i="18"/>
  <c r="J1498" i="18"/>
  <c r="J1496" i="18"/>
  <c r="J1495" i="18"/>
  <c r="J1494" i="18"/>
  <c r="J1492" i="18"/>
  <c r="J1490" i="18"/>
  <c r="J1488" i="18"/>
  <c r="K1487" i="18"/>
  <c r="K1488" i="18" s="1"/>
  <c r="K1489" i="18" s="1"/>
  <c r="J1487" i="18"/>
  <c r="J1486" i="18"/>
  <c r="J1485" i="18"/>
  <c r="J1484" i="18"/>
  <c r="J1483" i="18"/>
  <c r="J1482" i="18"/>
  <c r="D1482" i="18"/>
  <c r="J1481" i="18"/>
  <c r="J1480" i="18"/>
  <c r="J1479" i="18"/>
  <c r="J1477" i="18"/>
  <c r="J1476" i="18"/>
  <c r="J1475" i="18"/>
  <c r="J1473" i="18"/>
  <c r="J1472" i="18"/>
  <c r="J1470" i="18"/>
  <c r="J1469" i="18"/>
  <c r="J1467" i="18"/>
  <c r="J1466" i="18"/>
  <c r="J1465" i="18"/>
  <c r="J1463" i="18"/>
  <c r="J1461" i="18"/>
  <c r="J1459" i="18"/>
  <c r="K1458" i="18"/>
  <c r="K1459" i="18" s="1"/>
  <c r="K1460" i="18" s="1"/>
  <c r="J1458" i="18"/>
  <c r="J1457" i="18"/>
  <c r="J1456" i="18"/>
  <c r="J1455" i="18"/>
  <c r="J1454" i="18"/>
  <c r="J1453" i="18"/>
  <c r="D1453" i="18"/>
  <c r="J1452" i="18"/>
  <c r="J1451" i="18"/>
  <c r="J1450" i="18"/>
  <c r="J1449" i="18"/>
  <c r="J1447" i="18"/>
  <c r="J1445" i="18"/>
  <c r="J1443" i="18"/>
  <c r="J1442" i="18"/>
  <c r="J1441" i="18"/>
  <c r="J1440" i="18"/>
  <c r="J1439" i="18"/>
  <c r="J1438" i="18"/>
  <c r="J1436" i="18"/>
  <c r="J1434" i="18"/>
  <c r="J1432" i="18"/>
  <c r="J1431" i="18"/>
  <c r="J1430" i="18"/>
  <c r="J1429" i="18"/>
  <c r="J1428" i="18"/>
  <c r="J1427" i="18"/>
  <c r="J1425" i="18"/>
  <c r="J1424" i="18"/>
  <c r="J1422" i="18"/>
  <c r="J1421" i="18"/>
  <c r="J1419" i="18"/>
  <c r="J1418" i="18"/>
  <c r="J1416" i="18"/>
  <c r="J1415" i="18"/>
  <c r="J1414" i="18"/>
  <c r="J1413" i="18"/>
  <c r="J1412" i="18"/>
  <c r="J1411" i="18"/>
  <c r="J1409" i="18"/>
  <c r="J1408" i="18"/>
  <c r="J1406" i="18"/>
  <c r="J1405" i="18"/>
  <c r="J1404" i="18"/>
  <c r="J1403" i="18"/>
  <c r="J1402" i="18"/>
  <c r="J1400" i="18"/>
  <c r="J1399" i="18"/>
  <c r="J1397" i="18"/>
  <c r="J1396" i="18"/>
  <c r="J1394" i="18"/>
  <c r="J1392" i="18"/>
  <c r="J1391" i="18"/>
  <c r="J1389" i="18"/>
  <c r="J1388" i="18"/>
  <c r="J1386" i="18"/>
  <c r="J1385" i="18"/>
  <c r="J1383" i="18"/>
  <c r="J1382" i="18"/>
  <c r="J1380" i="18"/>
  <c r="J1379" i="18"/>
  <c r="J1377" i="18"/>
  <c r="J1376" i="18"/>
  <c r="J1374" i="18"/>
  <c r="J1373" i="18"/>
  <c r="J1371" i="18"/>
  <c r="J1370" i="18"/>
  <c r="J1368" i="18"/>
  <c r="J1367" i="18"/>
  <c r="J1365" i="18"/>
  <c r="J1364" i="18"/>
  <c r="J1362" i="18"/>
  <c r="J1361" i="18"/>
  <c r="J1359" i="18"/>
  <c r="J1358" i="18"/>
  <c r="J1356" i="18"/>
  <c r="J1355" i="18"/>
  <c r="J1353" i="18"/>
  <c r="J1352" i="18"/>
  <c r="J1351" i="18"/>
  <c r="J1349" i="18"/>
  <c r="J1348" i="18"/>
  <c r="J1347" i="18"/>
  <c r="J1346" i="18"/>
  <c r="J1345" i="18"/>
  <c r="J1344" i="18"/>
  <c r="J1342" i="18"/>
  <c r="J1341" i="18"/>
  <c r="J1340" i="18"/>
  <c r="J1339" i="18"/>
  <c r="J1337" i="18"/>
  <c r="J1336" i="18"/>
  <c r="J1335" i="18"/>
  <c r="J1334" i="18"/>
  <c r="J1332" i="18"/>
  <c r="J1331" i="18"/>
  <c r="J1329" i="18"/>
  <c r="J1328" i="18"/>
  <c r="J1326" i="18"/>
  <c r="J1325" i="18"/>
  <c r="J1323" i="18"/>
  <c r="J1322" i="18"/>
  <c r="J1320" i="18"/>
  <c r="J1319" i="18"/>
  <c r="J1318" i="18"/>
  <c r="J1317" i="18"/>
  <c r="J1316" i="18"/>
  <c r="J1315" i="18"/>
  <c r="J1313" i="18"/>
  <c r="J1312" i="18"/>
  <c r="J1310" i="18"/>
  <c r="J1309" i="18"/>
  <c r="J1308" i="18"/>
  <c r="J1306" i="18"/>
  <c r="J1304" i="18"/>
  <c r="J1302" i="18"/>
  <c r="K1301" i="18"/>
  <c r="K1302" i="18" s="1"/>
  <c r="K1303" i="18" s="1"/>
  <c r="J1301" i="18"/>
  <c r="J1300" i="18"/>
  <c r="J1299" i="18"/>
  <c r="J1298" i="18"/>
  <c r="J1297" i="18"/>
  <c r="J1296" i="18"/>
  <c r="D1296" i="18"/>
  <c r="J1295" i="18"/>
  <c r="J1294" i="18"/>
  <c r="J1293" i="18"/>
  <c r="J1291" i="18"/>
  <c r="J1289" i="18"/>
  <c r="J1287" i="18"/>
  <c r="J1286" i="18"/>
  <c r="J1285" i="18"/>
  <c r="J1284" i="18"/>
  <c r="J1283" i="18"/>
  <c r="J1282" i="18"/>
  <c r="J1280" i="18"/>
  <c r="J1278" i="18"/>
  <c r="J1276" i="18"/>
  <c r="J1275" i="18"/>
  <c r="J1274" i="18"/>
  <c r="J1273" i="18"/>
  <c r="J1272" i="18"/>
  <c r="J1271" i="18"/>
  <c r="J1269" i="18"/>
  <c r="J1268" i="18"/>
  <c r="J1266" i="18"/>
  <c r="J1265" i="18"/>
  <c r="J1263" i="18"/>
  <c r="J1262" i="18"/>
  <c r="J1260" i="18"/>
  <c r="J1259" i="18"/>
  <c r="J1258" i="18"/>
  <c r="J1257" i="18"/>
  <c r="J1256" i="18"/>
  <c r="J1255" i="18"/>
  <c r="J1253" i="18"/>
  <c r="J1252" i="18"/>
  <c r="J1250" i="18"/>
  <c r="J1249" i="18"/>
  <c r="J1248" i="18"/>
  <c r="J1247" i="18"/>
  <c r="J1246" i="18"/>
  <c r="J1244" i="18"/>
  <c r="J1243" i="18"/>
  <c r="J1241" i="18"/>
  <c r="J1240" i="18"/>
  <c r="J1238" i="18"/>
  <c r="J1236" i="18"/>
  <c r="J1235" i="18"/>
  <c r="J1233" i="18"/>
  <c r="J1232" i="18"/>
  <c r="J1230" i="18"/>
  <c r="J1229" i="18"/>
  <c r="J1227" i="18"/>
  <c r="J1226" i="18"/>
  <c r="J1224" i="18"/>
  <c r="J1223" i="18"/>
  <c r="J1221" i="18"/>
  <c r="J1220" i="18"/>
  <c r="J1218" i="18"/>
  <c r="J1217" i="18"/>
  <c r="J1215" i="18"/>
  <c r="J1214" i="18"/>
  <c r="J1212" i="18"/>
  <c r="J1211" i="18"/>
  <c r="J1209" i="18"/>
  <c r="J1208" i="18"/>
  <c r="J1206" i="18"/>
  <c r="J1205" i="18"/>
  <c r="J1203" i="18"/>
  <c r="J1202" i="18"/>
  <c r="J1200" i="18"/>
  <c r="J1199" i="18"/>
  <c r="J1197" i="18"/>
  <c r="J1196" i="18"/>
  <c r="J1195" i="18"/>
  <c r="J1194" i="18"/>
  <c r="J1192" i="18"/>
  <c r="J1191" i="18"/>
  <c r="J1190" i="18"/>
  <c r="J1189" i="18"/>
  <c r="J1188" i="18"/>
  <c r="J1187" i="18"/>
  <c r="J1185" i="18"/>
  <c r="J1184" i="18"/>
  <c r="J1183" i="18"/>
  <c r="J1182" i="18"/>
  <c r="J1180" i="18"/>
  <c r="J1179" i="18"/>
  <c r="J1178" i="18"/>
  <c r="J1176" i="18"/>
  <c r="J1175" i="18"/>
  <c r="J1173" i="18"/>
  <c r="J1172" i="18"/>
  <c r="J1170" i="18"/>
  <c r="J1169" i="18"/>
  <c r="J1167" i="18"/>
  <c r="J1166" i="18"/>
  <c r="J1164" i="18"/>
  <c r="J1163" i="18"/>
  <c r="J1162" i="18"/>
  <c r="J1161" i="18"/>
  <c r="J1160" i="18"/>
  <c r="J1159" i="18"/>
  <c r="J1157" i="18"/>
  <c r="J1156" i="18"/>
  <c r="J1155" i="18"/>
  <c r="J1153" i="18"/>
  <c r="J1152" i="18"/>
  <c r="J1151" i="18"/>
  <c r="J1149" i="18"/>
  <c r="J1147" i="18"/>
  <c r="J1145" i="18"/>
  <c r="K1144" i="18"/>
  <c r="K1145" i="18" s="1"/>
  <c r="K1146" i="18" s="1"/>
  <c r="J1144" i="18"/>
  <c r="J1143" i="18"/>
  <c r="J1142" i="18"/>
  <c r="J1141" i="18"/>
  <c r="J1140" i="18"/>
  <c r="J1139" i="18"/>
  <c r="D1139" i="18"/>
  <c r="J1138" i="18"/>
  <c r="J1137" i="18"/>
  <c r="J1136" i="18"/>
  <c r="J1134" i="18"/>
  <c r="J1133" i="18"/>
  <c r="J1132" i="18"/>
  <c r="J1130" i="18"/>
  <c r="J1129" i="18"/>
  <c r="J1128" i="18"/>
  <c r="J1127" i="18"/>
  <c r="J1126" i="18"/>
  <c r="J1125" i="18"/>
  <c r="J1124" i="18"/>
  <c r="J1122" i="18"/>
  <c r="J1121" i="18"/>
  <c r="J1119" i="18"/>
  <c r="J1118" i="18"/>
  <c r="J1116" i="18"/>
  <c r="J1114" i="18"/>
  <c r="J1113" i="18"/>
  <c r="J1111" i="18"/>
  <c r="J1110" i="18"/>
  <c r="J1108" i="18"/>
  <c r="J1107" i="18"/>
  <c r="J1105" i="18"/>
  <c r="J1104" i="18"/>
  <c r="J1102" i="18"/>
  <c r="J1101" i="18"/>
  <c r="J1099" i="18"/>
  <c r="J1098" i="18"/>
  <c r="J1096" i="18"/>
  <c r="J1095" i="18"/>
  <c r="J1093" i="18"/>
  <c r="J1092" i="18"/>
  <c r="J1090" i="18"/>
  <c r="J1089" i="18"/>
  <c r="J1087" i="18"/>
  <c r="J1086" i="18"/>
  <c r="J1084" i="18"/>
  <c r="J1083" i="18"/>
  <c r="J1081" i="18"/>
  <c r="J1080" i="18"/>
  <c r="J1078" i="18"/>
  <c r="J1077" i="18"/>
  <c r="J1075" i="18"/>
  <c r="J1074" i="18"/>
  <c r="J1073" i="18"/>
  <c r="J1072" i="18"/>
  <c r="J1071" i="18"/>
  <c r="J1070" i="18"/>
  <c r="J1068" i="18"/>
  <c r="J1067" i="18"/>
  <c r="J1065" i="18"/>
  <c r="J1064" i="18"/>
  <c r="J1062" i="18"/>
  <c r="J1060" i="18"/>
  <c r="J1059" i="18"/>
  <c r="J1057" i="18"/>
  <c r="J1056" i="18"/>
  <c r="J1054" i="18"/>
  <c r="J1053" i="18"/>
  <c r="J1051" i="18"/>
  <c r="J1050" i="18"/>
  <c r="J1048" i="18"/>
  <c r="J1047" i="18"/>
  <c r="J1045" i="18"/>
  <c r="J1044" i="18"/>
  <c r="J1042" i="18"/>
  <c r="J1041" i="18"/>
  <c r="J1039" i="18"/>
  <c r="J1038" i="18"/>
  <c r="J1036" i="18"/>
  <c r="J1035" i="18"/>
  <c r="J1033" i="18"/>
  <c r="J1032" i="18"/>
  <c r="J1030" i="18"/>
  <c r="J1029" i="18"/>
  <c r="J1027" i="18"/>
  <c r="J1026" i="18"/>
  <c r="J1024" i="18"/>
  <c r="J1023" i="18"/>
  <c r="J1021" i="18"/>
  <c r="J1020" i="18"/>
  <c r="J1019" i="18"/>
  <c r="J1018" i="18"/>
  <c r="J1017" i="18"/>
  <c r="J1015" i="18"/>
  <c r="J1014" i="18"/>
  <c r="J1012" i="18"/>
  <c r="J1011" i="18"/>
  <c r="J1010" i="18"/>
  <c r="J1008" i="18"/>
  <c r="J1006" i="18"/>
  <c r="J1004" i="18"/>
  <c r="K1003" i="18"/>
  <c r="K1004" i="18" s="1"/>
  <c r="K1005" i="18" s="1"/>
  <c r="J1003" i="18"/>
  <c r="J1002" i="18"/>
  <c r="J1001" i="18"/>
  <c r="J1000" i="18"/>
  <c r="J999" i="18"/>
  <c r="J998" i="18"/>
  <c r="D998" i="18"/>
  <c r="J997" i="18"/>
  <c r="J996" i="18"/>
  <c r="J995" i="18"/>
  <c r="J993" i="18"/>
  <c r="J992" i="18"/>
  <c r="J991" i="18"/>
  <c r="J989" i="18"/>
  <c r="J988" i="18"/>
  <c r="J987" i="18"/>
  <c r="J986" i="18"/>
  <c r="J985" i="18"/>
  <c r="J984" i="18"/>
  <c r="J983" i="18"/>
  <c r="J981" i="18"/>
  <c r="J980" i="18"/>
  <c r="J978" i="18"/>
  <c r="J977" i="18"/>
  <c r="J975" i="18"/>
  <c r="J973" i="18"/>
  <c r="J972" i="18"/>
  <c r="J970" i="18"/>
  <c r="J969" i="18"/>
  <c r="J967" i="18"/>
  <c r="J966" i="18"/>
  <c r="J964" i="18"/>
  <c r="J963" i="18"/>
  <c r="J961" i="18"/>
  <c r="J960" i="18"/>
  <c r="J958" i="18"/>
  <c r="J957" i="18"/>
  <c r="J955" i="18"/>
  <c r="J954" i="18"/>
  <c r="J952" i="18"/>
  <c r="J951" i="18"/>
  <c r="J949" i="18"/>
  <c r="J948" i="18"/>
  <c r="J946" i="18"/>
  <c r="J945" i="18"/>
  <c r="J943" i="18"/>
  <c r="J942" i="18"/>
  <c r="J940" i="18"/>
  <c r="J939" i="18"/>
  <c r="J937" i="18"/>
  <c r="J936" i="18"/>
  <c r="J934" i="18"/>
  <c r="J933" i="18"/>
  <c r="J932" i="18"/>
  <c r="J931" i="18"/>
  <c r="J930" i="18"/>
  <c r="J929" i="18"/>
  <c r="J927" i="18"/>
  <c r="J926" i="18"/>
  <c r="J924" i="18"/>
  <c r="J923" i="18"/>
  <c r="J921" i="18"/>
  <c r="J919" i="18"/>
  <c r="J918" i="18"/>
  <c r="J916" i="18"/>
  <c r="J915" i="18"/>
  <c r="J913" i="18"/>
  <c r="J912" i="18"/>
  <c r="J910" i="18"/>
  <c r="J909" i="18"/>
  <c r="J907" i="18"/>
  <c r="J906" i="18"/>
  <c r="J904" i="18"/>
  <c r="J903" i="18"/>
  <c r="J901" i="18"/>
  <c r="J900" i="18"/>
  <c r="J898" i="18"/>
  <c r="J897" i="18"/>
  <c r="J895" i="18"/>
  <c r="J894" i="18"/>
  <c r="J892" i="18"/>
  <c r="J891" i="18"/>
  <c r="J889" i="18"/>
  <c r="J888" i="18"/>
  <c r="J886" i="18"/>
  <c r="J885" i="18"/>
  <c r="J883" i="18"/>
  <c r="J882" i="18"/>
  <c r="J880" i="18"/>
  <c r="J879" i="18"/>
  <c r="J878" i="18"/>
  <c r="J877" i="18"/>
  <c r="J876" i="18"/>
  <c r="J874" i="18"/>
  <c r="J873" i="18"/>
  <c r="J871" i="18"/>
  <c r="J870" i="18"/>
  <c r="J869" i="18"/>
  <c r="J867" i="18"/>
  <c r="J865" i="18"/>
  <c r="J863" i="18"/>
  <c r="K862" i="18"/>
  <c r="K863" i="18" s="1"/>
  <c r="K864" i="18" s="1"/>
  <c r="J862" i="18"/>
  <c r="J861" i="18"/>
  <c r="J860" i="18"/>
  <c r="J859" i="18"/>
  <c r="J858" i="18"/>
  <c r="J857" i="18"/>
  <c r="D857" i="18"/>
  <c r="J856" i="18"/>
  <c r="J855" i="18"/>
  <c r="J854" i="18"/>
  <c r="J853" i="18"/>
  <c r="J851" i="18"/>
  <c r="J849" i="18"/>
  <c r="J847" i="18"/>
  <c r="J845" i="18"/>
  <c r="J843" i="18"/>
  <c r="J841" i="18"/>
  <c r="J839" i="18"/>
  <c r="J837" i="18"/>
  <c r="J835" i="18"/>
  <c r="J833" i="18"/>
  <c r="J831" i="18"/>
  <c r="J830" i="18"/>
  <c r="J829" i="18"/>
  <c r="J827" i="18"/>
  <c r="J825" i="18"/>
  <c r="J823" i="18"/>
  <c r="J822" i="18"/>
  <c r="J821" i="18"/>
  <c r="J820" i="18"/>
  <c r="J819" i="18"/>
  <c r="J817" i="18"/>
  <c r="J815" i="18"/>
  <c r="J814" i="18"/>
  <c r="J813" i="18"/>
  <c r="J811" i="18"/>
  <c r="J810" i="18"/>
  <c r="J809" i="18"/>
  <c r="J807" i="18"/>
  <c r="J806" i="18"/>
  <c r="J804" i="18"/>
  <c r="J803" i="18"/>
  <c r="J801" i="18"/>
  <c r="J800" i="18"/>
  <c r="J798" i="18"/>
  <c r="J797" i="18"/>
  <c r="J796" i="18"/>
  <c r="J795" i="18"/>
  <c r="J794" i="18"/>
  <c r="J793" i="18"/>
  <c r="J792" i="18"/>
  <c r="J791" i="18"/>
  <c r="J790" i="18"/>
  <c r="J789" i="18"/>
  <c r="J788" i="18"/>
  <c r="J787" i="18"/>
  <c r="J786" i="18"/>
  <c r="J784" i="18"/>
  <c r="J782" i="18"/>
  <c r="J781" i="18"/>
  <c r="J779" i="18"/>
  <c r="J778" i="18"/>
  <c r="J777" i="18"/>
  <c r="J775" i="18"/>
  <c r="J774" i="18"/>
  <c r="J773" i="18"/>
  <c r="J771" i="18"/>
  <c r="J769" i="18"/>
  <c r="J767" i="18"/>
  <c r="K766" i="18"/>
  <c r="K767" i="18" s="1"/>
  <c r="K768" i="18" s="1"/>
  <c r="J766" i="18"/>
  <c r="J765" i="18"/>
  <c r="J764" i="18"/>
  <c r="J763" i="18"/>
  <c r="J762" i="18"/>
  <c r="J761" i="18"/>
  <c r="D761" i="18"/>
  <c r="J760" i="18"/>
  <c r="J759" i="18"/>
  <c r="J758" i="18"/>
  <c r="J756" i="18"/>
  <c r="J755" i="18"/>
  <c r="J754" i="18"/>
  <c r="J752" i="18"/>
  <c r="J750" i="18"/>
  <c r="J749" i="18"/>
  <c r="J748" i="18"/>
  <c r="J746" i="18"/>
  <c r="J745" i="18"/>
  <c r="J743" i="18"/>
  <c r="J742" i="18"/>
  <c r="J740" i="18"/>
  <c r="J739" i="18"/>
  <c r="J737" i="18"/>
  <c r="J736" i="18"/>
  <c r="J734" i="18"/>
  <c r="J733" i="18"/>
  <c r="J732" i="18"/>
  <c r="J730" i="18"/>
  <c r="J728" i="18"/>
  <c r="J727" i="18"/>
  <c r="J725" i="18"/>
  <c r="J724" i="18"/>
  <c r="J723" i="18"/>
  <c r="J721" i="18"/>
  <c r="J720" i="18"/>
  <c r="J719" i="18"/>
  <c r="J717" i="18"/>
  <c r="J715" i="18"/>
  <c r="J713" i="18"/>
  <c r="K712" i="18"/>
  <c r="K713" i="18" s="1"/>
  <c r="K714" i="18" s="1"/>
  <c r="J712" i="18"/>
  <c r="J711" i="18"/>
  <c r="J710" i="18"/>
  <c r="J709" i="18"/>
  <c r="J708" i="18"/>
  <c r="J707" i="18"/>
  <c r="D707" i="18"/>
  <c r="J706" i="18"/>
  <c r="J705" i="18"/>
  <c r="J704" i="18"/>
  <c r="J700" i="18"/>
  <c r="J699" i="18"/>
  <c r="J698" i="18"/>
  <c r="J696" i="18"/>
  <c r="J695" i="18"/>
  <c r="J693" i="18"/>
  <c r="J691" i="18"/>
  <c r="J690" i="18"/>
  <c r="J688" i="18"/>
  <c r="J687" i="18"/>
  <c r="J686" i="18"/>
  <c r="J685" i="18"/>
  <c r="J684" i="18"/>
  <c r="J682" i="18"/>
  <c r="J681" i="18"/>
  <c r="J679" i="18"/>
  <c r="J678" i="18"/>
  <c r="J677" i="18"/>
  <c r="J675" i="18"/>
  <c r="J674" i="18"/>
  <c r="J673" i="18"/>
  <c r="J671" i="18"/>
  <c r="J669" i="18"/>
  <c r="J668" i="18"/>
  <c r="J667" i="18"/>
  <c r="J665" i="18"/>
  <c r="J663" i="18"/>
  <c r="J661" i="18"/>
  <c r="J659" i="18"/>
  <c r="J657" i="18"/>
  <c r="J655" i="18"/>
  <c r="J653" i="18"/>
  <c r="J652" i="18"/>
  <c r="J651" i="18"/>
  <c r="J649" i="18"/>
  <c r="J648" i="18"/>
  <c r="J647" i="18"/>
  <c r="J646" i="18"/>
  <c r="J645" i="18"/>
  <c r="J644" i="18"/>
  <c r="J643" i="18"/>
  <c r="J642" i="18"/>
  <c r="J641" i="18"/>
  <c r="J640" i="18"/>
  <c r="J639" i="18"/>
  <c r="J637" i="18"/>
  <c r="J636" i="18"/>
  <c r="J634" i="18"/>
  <c r="J633" i="18"/>
  <c r="J631" i="18"/>
  <c r="J630" i="18"/>
  <c r="J628" i="18"/>
  <c r="J627" i="18"/>
  <c r="J625" i="18"/>
  <c r="J624" i="18"/>
  <c r="J623" i="18"/>
  <c r="J621" i="18"/>
  <c r="J619" i="18"/>
  <c r="J617" i="18"/>
  <c r="K616" i="18"/>
  <c r="K617" i="18" s="1"/>
  <c r="K618" i="18" s="1"/>
  <c r="J616" i="18"/>
  <c r="J615" i="18"/>
  <c r="J614" i="18"/>
  <c r="J613" i="18"/>
  <c r="J612" i="18"/>
  <c r="J611" i="18"/>
  <c r="D611" i="18"/>
  <c r="J610" i="18"/>
  <c r="J609" i="18"/>
  <c r="J608" i="18"/>
  <c r="J607" i="18"/>
  <c r="J606" i="18"/>
  <c r="J604" i="18"/>
  <c r="J602" i="18"/>
  <c r="J601" i="18"/>
  <c r="J600" i="18"/>
  <c r="J598" i="18"/>
  <c r="J597" i="18"/>
  <c r="J595" i="18"/>
  <c r="J594" i="18"/>
  <c r="J592" i="18"/>
  <c r="J591" i="18"/>
  <c r="J590" i="18"/>
  <c r="J589" i="18"/>
  <c r="J588" i="18"/>
  <c r="J586" i="18"/>
  <c r="J585" i="18"/>
  <c r="J583" i="18"/>
  <c r="J582" i="18"/>
  <c r="J581" i="18"/>
  <c r="J579" i="18"/>
  <c r="J577" i="18"/>
  <c r="J576" i="18"/>
  <c r="J575" i="18"/>
  <c r="J574" i="18"/>
  <c r="J573" i="18"/>
  <c r="J572" i="18"/>
  <c r="J571" i="18"/>
  <c r="J570" i="18"/>
  <c r="J569" i="18"/>
  <c r="J568" i="18"/>
  <c r="J567" i="18"/>
  <c r="J565" i="18"/>
  <c r="J564" i="18"/>
  <c r="J562" i="18"/>
  <c r="J561" i="18"/>
  <c r="J559" i="18"/>
  <c r="J558" i="18"/>
  <c r="J556" i="18"/>
  <c r="J555" i="18"/>
  <c r="J553" i="18"/>
  <c r="J552" i="18"/>
  <c r="J551" i="18"/>
  <c r="J549" i="18"/>
  <c r="J547" i="18"/>
  <c r="J545" i="18"/>
  <c r="K544" i="18"/>
  <c r="K545" i="18" s="1"/>
  <c r="K546" i="18" s="1"/>
  <c r="J544" i="18"/>
  <c r="J543" i="18"/>
  <c r="J542" i="18"/>
  <c r="J541" i="18"/>
  <c r="J540" i="18"/>
  <c r="J539" i="18"/>
  <c r="D539" i="18"/>
  <c r="J538" i="18"/>
  <c r="J537" i="18"/>
  <c r="J536" i="18"/>
  <c r="J535" i="18"/>
  <c r="J534" i="18"/>
  <c r="J532" i="18"/>
  <c r="J531" i="18"/>
  <c r="J530" i="18"/>
  <c r="J528" i="18"/>
  <c r="J526" i="18"/>
  <c r="J525" i="18"/>
  <c r="J524" i="18"/>
  <c r="J522" i="18"/>
  <c r="J521" i="18"/>
  <c r="J520" i="18"/>
  <c r="J518" i="18"/>
  <c r="J516" i="18"/>
  <c r="J515" i="18"/>
  <c r="J513" i="18"/>
  <c r="J511" i="18"/>
  <c r="J510" i="18"/>
  <c r="J508" i="18"/>
  <c r="J507" i="18"/>
  <c r="J506" i="18"/>
  <c r="J504" i="18"/>
  <c r="J503" i="18"/>
  <c r="J501" i="18"/>
  <c r="J500" i="18"/>
  <c r="J499" i="18"/>
  <c r="J497" i="18"/>
  <c r="J496" i="18"/>
  <c r="J495" i="18"/>
  <c r="J493" i="18"/>
  <c r="J491" i="18"/>
  <c r="J490" i="18"/>
  <c r="J489" i="18"/>
  <c r="J487" i="18"/>
  <c r="J485" i="18"/>
  <c r="J483" i="18"/>
  <c r="J481" i="18"/>
  <c r="J479" i="18"/>
  <c r="J477" i="18"/>
  <c r="J475" i="18"/>
  <c r="J473" i="18"/>
  <c r="J471" i="18"/>
  <c r="J469" i="18"/>
  <c r="J467" i="18"/>
  <c r="J466" i="18"/>
  <c r="J465" i="18"/>
  <c r="J463" i="18"/>
  <c r="J462" i="18"/>
  <c r="J461" i="18"/>
  <c r="J459" i="18"/>
  <c r="J458" i="18"/>
  <c r="J457" i="18"/>
  <c r="J455" i="18"/>
  <c r="J454" i="18"/>
  <c r="J453" i="18"/>
  <c r="J451" i="18"/>
  <c r="J450" i="18"/>
  <c r="J449" i="18"/>
  <c r="J447" i="18"/>
  <c r="J446" i="18"/>
  <c r="J445" i="18"/>
  <c r="J443" i="18"/>
  <c r="J442" i="18"/>
  <c r="J441" i="18"/>
  <c r="J440" i="18"/>
  <c r="J439" i="18"/>
  <c r="J438" i="18"/>
  <c r="J436" i="18"/>
  <c r="J434" i="18"/>
  <c r="J433" i="18"/>
  <c r="J432" i="18"/>
  <c r="J430" i="18"/>
  <c r="J428" i="18"/>
  <c r="J427" i="18"/>
  <c r="J426" i="18"/>
  <c r="J424" i="18"/>
  <c r="J422" i="18"/>
  <c r="J421" i="18"/>
  <c r="J420" i="18"/>
  <c r="J418" i="18"/>
  <c r="J417" i="18"/>
  <c r="J416" i="18"/>
  <c r="J414" i="18"/>
  <c r="J412" i="18"/>
  <c r="J410" i="18"/>
  <c r="J409" i="18"/>
  <c r="J407" i="18"/>
  <c r="J405" i="18"/>
  <c r="J404" i="18"/>
  <c r="J402" i="18"/>
  <c r="J401" i="18"/>
  <c r="J399" i="18"/>
  <c r="J398" i="18"/>
  <c r="J397" i="18"/>
  <c r="J395" i="18"/>
  <c r="J394" i="18"/>
  <c r="J392" i="18"/>
  <c r="J391" i="18"/>
  <c r="J389" i="18"/>
  <c r="J388" i="18"/>
  <c r="J387" i="18"/>
  <c r="J385" i="18"/>
  <c r="J383" i="18"/>
  <c r="J381" i="18"/>
  <c r="J380" i="18"/>
  <c r="J378" i="18"/>
  <c r="J377" i="18"/>
  <c r="J376" i="18"/>
  <c r="J375" i="18"/>
  <c r="J374" i="18"/>
  <c r="J372" i="18"/>
  <c r="J370" i="18"/>
  <c r="J369" i="18"/>
  <c r="J367" i="18"/>
  <c r="J365" i="18"/>
  <c r="J363" i="18"/>
  <c r="J362" i="18"/>
  <c r="J361" i="18"/>
  <c r="J360" i="18"/>
  <c r="J359" i="18"/>
  <c r="J358" i="18"/>
  <c r="J357" i="18"/>
  <c r="J356" i="18"/>
  <c r="J355" i="18"/>
  <c r="J354" i="18"/>
  <c r="J353" i="18"/>
  <c r="J351" i="18"/>
  <c r="J349" i="18"/>
  <c r="J347" i="18"/>
  <c r="J345" i="18"/>
  <c r="J344" i="18"/>
  <c r="J343" i="18"/>
  <c r="J342" i="18"/>
  <c r="J340" i="18"/>
  <c r="J338" i="18"/>
  <c r="J337" i="18"/>
  <c r="J335" i="18"/>
  <c r="J334" i="18"/>
  <c r="J333" i="18"/>
  <c r="J331" i="18"/>
  <c r="J330" i="18"/>
  <c r="J329" i="18"/>
  <c r="J327" i="18"/>
  <c r="J326" i="18"/>
  <c r="J325" i="18"/>
  <c r="J323" i="18"/>
  <c r="J321" i="18"/>
  <c r="J319" i="18"/>
  <c r="K318" i="18"/>
  <c r="K319" i="18" s="1"/>
  <c r="K320" i="18" s="1"/>
  <c r="J318" i="18"/>
  <c r="J317" i="18"/>
  <c r="J316" i="18"/>
  <c r="J315" i="18"/>
  <c r="J314" i="18"/>
  <c r="J313" i="18"/>
  <c r="D313" i="18"/>
  <c r="J312" i="18"/>
  <c r="J311" i="18"/>
  <c r="J310" i="18"/>
  <c r="J309" i="18"/>
  <c r="J308" i="18"/>
  <c r="J302" i="18"/>
  <c r="J301" i="18"/>
  <c r="J300" i="18"/>
  <c r="J298" i="18"/>
  <c r="J296" i="18"/>
  <c r="J295" i="18"/>
  <c r="J293" i="18"/>
  <c r="J292" i="18"/>
  <c r="J291" i="18"/>
  <c r="J290" i="18"/>
  <c r="J289" i="18"/>
  <c r="J287" i="18"/>
  <c r="J286" i="18"/>
  <c r="J284" i="18"/>
  <c r="J283" i="18"/>
  <c r="J282" i="18"/>
  <c r="J279" i="18"/>
  <c r="J278" i="18"/>
  <c r="J277" i="18"/>
  <c r="J275" i="18"/>
  <c r="J274" i="18"/>
  <c r="J273" i="18"/>
  <c r="J271" i="18"/>
  <c r="J270" i="18"/>
  <c r="J269" i="18"/>
  <c r="J267" i="18"/>
  <c r="J266" i="18"/>
  <c r="J265" i="18"/>
  <c r="J263" i="18"/>
  <c r="J262" i="18"/>
  <c r="J261" i="18"/>
  <c r="J259" i="18"/>
  <c r="J258" i="18"/>
  <c r="J257" i="18"/>
  <c r="J256" i="18"/>
  <c r="J255" i="18"/>
  <c r="J254" i="18"/>
  <c r="J252" i="18"/>
  <c r="J251" i="18"/>
  <c r="J250" i="18"/>
  <c r="J248" i="18"/>
  <c r="J247" i="18"/>
  <c r="J246" i="18"/>
  <c r="J244" i="18"/>
  <c r="J242" i="18"/>
  <c r="J241" i="18"/>
  <c r="J240" i="18"/>
  <c r="J238" i="18"/>
  <c r="J236" i="18"/>
  <c r="J235" i="18"/>
  <c r="J234" i="18"/>
  <c r="J232" i="18"/>
  <c r="J231" i="18"/>
  <c r="J230" i="18"/>
  <c r="J228" i="18"/>
  <c r="J226" i="18"/>
  <c r="J224" i="18"/>
  <c r="J223" i="18"/>
  <c r="J221" i="18"/>
  <c r="J219" i="18"/>
  <c r="J218" i="18"/>
  <c r="J216" i="18"/>
  <c r="J215" i="18"/>
  <c r="J213" i="18"/>
  <c r="J212" i="18"/>
  <c r="J211" i="18"/>
  <c r="J209" i="18"/>
  <c r="J208" i="18"/>
  <c r="J206" i="18"/>
  <c r="J205" i="18"/>
  <c r="J204" i="18"/>
  <c r="J202" i="18"/>
  <c r="J201" i="18"/>
  <c r="J200" i="18"/>
  <c r="J198" i="18"/>
  <c r="J197" i="18"/>
  <c r="J195" i="18"/>
  <c r="J193" i="18"/>
  <c r="J192" i="18"/>
  <c r="J190" i="18"/>
  <c r="J189" i="18"/>
  <c r="J188" i="18"/>
  <c r="J187" i="18"/>
  <c r="J186" i="18"/>
  <c r="J184" i="18"/>
  <c r="J182" i="18"/>
  <c r="J181" i="18"/>
  <c r="J179" i="18"/>
  <c r="J177" i="18"/>
  <c r="J175" i="18"/>
  <c r="J174" i="18"/>
  <c r="J173" i="18"/>
  <c r="J172" i="18"/>
  <c r="J171" i="18"/>
  <c r="J170" i="18"/>
  <c r="J169" i="18"/>
  <c r="J168" i="18"/>
  <c r="J167" i="18"/>
  <c r="J166" i="18"/>
  <c r="J165" i="18"/>
  <c r="J163" i="18"/>
  <c r="J161" i="18"/>
  <c r="J159" i="18"/>
  <c r="J157" i="18"/>
  <c r="J156" i="18"/>
  <c r="J155" i="18"/>
  <c r="J154" i="18"/>
  <c r="J152" i="18"/>
  <c r="J151" i="18"/>
  <c r="J149" i="18"/>
  <c r="J148" i="18"/>
  <c r="J146" i="18"/>
  <c r="J145" i="18"/>
  <c r="J143" i="18"/>
  <c r="J142" i="18"/>
  <c r="J141" i="18"/>
  <c r="J139" i="18"/>
  <c r="J138" i="18"/>
  <c r="J137" i="18"/>
  <c r="J135" i="18"/>
  <c r="J133" i="18"/>
  <c r="J131" i="18"/>
  <c r="K130" i="18"/>
  <c r="K131" i="18" s="1"/>
  <c r="K132" i="18" s="1"/>
  <c r="J130" i="18"/>
  <c r="D125" i="18"/>
  <c r="K2084" i="18" l="1"/>
  <c r="K2085" i="18" s="1"/>
  <c r="J2083" i="18"/>
  <c r="K2119" i="18"/>
  <c r="K2120" i="18" s="1"/>
  <c r="J2118" i="18"/>
  <c r="K2154" i="18"/>
  <c r="K2155" i="18" s="1"/>
  <c r="J2153" i="18"/>
  <c r="J2228" i="18"/>
  <c r="K2229" i="18"/>
  <c r="K2230" i="18" s="1"/>
  <c r="J2230" i="18" s="1"/>
  <c r="K769" i="18"/>
  <c r="K770" i="18" s="1"/>
  <c r="K771" i="18" s="1"/>
  <c r="K772" i="18" s="1"/>
  <c r="J768" i="18"/>
  <c r="J864" i="18"/>
  <c r="K865" i="18"/>
  <c r="K866" i="18" s="1"/>
  <c r="J1005" i="18"/>
  <c r="K1006" i="18"/>
  <c r="K1007" i="18" s="1"/>
  <c r="K1461" i="18"/>
  <c r="K1462" i="18" s="1"/>
  <c r="J1462" i="18" s="1"/>
  <c r="J1460" i="18"/>
  <c r="K1490" i="18"/>
  <c r="K1491" i="18" s="1"/>
  <c r="J1491" i="18" s="1"/>
  <c r="J1489" i="18"/>
  <c r="K1519" i="18"/>
  <c r="K1520" i="18" s="1"/>
  <c r="J1520" i="18" s="1"/>
  <c r="J1518" i="18"/>
  <c r="J320" i="18"/>
  <c r="K321" i="18"/>
  <c r="K322" i="18" s="1"/>
  <c r="K547" i="18"/>
  <c r="K548" i="18" s="1"/>
  <c r="J546" i="18"/>
  <c r="J1303" i="18"/>
  <c r="K1304" i="18"/>
  <c r="K1305" i="18" s="1"/>
  <c r="K133" i="18"/>
  <c r="K134" i="18" s="1"/>
  <c r="J132" i="18"/>
  <c r="K619" i="18"/>
  <c r="K620" i="18" s="1"/>
  <c r="J618" i="18"/>
  <c r="K867" i="18"/>
  <c r="K868" i="18" s="1"/>
  <c r="J866" i="18"/>
  <c r="J1652" i="18"/>
  <c r="K1653" i="18"/>
  <c r="K1654" i="18" s="1"/>
  <c r="J714" i="18"/>
  <c r="K715" i="18"/>
  <c r="K716" i="18" s="1"/>
  <c r="K1008" i="18"/>
  <c r="K1009" i="18" s="1"/>
  <c r="J1007" i="18"/>
  <c r="K1850" i="18"/>
  <c r="K1851" i="18" s="1"/>
  <c r="J1849" i="18"/>
  <c r="J1146" i="18"/>
  <c r="K1147" i="18"/>
  <c r="K1148" i="18" s="1"/>
  <c r="K1521" i="18"/>
  <c r="K1522" i="18" s="1"/>
  <c r="K1788" i="18"/>
  <c r="K1789" i="18" s="1"/>
  <c r="J1787" i="18"/>
  <c r="K1967" i="18"/>
  <c r="K1968" i="18" s="1"/>
  <c r="J1966" i="18"/>
  <c r="K1819" i="18"/>
  <c r="K1820" i="18" s="1"/>
  <c r="J1818" i="18"/>
  <c r="K2179" i="18"/>
  <c r="K2180" i="18" s="1"/>
  <c r="J2178" i="18"/>
  <c r="K2204" i="18"/>
  <c r="K2205" i="18" s="1"/>
  <c r="J2203" i="18"/>
  <c r="J770" i="18" l="1"/>
  <c r="K1492" i="18"/>
  <c r="K1493" i="18" s="1"/>
  <c r="K1463" i="18"/>
  <c r="K1464" i="18" s="1"/>
  <c r="K2231" i="18"/>
  <c r="K2232" i="18" s="1"/>
  <c r="J2232" i="18" s="1"/>
  <c r="K2156" i="18"/>
  <c r="K2157" i="18" s="1"/>
  <c r="J2155" i="18"/>
  <c r="J2120" i="18"/>
  <c r="K2121" i="18"/>
  <c r="K2122" i="18" s="1"/>
  <c r="K2086" i="18"/>
  <c r="K2087" i="18" s="1"/>
  <c r="J2085" i="18"/>
  <c r="K1969" i="18"/>
  <c r="K1970" i="18" s="1"/>
  <c r="J1968" i="18"/>
  <c r="J1522" i="18"/>
  <c r="K1523" i="18"/>
  <c r="K1524" i="18" s="1"/>
  <c r="K1525" i="18" s="1"/>
  <c r="K1526" i="18" s="1"/>
  <c r="J1654" i="18"/>
  <c r="K1655" i="18"/>
  <c r="K1656" i="18" s="1"/>
  <c r="J134" i="18"/>
  <c r="K135" i="18"/>
  <c r="K136" i="18" s="1"/>
  <c r="K1821" i="18"/>
  <c r="K1822" i="18" s="1"/>
  <c r="J1820" i="18"/>
  <c r="J1493" i="18"/>
  <c r="K1494" i="18"/>
  <c r="K1495" i="18" s="1"/>
  <c r="K1496" i="18" s="1"/>
  <c r="K1497" i="18" s="1"/>
  <c r="K773" i="18"/>
  <c r="K774" i="18" s="1"/>
  <c r="K775" i="18" s="1"/>
  <c r="K776" i="18" s="1"/>
  <c r="J772" i="18"/>
  <c r="K621" i="18"/>
  <c r="K622" i="18" s="1"/>
  <c r="J620" i="18"/>
  <c r="J1305" i="18"/>
  <c r="K1306" i="18"/>
  <c r="K1307" i="18" s="1"/>
  <c r="K549" i="18"/>
  <c r="K550" i="18" s="1"/>
  <c r="J548" i="18"/>
  <c r="K2206" i="18"/>
  <c r="K2207" i="18" s="1"/>
  <c r="J2205" i="18"/>
  <c r="K1790" i="18"/>
  <c r="K1791" i="18" s="1"/>
  <c r="J1789" i="18"/>
  <c r="J1464" i="18"/>
  <c r="K1465" i="18"/>
  <c r="K1466" i="18" s="1"/>
  <c r="K1467" i="18" s="1"/>
  <c r="K1468" i="18" s="1"/>
  <c r="K1010" i="18"/>
  <c r="K1011" i="18" s="1"/>
  <c r="K1012" i="18" s="1"/>
  <c r="K1013" i="18" s="1"/>
  <c r="J1009" i="18"/>
  <c r="J716" i="18"/>
  <c r="K717" i="18"/>
  <c r="K718" i="18" s="1"/>
  <c r="K2181" i="18"/>
  <c r="K2182" i="18" s="1"/>
  <c r="J2180" i="18"/>
  <c r="K2233" i="18"/>
  <c r="K2234" i="18" s="1"/>
  <c r="K2235" i="18" s="1"/>
  <c r="K2236" i="18" s="1"/>
  <c r="J1148" i="18"/>
  <c r="K1149" i="18"/>
  <c r="K1150" i="18" s="1"/>
  <c r="K1852" i="18"/>
  <c r="K1853" i="18" s="1"/>
  <c r="J1851" i="18"/>
  <c r="K869" i="18"/>
  <c r="K870" i="18" s="1"/>
  <c r="K871" i="18" s="1"/>
  <c r="K872" i="18" s="1"/>
  <c r="J868" i="18"/>
  <c r="K323" i="18"/>
  <c r="K324" i="18" s="1"/>
  <c r="J322" i="18"/>
  <c r="K2123" i="18" l="1"/>
  <c r="K2124" i="18" s="1"/>
  <c r="K2125" i="18" s="1"/>
  <c r="K2126" i="18" s="1"/>
  <c r="J2122" i="18"/>
  <c r="J2087" i="18"/>
  <c r="K2088" i="18"/>
  <c r="K2089" i="18" s="1"/>
  <c r="K2090" i="18" s="1"/>
  <c r="K2091" i="18" s="1"/>
  <c r="J2157" i="18"/>
  <c r="K2158" i="18"/>
  <c r="K2159" i="18" s="1"/>
  <c r="K2160" i="18" s="1"/>
  <c r="K2161" i="18" s="1"/>
  <c r="K551" i="18"/>
  <c r="K552" i="18" s="1"/>
  <c r="K553" i="18" s="1"/>
  <c r="K554" i="18" s="1"/>
  <c r="J550" i="18"/>
  <c r="K1971" i="18"/>
  <c r="K1972" i="18" s="1"/>
  <c r="K1973" i="18" s="1"/>
  <c r="K1974" i="18" s="1"/>
  <c r="J1970" i="18"/>
  <c r="J324" i="18"/>
  <c r="K325" i="18"/>
  <c r="K326" i="18" s="1"/>
  <c r="K327" i="18" s="1"/>
  <c r="K328" i="18" s="1"/>
  <c r="K1854" i="18"/>
  <c r="K1855" i="18" s="1"/>
  <c r="K1856" i="18" s="1"/>
  <c r="K1857" i="18" s="1"/>
  <c r="J1853" i="18"/>
  <c r="K2183" i="18"/>
  <c r="K2184" i="18" s="1"/>
  <c r="K2185" i="18" s="1"/>
  <c r="K2186" i="18" s="1"/>
  <c r="J2182" i="18"/>
  <c r="J1013" i="18"/>
  <c r="K1014" i="18"/>
  <c r="K1015" i="18" s="1"/>
  <c r="K1016" i="18" s="1"/>
  <c r="K1792" i="18"/>
  <c r="K1793" i="18" s="1"/>
  <c r="K1794" i="18" s="1"/>
  <c r="K1795" i="18" s="1"/>
  <c r="J1791" i="18"/>
  <c r="J1307" i="18"/>
  <c r="K1308" i="18"/>
  <c r="K1309" i="18" s="1"/>
  <c r="K1310" i="18" s="1"/>
  <c r="K1311" i="18" s="1"/>
  <c r="K137" i="18"/>
  <c r="K138" i="18" s="1"/>
  <c r="K139" i="18" s="1"/>
  <c r="K140" i="18" s="1"/>
  <c r="J136" i="18"/>
  <c r="K1527" i="18"/>
  <c r="K1528" i="18" s="1"/>
  <c r="K1529" i="18" s="1"/>
  <c r="J1526" i="18"/>
  <c r="J1150" i="18"/>
  <c r="K1151" i="18"/>
  <c r="K1152" i="18" s="1"/>
  <c r="K1153" i="18" s="1"/>
  <c r="K1154" i="18" s="1"/>
  <c r="J2236" i="18"/>
  <c r="K2237" i="18"/>
  <c r="K2238" i="18" s="1"/>
  <c r="J718" i="18"/>
  <c r="K719" i="18"/>
  <c r="K720" i="18" s="1"/>
  <c r="K721" i="18" s="1"/>
  <c r="K722" i="18" s="1"/>
  <c r="K1469" i="18"/>
  <c r="K1470" i="18" s="1"/>
  <c r="K1471" i="18" s="1"/>
  <c r="J1468" i="18"/>
  <c r="K2208" i="18"/>
  <c r="K2209" i="18" s="1"/>
  <c r="K2210" i="18" s="1"/>
  <c r="K2211" i="18" s="1"/>
  <c r="J2207" i="18"/>
  <c r="K777" i="18"/>
  <c r="K778" i="18" s="1"/>
  <c r="K779" i="18" s="1"/>
  <c r="K780" i="18" s="1"/>
  <c r="J776" i="18"/>
  <c r="K1823" i="18"/>
  <c r="K1824" i="18" s="1"/>
  <c r="K1825" i="18" s="1"/>
  <c r="K1826" i="18" s="1"/>
  <c r="J1822" i="18"/>
  <c r="K623" i="18"/>
  <c r="K624" i="18" s="1"/>
  <c r="K625" i="18" s="1"/>
  <c r="K626" i="18" s="1"/>
  <c r="J622" i="18"/>
  <c r="J872" i="18"/>
  <c r="K873" i="18"/>
  <c r="K874" i="18" s="1"/>
  <c r="K875" i="18" s="1"/>
  <c r="K1498" i="18"/>
  <c r="K1499" i="18" s="1"/>
  <c r="K1500" i="18" s="1"/>
  <c r="J1497" i="18"/>
  <c r="J1656" i="18"/>
  <c r="K1657" i="18"/>
  <c r="K1658" i="18" s="1"/>
  <c r="K1659" i="18" s="1"/>
  <c r="K1660" i="18" s="1"/>
  <c r="K2162" i="18" l="1"/>
  <c r="K2163" i="18" s="1"/>
  <c r="K2164" i="18" s="1"/>
  <c r="K2165" i="18" s="1"/>
  <c r="J2161" i="18"/>
  <c r="K2092" i="18"/>
  <c r="K2093" i="18" s="1"/>
  <c r="K2094" i="18" s="1"/>
  <c r="K2095" i="18" s="1"/>
  <c r="J2091" i="18"/>
  <c r="J2126" i="18"/>
  <c r="K2127" i="18"/>
  <c r="K2128" i="18" s="1"/>
  <c r="K2129" i="18" s="1"/>
  <c r="K2130" i="18" s="1"/>
  <c r="K141" i="18"/>
  <c r="K142" i="18" s="1"/>
  <c r="K143" i="18" s="1"/>
  <c r="K144" i="18" s="1"/>
  <c r="J140" i="18"/>
  <c r="K1796" i="18"/>
  <c r="K1797" i="18" s="1"/>
  <c r="J1795" i="18"/>
  <c r="K2187" i="18"/>
  <c r="K2188" i="18" s="1"/>
  <c r="K2189" i="18" s="1"/>
  <c r="K2190" i="18" s="1"/>
  <c r="J2186" i="18"/>
  <c r="K1858" i="18"/>
  <c r="K1859" i="18" s="1"/>
  <c r="K1860" i="18" s="1"/>
  <c r="K1861" i="18" s="1"/>
  <c r="K1862" i="18" s="1"/>
  <c r="J1857" i="18"/>
  <c r="K1975" i="18"/>
  <c r="K1976" i="18" s="1"/>
  <c r="K1977" i="18" s="1"/>
  <c r="K1978" i="18" s="1"/>
  <c r="K1979" i="18" s="1"/>
  <c r="J1974" i="18"/>
  <c r="K555" i="18"/>
  <c r="K556" i="18" s="1"/>
  <c r="K557" i="18" s="1"/>
  <c r="J554" i="18"/>
  <c r="J1500" i="18"/>
  <c r="K1501" i="18"/>
  <c r="K1502" i="18" s="1"/>
  <c r="K1503" i="18" s="1"/>
  <c r="K627" i="18"/>
  <c r="K628" i="18" s="1"/>
  <c r="K629" i="18" s="1"/>
  <c r="J626" i="18"/>
  <c r="K781" i="18"/>
  <c r="K782" i="18" s="1"/>
  <c r="K783" i="18" s="1"/>
  <c r="J780" i="18"/>
  <c r="J2238" i="18"/>
  <c r="K2239" i="18"/>
  <c r="K2240" i="18" s="1"/>
  <c r="J1311" i="18"/>
  <c r="K1312" i="18"/>
  <c r="K1313" i="18" s="1"/>
  <c r="K1314" i="18" s="1"/>
  <c r="J1016" i="18"/>
  <c r="K1017" i="18"/>
  <c r="K1018" i="18" s="1"/>
  <c r="K1019" i="18" s="1"/>
  <c r="K1020" i="18" s="1"/>
  <c r="K1021" i="18" s="1"/>
  <c r="K1022" i="18" s="1"/>
  <c r="J328" i="18"/>
  <c r="K329" i="18"/>
  <c r="K330" i="18" s="1"/>
  <c r="K331" i="18" s="1"/>
  <c r="K332" i="18" s="1"/>
  <c r="J1660" i="18"/>
  <c r="K1661" i="18"/>
  <c r="K1662" i="18" s="1"/>
  <c r="K1663" i="18" s="1"/>
  <c r="J875" i="18"/>
  <c r="K876" i="18"/>
  <c r="K877" i="18" s="1"/>
  <c r="K878" i="18" s="1"/>
  <c r="K879" i="18" s="1"/>
  <c r="K880" i="18" s="1"/>
  <c r="K881" i="18" s="1"/>
  <c r="J1471" i="18"/>
  <c r="K1472" i="18"/>
  <c r="K1473" i="18" s="1"/>
  <c r="K1474" i="18" s="1"/>
  <c r="J1529" i="18"/>
  <c r="K1530" i="18"/>
  <c r="K1531" i="18" s="1"/>
  <c r="K1532" i="18" s="1"/>
  <c r="K1827" i="18"/>
  <c r="K1828" i="18" s="1"/>
  <c r="J1826" i="18"/>
  <c r="K2212" i="18"/>
  <c r="K2213" i="18" s="1"/>
  <c r="J2211" i="18"/>
  <c r="J722" i="18"/>
  <c r="K723" i="18"/>
  <c r="K724" i="18" s="1"/>
  <c r="K725" i="18" s="1"/>
  <c r="K726" i="18" s="1"/>
  <c r="J1154" i="18"/>
  <c r="K1155" i="18"/>
  <c r="K1156" i="18" s="1"/>
  <c r="K1157" i="18" s="1"/>
  <c r="K1158" i="18" s="1"/>
  <c r="K2131" i="18" l="1"/>
  <c r="K2132" i="18" s="1"/>
  <c r="K2133" i="18" s="1"/>
  <c r="K2134" i="18" s="1"/>
  <c r="J2130" i="18"/>
  <c r="J2095" i="18"/>
  <c r="K2096" i="18"/>
  <c r="K2097" i="18" s="1"/>
  <c r="K2098" i="18" s="1"/>
  <c r="K2099" i="18" s="1"/>
  <c r="K2166" i="18"/>
  <c r="J2165" i="18"/>
  <c r="G2167" i="18" s="1"/>
  <c r="K2167" i="18"/>
  <c r="K2214" i="18"/>
  <c r="K2215" i="18" s="1"/>
  <c r="J2213" i="18"/>
  <c r="J783" i="18"/>
  <c r="K784" i="18"/>
  <c r="K785" i="18" s="1"/>
  <c r="J1979" i="18"/>
  <c r="K1980" i="18"/>
  <c r="K1981" i="18" s="1"/>
  <c r="K1982" i="18" s="1"/>
  <c r="K2191" i="18"/>
  <c r="K2192" i="18" s="1"/>
  <c r="J2190" i="18"/>
  <c r="G2192" i="18" s="1"/>
  <c r="J2192" i="18" s="1"/>
  <c r="K145" i="18"/>
  <c r="K146" i="18" s="1"/>
  <c r="K147" i="18" s="1"/>
  <c r="J144" i="18"/>
  <c r="J726" i="18"/>
  <c r="K727" i="18"/>
  <c r="K728" i="18" s="1"/>
  <c r="K729" i="18" s="1"/>
  <c r="K1533" i="18"/>
  <c r="K1534" i="18" s="1"/>
  <c r="K1535" i="18" s="1"/>
  <c r="J1532" i="18"/>
  <c r="J881" i="18"/>
  <c r="K882" i="18"/>
  <c r="K883" i="18" s="1"/>
  <c r="K884" i="18" s="1"/>
  <c r="J1022" i="18"/>
  <c r="K1023" i="18"/>
  <c r="K1024" i="18" s="1"/>
  <c r="K1025" i="18" s="1"/>
  <c r="J2240" i="18"/>
  <c r="G2242" i="18" s="1"/>
  <c r="K2241" i="18"/>
  <c r="K2242" i="18" s="1"/>
  <c r="K1829" i="18"/>
  <c r="K1830" i="18" s="1"/>
  <c r="K1831" i="18" s="1"/>
  <c r="J1828" i="18"/>
  <c r="J629" i="18"/>
  <c r="K630" i="18"/>
  <c r="K631" i="18" s="1"/>
  <c r="K632" i="18" s="1"/>
  <c r="J557" i="18"/>
  <c r="K558" i="18"/>
  <c r="K559" i="18" s="1"/>
  <c r="K560" i="18" s="1"/>
  <c r="J1862" i="18"/>
  <c r="K1863" i="18"/>
  <c r="K1864" i="18" s="1"/>
  <c r="K1865" i="18" s="1"/>
  <c r="K1798" i="18"/>
  <c r="K1799" i="18" s="1"/>
  <c r="K1800" i="18" s="1"/>
  <c r="J1797" i="18"/>
  <c r="J1158" i="18"/>
  <c r="K1159" i="18"/>
  <c r="K1160" i="18" s="1"/>
  <c r="K1161" i="18" s="1"/>
  <c r="K1162" i="18" s="1"/>
  <c r="K1163" i="18" s="1"/>
  <c r="K1164" i="18" s="1"/>
  <c r="K1165" i="18" s="1"/>
  <c r="K1475" i="18"/>
  <c r="K1476" i="18" s="1"/>
  <c r="K1477" i="18" s="1"/>
  <c r="K1478" i="18" s="1"/>
  <c r="J1474" i="18"/>
  <c r="G1478" i="18" s="1"/>
  <c r="K1664" i="18"/>
  <c r="K1665" i="18" s="1"/>
  <c r="K1666" i="18" s="1"/>
  <c r="J1663" i="18"/>
  <c r="J332" i="18"/>
  <c r="K333" i="18"/>
  <c r="K334" i="18" s="1"/>
  <c r="K335" i="18" s="1"/>
  <c r="K336" i="18" s="1"/>
  <c r="K1315" i="18"/>
  <c r="K1316" i="18" s="1"/>
  <c r="K1317" i="18" s="1"/>
  <c r="K1318" i="18" s="1"/>
  <c r="K1319" i="18" s="1"/>
  <c r="K1320" i="18" s="1"/>
  <c r="K1321" i="18" s="1"/>
  <c r="J1314" i="18"/>
  <c r="K1504" i="18"/>
  <c r="K1505" i="18" s="1"/>
  <c r="K1506" i="18" s="1"/>
  <c r="K1507" i="18" s="1"/>
  <c r="J1503" i="18"/>
  <c r="G1507" i="18" s="1"/>
  <c r="J2167" i="18" l="1"/>
  <c r="J1507" i="18"/>
  <c r="J1478" i="18"/>
  <c r="J2242" i="18"/>
  <c r="J2099" i="18"/>
  <c r="K2100" i="18"/>
  <c r="K2101" i="18" s="1"/>
  <c r="J2134" i="18"/>
  <c r="K2135" i="18"/>
  <c r="K2136" i="18" s="1"/>
  <c r="J1321" i="18"/>
  <c r="K1322" i="18"/>
  <c r="K1323" i="18" s="1"/>
  <c r="K1324" i="18" s="1"/>
  <c r="J1666" i="18"/>
  <c r="K1667" i="18"/>
  <c r="K1668" i="18" s="1"/>
  <c r="K1669" i="18" s="1"/>
  <c r="J1535" i="18"/>
  <c r="K1536" i="18"/>
  <c r="K1537" i="18" s="1"/>
  <c r="K1538" i="18" s="1"/>
  <c r="K148" i="18"/>
  <c r="K149" i="18" s="1"/>
  <c r="K150" i="18" s="1"/>
  <c r="J147" i="18"/>
  <c r="J2215" i="18"/>
  <c r="G2217" i="18" s="1"/>
  <c r="K2217" i="18"/>
  <c r="J336" i="18"/>
  <c r="K337" i="18"/>
  <c r="K338" i="18" s="1"/>
  <c r="K339" i="18" s="1"/>
  <c r="K561" i="18"/>
  <c r="K562" i="18" s="1"/>
  <c r="K563" i="18" s="1"/>
  <c r="J560" i="18"/>
  <c r="J1025" i="18"/>
  <c r="K1026" i="18"/>
  <c r="K1027" i="18" s="1"/>
  <c r="K1028" i="18" s="1"/>
  <c r="J884" i="18"/>
  <c r="K885" i="18"/>
  <c r="K886" i="18" s="1"/>
  <c r="K887" i="18" s="1"/>
  <c r="K730" i="18"/>
  <c r="K731" i="18" s="1"/>
  <c r="J729" i="18"/>
  <c r="J785" i="18"/>
  <c r="K786" i="18"/>
  <c r="K787" i="18" s="1"/>
  <c r="K788" i="18" s="1"/>
  <c r="K789" i="18" s="1"/>
  <c r="K790" i="18" s="1"/>
  <c r="K791" i="18" s="1"/>
  <c r="K792" i="18" s="1"/>
  <c r="K793" i="18" s="1"/>
  <c r="K794" i="18" s="1"/>
  <c r="K795" i="18" s="1"/>
  <c r="K796" i="18" s="1"/>
  <c r="K797" i="18" s="1"/>
  <c r="K798" i="18" s="1"/>
  <c r="K799" i="18" s="1"/>
  <c r="J1800" i="18"/>
  <c r="K1801" i="18"/>
  <c r="K1802" i="18" s="1"/>
  <c r="K1803" i="18" s="1"/>
  <c r="J1831" i="18"/>
  <c r="K1832" i="18"/>
  <c r="K1833" i="18" s="1"/>
  <c r="K1834" i="18" s="1"/>
  <c r="K1166" i="18"/>
  <c r="K1167" i="18" s="1"/>
  <c r="K1168" i="18" s="1"/>
  <c r="J1165" i="18"/>
  <c r="K1866" i="18"/>
  <c r="K1867" i="18" s="1"/>
  <c r="K1868" i="18" s="1"/>
  <c r="J1865" i="18"/>
  <c r="K633" i="18"/>
  <c r="K634" i="18" s="1"/>
  <c r="K635" i="18" s="1"/>
  <c r="J632" i="18"/>
  <c r="K2243" i="18"/>
  <c r="K1983" i="18"/>
  <c r="K1984" i="18" s="1"/>
  <c r="K1985" i="18" s="1"/>
  <c r="J1982" i="18"/>
  <c r="J2136" i="18" l="1"/>
  <c r="K2137" i="18"/>
  <c r="K2138" i="18" s="1"/>
  <c r="K2139" i="18" s="1"/>
  <c r="K2140" i="18" s="1"/>
  <c r="K2102" i="18"/>
  <c r="K2103" i="18" s="1"/>
  <c r="K2104" i="18" s="1"/>
  <c r="K2105" i="18" s="1"/>
  <c r="J2101" i="18"/>
  <c r="K1835" i="18"/>
  <c r="K1836" i="18" s="1"/>
  <c r="K1837" i="18" s="1"/>
  <c r="K1838" i="18" s="1"/>
  <c r="J1834" i="18"/>
  <c r="G1838" i="18" s="1"/>
  <c r="J1868" i="18"/>
  <c r="K1869" i="18"/>
  <c r="K1870" i="18" s="1"/>
  <c r="K1871" i="18" s="1"/>
  <c r="J563" i="18"/>
  <c r="K564" i="18"/>
  <c r="K565" i="18" s="1"/>
  <c r="K566" i="18" s="1"/>
  <c r="J2217" i="18"/>
  <c r="K1804" i="18"/>
  <c r="K1805" i="18" s="1"/>
  <c r="K1806" i="18" s="1"/>
  <c r="K1807" i="18" s="1"/>
  <c r="J1803" i="18"/>
  <c r="G1807" i="18" s="1"/>
  <c r="J1028" i="18"/>
  <c r="K1029" i="18"/>
  <c r="K1030" i="18" s="1"/>
  <c r="K1031" i="18" s="1"/>
  <c r="K340" i="18"/>
  <c r="K341" i="18" s="1"/>
  <c r="J339" i="18"/>
  <c r="K1670" i="18"/>
  <c r="K1671" i="18" s="1"/>
  <c r="K1672" i="18" s="1"/>
  <c r="J1669" i="18"/>
  <c r="J1985" i="18"/>
  <c r="K1986" i="18"/>
  <c r="K1987" i="18" s="1"/>
  <c r="K1988" i="18" s="1"/>
  <c r="J635" i="18"/>
  <c r="K636" i="18"/>
  <c r="K637" i="18" s="1"/>
  <c r="K638" i="18" s="1"/>
  <c r="J1168" i="18"/>
  <c r="K1169" i="18"/>
  <c r="K1170" i="18" s="1"/>
  <c r="K1171" i="18" s="1"/>
  <c r="K732" i="18"/>
  <c r="K733" i="18" s="1"/>
  <c r="K734" i="18" s="1"/>
  <c r="K735" i="18" s="1"/>
  <c r="J731" i="18"/>
  <c r="J150" i="18"/>
  <c r="K151" i="18"/>
  <c r="K152" i="18" s="1"/>
  <c r="K153" i="18" s="1"/>
  <c r="J799" i="18"/>
  <c r="K800" i="18"/>
  <c r="K801" i="18" s="1"/>
  <c r="K802" i="18" s="1"/>
  <c r="J887" i="18"/>
  <c r="K888" i="18"/>
  <c r="K889" i="18" s="1"/>
  <c r="K890" i="18" s="1"/>
  <c r="K1539" i="18"/>
  <c r="K1540" i="18" s="1"/>
  <c r="K1541" i="18" s="1"/>
  <c r="J1538" i="18"/>
  <c r="K1325" i="18"/>
  <c r="K1326" i="18" s="1"/>
  <c r="K1327" i="18" s="1"/>
  <c r="J1324" i="18"/>
  <c r="J2140" i="18" l="1"/>
  <c r="G2142" i="18" s="1"/>
  <c r="K2141" i="18"/>
  <c r="K2142" i="18" s="1"/>
  <c r="J1807" i="18"/>
  <c r="J2105" i="18"/>
  <c r="G2107" i="18" s="1"/>
  <c r="K2106" i="18"/>
  <c r="K2107" i="18" s="1"/>
  <c r="K154" i="18"/>
  <c r="K155" i="18" s="1"/>
  <c r="K156" i="18" s="1"/>
  <c r="K157" i="18" s="1"/>
  <c r="K158" i="18" s="1"/>
  <c r="J153" i="18"/>
  <c r="K1989" i="18"/>
  <c r="K1990" i="18" s="1"/>
  <c r="K1991" i="18" s="1"/>
  <c r="J1988" i="18"/>
  <c r="K639" i="18"/>
  <c r="K640" i="18" s="1"/>
  <c r="K641" i="18" s="1"/>
  <c r="K642" i="18" s="1"/>
  <c r="K643" i="18" s="1"/>
  <c r="K644" i="18" s="1"/>
  <c r="K645" i="18" s="1"/>
  <c r="K646" i="18" s="1"/>
  <c r="K647" i="18" s="1"/>
  <c r="K648" i="18" s="1"/>
  <c r="K649" i="18" s="1"/>
  <c r="K650" i="18" s="1"/>
  <c r="J638" i="18"/>
  <c r="J1031" i="18"/>
  <c r="K1032" i="18"/>
  <c r="K1033" i="18" s="1"/>
  <c r="K1034" i="18" s="1"/>
  <c r="J890" i="18"/>
  <c r="K891" i="18"/>
  <c r="K892" i="18" s="1"/>
  <c r="K893" i="18" s="1"/>
  <c r="K1172" i="18"/>
  <c r="K1173" i="18" s="1"/>
  <c r="K1174" i="18" s="1"/>
  <c r="J1171" i="18"/>
  <c r="J1327" i="18"/>
  <c r="K1328" i="18"/>
  <c r="K1329" i="18" s="1"/>
  <c r="K1330" i="18" s="1"/>
  <c r="K342" i="18"/>
  <c r="K343" i="18" s="1"/>
  <c r="K344" i="18" s="1"/>
  <c r="K345" i="18" s="1"/>
  <c r="K346" i="18" s="1"/>
  <c r="J341" i="18"/>
  <c r="K1872" i="18"/>
  <c r="K1873" i="18" s="1"/>
  <c r="K1874" i="18" s="1"/>
  <c r="J1871" i="18"/>
  <c r="K803" i="18"/>
  <c r="K804" i="18" s="1"/>
  <c r="K805" i="18" s="1"/>
  <c r="J802" i="18"/>
  <c r="J1541" i="18"/>
  <c r="K1542" i="18"/>
  <c r="K1543" i="18" s="1"/>
  <c r="K1544" i="18" s="1"/>
  <c r="K736" i="18"/>
  <c r="K737" i="18" s="1"/>
  <c r="K738" i="18" s="1"/>
  <c r="J735" i="18"/>
  <c r="J1672" i="18"/>
  <c r="K1673" i="18"/>
  <c r="K1674" i="18" s="1"/>
  <c r="K1675" i="18" s="1"/>
  <c r="K567" i="18"/>
  <c r="K568" i="18" s="1"/>
  <c r="K569" i="18" s="1"/>
  <c r="K570" i="18" s="1"/>
  <c r="K571" i="18" s="1"/>
  <c r="K572" i="18" s="1"/>
  <c r="K573" i="18" s="1"/>
  <c r="K574" i="18" s="1"/>
  <c r="K575" i="18" s="1"/>
  <c r="K576" i="18" s="1"/>
  <c r="K577" i="18" s="1"/>
  <c r="K578" i="18" s="1"/>
  <c r="J566" i="18"/>
  <c r="J1838" i="18"/>
  <c r="J2142" i="18" l="1"/>
  <c r="J2107" i="18"/>
  <c r="J1874" i="18"/>
  <c r="K1875" i="18"/>
  <c r="K1876" i="18" s="1"/>
  <c r="K1877" i="18" s="1"/>
  <c r="K651" i="18"/>
  <c r="K652" i="18" s="1"/>
  <c r="K653" i="18" s="1"/>
  <c r="K654" i="18" s="1"/>
  <c r="J650" i="18"/>
  <c r="J158" i="18"/>
  <c r="K159" i="18"/>
  <c r="K160" i="18" s="1"/>
  <c r="J1034" i="18"/>
  <c r="K1035" i="18"/>
  <c r="K1036" i="18" s="1"/>
  <c r="K1037" i="18" s="1"/>
  <c r="K579" i="18"/>
  <c r="K580" i="18" s="1"/>
  <c r="J578" i="18"/>
  <c r="J738" i="18"/>
  <c r="K739" i="18"/>
  <c r="K740" i="18" s="1"/>
  <c r="K741" i="18" s="1"/>
  <c r="J805" i="18"/>
  <c r="K806" i="18"/>
  <c r="K807" i="18" s="1"/>
  <c r="K808" i="18" s="1"/>
  <c r="K347" i="18"/>
  <c r="K348" i="18" s="1"/>
  <c r="J346" i="18"/>
  <c r="J1174" i="18"/>
  <c r="K1175" i="18"/>
  <c r="K1176" i="18" s="1"/>
  <c r="K1177" i="18" s="1"/>
  <c r="K1992" i="18"/>
  <c r="K1993" i="18" s="1"/>
  <c r="K1994" i="18" s="1"/>
  <c r="J1991" i="18"/>
  <c r="K1676" i="18"/>
  <c r="K1677" i="18" s="1"/>
  <c r="K1678" i="18" s="1"/>
  <c r="J1675" i="18"/>
  <c r="K1545" i="18"/>
  <c r="K1546" i="18" s="1"/>
  <c r="K1547" i="18" s="1"/>
  <c r="J1544" i="18"/>
  <c r="K1331" i="18"/>
  <c r="K1332" i="18" s="1"/>
  <c r="K1333" i="18" s="1"/>
  <c r="J1330" i="18"/>
  <c r="J893" i="18"/>
  <c r="K894" i="18"/>
  <c r="K895" i="18" s="1"/>
  <c r="K896" i="18" s="1"/>
  <c r="J1678" i="18" l="1"/>
  <c r="K1679" i="18"/>
  <c r="K1680" i="18" s="1"/>
  <c r="K1681" i="18" s="1"/>
  <c r="K581" i="18"/>
  <c r="K582" i="18" s="1"/>
  <c r="K583" i="18" s="1"/>
  <c r="K584" i="18" s="1"/>
  <c r="J580" i="18"/>
  <c r="J896" i="18"/>
  <c r="K897" i="18"/>
  <c r="K898" i="18" s="1"/>
  <c r="K899" i="18" s="1"/>
  <c r="K742" i="18"/>
  <c r="K743" i="18" s="1"/>
  <c r="K744" i="18" s="1"/>
  <c r="J741" i="18"/>
  <c r="J1037" i="18"/>
  <c r="K1038" i="18"/>
  <c r="K1039" i="18" s="1"/>
  <c r="K1040" i="18" s="1"/>
  <c r="J1547" i="18"/>
  <c r="K1548" i="18"/>
  <c r="K1549" i="18" s="1"/>
  <c r="K1550" i="18" s="1"/>
  <c r="J1994" i="18"/>
  <c r="K1995" i="18"/>
  <c r="K1996" i="18" s="1"/>
  <c r="K1997" i="18" s="1"/>
  <c r="J348" i="18"/>
  <c r="K349" i="18"/>
  <c r="K350" i="18" s="1"/>
  <c r="K655" i="18"/>
  <c r="K656" i="18" s="1"/>
  <c r="J654" i="18"/>
  <c r="J1333" i="18"/>
  <c r="K1334" i="18"/>
  <c r="K1335" i="18" s="1"/>
  <c r="K1336" i="18" s="1"/>
  <c r="K1337" i="18" s="1"/>
  <c r="K1338" i="18" s="1"/>
  <c r="K1178" i="18"/>
  <c r="K1179" i="18" s="1"/>
  <c r="K1180" i="18" s="1"/>
  <c r="K1181" i="18" s="1"/>
  <c r="J1177" i="18"/>
  <c r="K809" i="18"/>
  <c r="K810" i="18" s="1"/>
  <c r="K811" i="18" s="1"/>
  <c r="K812" i="18" s="1"/>
  <c r="J808" i="18"/>
  <c r="K161" i="18"/>
  <c r="K162" i="18" s="1"/>
  <c r="J160" i="18"/>
  <c r="K1878" i="18"/>
  <c r="K1879" i="18" s="1"/>
  <c r="K1880" i="18" s="1"/>
  <c r="J1877" i="18"/>
  <c r="K1998" i="18" l="1"/>
  <c r="K1999" i="18" s="1"/>
  <c r="K2000" i="18" s="1"/>
  <c r="J1997" i="18"/>
  <c r="J899" i="18"/>
  <c r="K900" i="18"/>
  <c r="K901" i="18" s="1"/>
  <c r="K902" i="18" s="1"/>
  <c r="J162" i="18"/>
  <c r="K163" i="18"/>
  <c r="K164" i="18" s="1"/>
  <c r="K1182" i="18"/>
  <c r="K1183" i="18" s="1"/>
  <c r="K1184" i="18" s="1"/>
  <c r="K1185" i="18" s="1"/>
  <c r="K1186" i="18" s="1"/>
  <c r="J1181" i="18"/>
  <c r="K657" i="18"/>
  <c r="K658" i="18" s="1"/>
  <c r="J656" i="18"/>
  <c r="K1339" i="18"/>
  <c r="K1340" i="18" s="1"/>
  <c r="K1341" i="18" s="1"/>
  <c r="K1342" i="18" s="1"/>
  <c r="K1343" i="18" s="1"/>
  <c r="J1338" i="18"/>
  <c r="K351" i="18"/>
  <c r="K352" i="18" s="1"/>
  <c r="J350" i="18"/>
  <c r="K1551" i="18"/>
  <c r="K1552" i="18" s="1"/>
  <c r="K1553" i="18" s="1"/>
  <c r="J1550" i="18"/>
  <c r="J1880" i="18"/>
  <c r="K1881" i="18"/>
  <c r="K1882" i="18" s="1"/>
  <c r="K1883" i="18" s="1"/>
  <c r="K813" i="18"/>
  <c r="K814" i="18" s="1"/>
  <c r="K815" i="18" s="1"/>
  <c r="K816" i="18" s="1"/>
  <c r="J812" i="18"/>
  <c r="J744" i="18"/>
  <c r="K745" i="18"/>
  <c r="K746" i="18" s="1"/>
  <c r="K747" i="18" s="1"/>
  <c r="K585" i="18"/>
  <c r="K586" i="18" s="1"/>
  <c r="K587" i="18" s="1"/>
  <c r="J584" i="18"/>
  <c r="J1040" i="18"/>
  <c r="K1041" i="18"/>
  <c r="K1042" i="18" s="1"/>
  <c r="K1043" i="18" s="1"/>
  <c r="K1682" i="18"/>
  <c r="K1683" i="18" s="1"/>
  <c r="K1684" i="18" s="1"/>
  <c r="J1681" i="18"/>
  <c r="J1043" i="18" l="1"/>
  <c r="K1044" i="18"/>
  <c r="K1045" i="18" s="1"/>
  <c r="K1046" i="18" s="1"/>
  <c r="K1884" i="18"/>
  <c r="K1885" i="18" s="1"/>
  <c r="K1886" i="18" s="1"/>
  <c r="J1883" i="18"/>
  <c r="K165" i="18"/>
  <c r="K166" i="18" s="1"/>
  <c r="K167" i="18" s="1"/>
  <c r="K168" i="18" s="1"/>
  <c r="K169" i="18" s="1"/>
  <c r="K170" i="18" s="1"/>
  <c r="K171" i="18" s="1"/>
  <c r="K172" i="18" s="1"/>
  <c r="K173" i="18" s="1"/>
  <c r="K174" i="18" s="1"/>
  <c r="K175" i="18" s="1"/>
  <c r="K176" i="18" s="1"/>
  <c r="J164" i="18"/>
  <c r="K353" i="18"/>
  <c r="K354" i="18" s="1"/>
  <c r="K355" i="18" s="1"/>
  <c r="K356" i="18" s="1"/>
  <c r="K357" i="18" s="1"/>
  <c r="K358" i="18" s="1"/>
  <c r="K359" i="18" s="1"/>
  <c r="K360" i="18" s="1"/>
  <c r="K361" i="18" s="1"/>
  <c r="K362" i="18" s="1"/>
  <c r="K363" i="18" s="1"/>
  <c r="K364" i="18" s="1"/>
  <c r="J352" i="18"/>
  <c r="K659" i="18"/>
  <c r="K660" i="18" s="1"/>
  <c r="J658" i="18"/>
  <c r="K2001" i="18"/>
  <c r="K2002" i="18" s="1"/>
  <c r="K2003" i="18" s="1"/>
  <c r="J2000" i="18"/>
  <c r="J902" i="18"/>
  <c r="K903" i="18"/>
  <c r="K904" i="18" s="1"/>
  <c r="K905" i="18" s="1"/>
  <c r="J1684" i="18"/>
  <c r="K1685" i="18"/>
  <c r="K1686" i="18" s="1"/>
  <c r="K1687" i="18" s="1"/>
  <c r="J587" i="18"/>
  <c r="K588" i="18"/>
  <c r="K589" i="18" s="1"/>
  <c r="K590" i="18" s="1"/>
  <c r="K591" i="18" s="1"/>
  <c r="K592" i="18" s="1"/>
  <c r="K593" i="18" s="1"/>
  <c r="K817" i="18"/>
  <c r="K818" i="18" s="1"/>
  <c r="J816" i="18"/>
  <c r="J1553" i="18"/>
  <c r="K1554" i="18"/>
  <c r="K1555" i="18" s="1"/>
  <c r="K1556" i="18" s="1"/>
  <c r="J1343" i="18"/>
  <c r="K1344" i="18"/>
  <c r="K1345" i="18" s="1"/>
  <c r="K1346" i="18" s="1"/>
  <c r="K1347" i="18" s="1"/>
  <c r="K1348" i="18" s="1"/>
  <c r="K1349" i="18" s="1"/>
  <c r="K1350" i="18" s="1"/>
  <c r="J1186" i="18"/>
  <c r="K1187" i="18"/>
  <c r="K1188" i="18" s="1"/>
  <c r="K1189" i="18" s="1"/>
  <c r="K1190" i="18" s="1"/>
  <c r="K1191" i="18" s="1"/>
  <c r="K1192" i="18" s="1"/>
  <c r="K1193" i="18" s="1"/>
  <c r="K748" i="18"/>
  <c r="K749" i="18" s="1"/>
  <c r="K750" i="18" s="1"/>
  <c r="K751" i="18" s="1"/>
  <c r="J747" i="18"/>
  <c r="K661" i="18" l="1"/>
  <c r="K662" i="18" s="1"/>
  <c r="J660" i="18"/>
  <c r="K1351" i="18"/>
  <c r="K1352" i="18" s="1"/>
  <c r="K1353" i="18" s="1"/>
  <c r="K1354" i="18" s="1"/>
  <c r="J1350" i="18"/>
  <c r="K365" i="18"/>
  <c r="K366" i="18" s="1"/>
  <c r="J364" i="18"/>
  <c r="J1886" i="18"/>
  <c r="K1887" i="18"/>
  <c r="K1888" i="18" s="1"/>
  <c r="K177" i="18"/>
  <c r="K178" i="18" s="1"/>
  <c r="J176" i="18"/>
  <c r="K1688" i="18"/>
  <c r="K1689" i="18" s="1"/>
  <c r="K1690" i="18" s="1"/>
  <c r="J1687" i="18"/>
  <c r="K752" i="18"/>
  <c r="K753" i="18" s="1"/>
  <c r="J751" i="18"/>
  <c r="K819" i="18"/>
  <c r="K820" i="18" s="1"/>
  <c r="K821" i="18" s="1"/>
  <c r="K822" i="18" s="1"/>
  <c r="K823" i="18" s="1"/>
  <c r="K824" i="18" s="1"/>
  <c r="J818" i="18"/>
  <c r="J2003" i="18"/>
  <c r="K2004" i="18"/>
  <c r="K2005" i="18" s="1"/>
  <c r="K2006" i="18" s="1"/>
  <c r="K1194" i="18"/>
  <c r="K1195" i="18" s="1"/>
  <c r="K1196" i="18" s="1"/>
  <c r="K1197" i="18" s="1"/>
  <c r="K1198" i="18" s="1"/>
  <c r="J1193" i="18"/>
  <c r="K1557" i="18"/>
  <c r="K1558" i="18" s="1"/>
  <c r="K1559" i="18" s="1"/>
  <c r="J1556" i="18"/>
  <c r="J593" i="18"/>
  <c r="K594" i="18"/>
  <c r="K595" i="18" s="1"/>
  <c r="K596" i="18" s="1"/>
  <c r="J905" i="18"/>
  <c r="K906" i="18"/>
  <c r="K907" i="18" s="1"/>
  <c r="K908" i="18" s="1"/>
  <c r="J1046" i="18"/>
  <c r="K1047" i="18"/>
  <c r="K1048" i="18" s="1"/>
  <c r="K1049" i="18" s="1"/>
  <c r="J1559" i="18" l="1"/>
  <c r="K1560" i="18"/>
  <c r="K1561" i="18" s="1"/>
  <c r="K1562" i="18" s="1"/>
  <c r="J178" i="18"/>
  <c r="K179" i="18"/>
  <c r="K180" i="18" s="1"/>
  <c r="K663" i="18"/>
  <c r="K664" i="18" s="1"/>
  <c r="J662" i="18"/>
  <c r="K597" i="18"/>
  <c r="K598" i="18" s="1"/>
  <c r="K599" i="18" s="1"/>
  <c r="J596" i="18"/>
  <c r="K825" i="18"/>
  <c r="K826" i="18" s="1"/>
  <c r="J824" i="18"/>
  <c r="J1690" i="18"/>
  <c r="K1691" i="18"/>
  <c r="K1692" i="18" s="1"/>
  <c r="K1693" i="18" s="1"/>
  <c r="K1355" i="18"/>
  <c r="K1356" i="18" s="1"/>
  <c r="K1357" i="18" s="1"/>
  <c r="J1354" i="18"/>
  <c r="K754" i="18"/>
  <c r="K755" i="18" s="1"/>
  <c r="K756" i="18" s="1"/>
  <c r="K757" i="18" s="1"/>
  <c r="J753" i="18"/>
  <c r="G757" i="18" s="1"/>
  <c r="J366" i="18"/>
  <c r="K367" i="18"/>
  <c r="K368" i="18" s="1"/>
  <c r="J1049" i="18"/>
  <c r="K1050" i="18"/>
  <c r="K1051" i="18" s="1"/>
  <c r="K1052" i="18" s="1"/>
  <c r="J1888" i="18"/>
  <c r="K1889" i="18"/>
  <c r="K1890" i="18" s="1"/>
  <c r="K1891" i="18" s="1"/>
  <c r="J1198" i="18"/>
  <c r="K1199" i="18"/>
  <c r="K1200" i="18" s="1"/>
  <c r="K1201" i="18" s="1"/>
  <c r="J908" i="18"/>
  <c r="K909" i="18"/>
  <c r="K910" i="18" s="1"/>
  <c r="K911" i="18" s="1"/>
  <c r="K2007" i="18"/>
  <c r="K2008" i="18" s="1"/>
  <c r="K2009" i="18" s="1"/>
  <c r="J2006" i="18"/>
  <c r="J757" i="18" l="1"/>
  <c r="J1357" i="18"/>
  <c r="K1358" i="18"/>
  <c r="K1359" i="18" s="1"/>
  <c r="K1360" i="18" s="1"/>
  <c r="K665" i="18"/>
  <c r="K666" i="18" s="1"/>
  <c r="J664" i="18"/>
  <c r="J1052" i="18"/>
  <c r="K1053" i="18"/>
  <c r="K1054" i="18" s="1"/>
  <c r="K1055" i="18" s="1"/>
  <c r="K1694" i="18"/>
  <c r="K1695" i="18" s="1"/>
  <c r="K1696" i="18" s="1"/>
  <c r="J1693" i="18"/>
  <c r="J2009" i="18"/>
  <c r="K2010" i="18"/>
  <c r="K2011" i="18" s="1"/>
  <c r="K2012" i="18" s="1"/>
  <c r="J599" i="18"/>
  <c r="K600" i="18"/>
  <c r="K601" i="18" s="1"/>
  <c r="K602" i="18" s="1"/>
  <c r="K603" i="18" s="1"/>
  <c r="K827" i="18"/>
  <c r="K828" i="18" s="1"/>
  <c r="J826" i="18"/>
  <c r="K1202" i="18"/>
  <c r="K1203" i="18" s="1"/>
  <c r="K1204" i="18" s="1"/>
  <c r="J1201" i="18"/>
  <c r="K181" i="18"/>
  <c r="K182" i="18" s="1"/>
  <c r="K183" i="18" s="1"/>
  <c r="J180" i="18"/>
  <c r="J911" i="18"/>
  <c r="K912" i="18"/>
  <c r="K913" i="18" s="1"/>
  <c r="K914" i="18" s="1"/>
  <c r="K1892" i="18"/>
  <c r="K1893" i="18" s="1"/>
  <c r="K1894" i="18" s="1"/>
  <c r="J1891" i="18"/>
  <c r="K369" i="18"/>
  <c r="K370" i="18" s="1"/>
  <c r="K371" i="18" s="1"/>
  <c r="J368" i="18"/>
  <c r="K1563" i="18"/>
  <c r="K1564" i="18" s="1"/>
  <c r="K1565" i="18" s="1"/>
  <c r="J1562" i="18"/>
  <c r="J1894" i="18" l="1"/>
  <c r="K1895" i="18"/>
  <c r="K1896" i="18" s="1"/>
  <c r="K1897" i="18" s="1"/>
  <c r="K829" i="18"/>
  <c r="K830" i="18" s="1"/>
  <c r="K831" i="18" s="1"/>
  <c r="K832" i="18" s="1"/>
  <c r="J828" i="18"/>
  <c r="J914" i="18"/>
  <c r="K915" i="18"/>
  <c r="K916" i="18" s="1"/>
  <c r="K917" i="18" s="1"/>
  <c r="J1204" i="18"/>
  <c r="K1205" i="18"/>
  <c r="K1206" i="18" s="1"/>
  <c r="K1207" i="18" s="1"/>
  <c r="K1697" i="18"/>
  <c r="K1698" i="18" s="1"/>
  <c r="K1699" i="18" s="1"/>
  <c r="J1696" i="18"/>
  <c r="K667" i="18"/>
  <c r="K668" i="18" s="1"/>
  <c r="K669" i="18" s="1"/>
  <c r="K670" i="18" s="1"/>
  <c r="J666" i="18"/>
  <c r="J1565" i="18"/>
  <c r="K1566" i="18"/>
  <c r="K1567" i="18" s="1"/>
  <c r="K184" i="18"/>
  <c r="K185" i="18" s="1"/>
  <c r="J183" i="18"/>
  <c r="J603" i="18"/>
  <c r="G605" i="18" s="1"/>
  <c r="K604" i="18"/>
  <c r="K605" i="18" s="1"/>
  <c r="K372" i="18"/>
  <c r="K373" i="18" s="1"/>
  <c r="J371" i="18"/>
  <c r="K2013" i="18"/>
  <c r="K2014" i="18" s="1"/>
  <c r="K2015" i="18" s="1"/>
  <c r="J2012" i="18"/>
  <c r="J1055" i="18"/>
  <c r="K1056" i="18"/>
  <c r="K1057" i="18" s="1"/>
  <c r="K1058" i="18" s="1"/>
  <c r="K1361" i="18"/>
  <c r="K1362" i="18" s="1"/>
  <c r="K1363" i="18" s="1"/>
  <c r="J1360" i="18"/>
  <c r="J605" i="18" l="1"/>
  <c r="J2015" i="18"/>
  <c r="K2016" i="18"/>
  <c r="K2017" i="18" s="1"/>
  <c r="K2018" i="18" s="1"/>
  <c r="J1699" i="18"/>
  <c r="K1700" i="18"/>
  <c r="K1701" i="18" s="1"/>
  <c r="K374" i="18"/>
  <c r="K375" i="18" s="1"/>
  <c r="K376" i="18" s="1"/>
  <c r="K377" i="18" s="1"/>
  <c r="K378" i="18" s="1"/>
  <c r="K379" i="18" s="1"/>
  <c r="J373" i="18"/>
  <c r="K671" i="18"/>
  <c r="K672" i="18" s="1"/>
  <c r="J670" i="18"/>
  <c r="K833" i="18"/>
  <c r="K834" i="18" s="1"/>
  <c r="J832" i="18"/>
  <c r="J1363" i="18"/>
  <c r="K1364" i="18"/>
  <c r="K1365" i="18" s="1"/>
  <c r="K1366" i="18" s="1"/>
  <c r="J1058" i="18"/>
  <c r="K1059" i="18"/>
  <c r="K1060" i="18" s="1"/>
  <c r="K1061" i="18" s="1"/>
  <c r="K1208" i="18"/>
  <c r="K1209" i="18" s="1"/>
  <c r="K1210" i="18" s="1"/>
  <c r="J1207" i="18"/>
  <c r="K186" i="18"/>
  <c r="K187" i="18" s="1"/>
  <c r="K188" i="18" s="1"/>
  <c r="K189" i="18" s="1"/>
  <c r="K190" i="18" s="1"/>
  <c r="K191" i="18" s="1"/>
  <c r="J185" i="18"/>
  <c r="J1567" i="18"/>
  <c r="K1568" i="18"/>
  <c r="K1569" i="18" s="1"/>
  <c r="K1570" i="18" s="1"/>
  <c r="K1571" i="18" s="1"/>
  <c r="J917" i="18"/>
  <c r="K918" i="18"/>
  <c r="K919" i="18" s="1"/>
  <c r="K920" i="18" s="1"/>
  <c r="K1898" i="18"/>
  <c r="K1899" i="18" s="1"/>
  <c r="K1900" i="18" s="1"/>
  <c r="J1897" i="18"/>
  <c r="K192" i="18" l="1"/>
  <c r="K193" i="18" s="1"/>
  <c r="K194" i="18" s="1"/>
  <c r="J191" i="18"/>
  <c r="K835" i="18"/>
  <c r="K836" i="18" s="1"/>
  <c r="J834" i="18"/>
  <c r="K1367" i="18"/>
  <c r="K1368" i="18" s="1"/>
  <c r="K1369" i="18" s="1"/>
  <c r="J1366" i="18"/>
  <c r="J1900" i="18"/>
  <c r="K1901" i="18"/>
  <c r="K1902" i="18" s="1"/>
  <c r="J1210" i="18"/>
  <c r="K1211" i="18"/>
  <c r="K1212" i="18" s="1"/>
  <c r="K1213" i="18" s="1"/>
  <c r="K673" i="18"/>
  <c r="K674" i="18" s="1"/>
  <c r="K675" i="18" s="1"/>
  <c r="K676" i="18" s="1"/>
  <c r="J672" i="18"/>
  <c r="K380" i="18"/>
  <c r="K381" i="18" s="1"/>
  <c r="K382" i="18" s="1"/>
  <c r="J379" i="18"/>
  <c r="J1571" i="18"/>
  <c r="K1572" i="18"/>
  <c r="K1573" i="18" s="1"/>
  <c r="K1574" i="18" s="1"/>
  <c r="K1702" i="18"/>
  <c r="K1703" i="18" s="1"/>
  <c r="K1704" i="18" s="1"/>
  <c r="K1705" i="18" s="1"/>
  <c r="J1701" i="18"/>
  <c r="J920" i="18"/>
  <c r="K921" i="18"/>
  <c r="K922" i="18" s="1"/>
  <c r="J1061" i="18"/>
  <c r="K1062" i="18"/>
  <c r="K1063" i="18" s="1"/>
  <c r="K2019" i="18"/>
  <c r="K2020" i="18" s="1"/>
  <c r="J2018" i="18"/>
  <c r="K383" i="18" l="1"/>
  <c r="K384" i="18" s="1"/>
  <c r="J382" i="18"/>
  <c r="J194" i="18"/>
  <c r="K195" i="18"/>
  <c r="K196" i="18" s="1"/>
  <c r="J1574" i="18"/>
  <c r="K1575" i="18"/>
  <c r="K1576" i="18" s="1"/>
  <c r="K1577" i="18" s="1"/>
  <c r="K1578" i="18" s="1"/>
  <c r="K1579" i="18" s="1"/>
  <c r="K1580" i="18" s="1"/>
  <c r="K1581" i="18" s="1"/>
  <c r="K1582" i="18" s="1"/>
  <c r="J1902" i="18"/>
  <c r="K1903" i="18"/>
  <c r="K1904" i="18" s="1"/>
  <c r="K1905" i="18" s="1"/>
  <c r="K677" i="18"/>
  <c r="K678" i="18" s="1"/>
  <c r="K679" i="18" s="1"/>
  <c r="K680" i="18" s="1"/>
  <c r="J676" i="18"/>
  <c r="K837" i="18"/>
  <c r="K838" i="18" s="1"/>
  <c r="J836" i="18"/>
  <c r="J1705" i="18"/>
  <c r="K1706" i="18"/>
  <c r="K1707" i="18" s="1"/>
  <c r="K1708" i="18" s="1"/>
  <c r="J1369" i="18"/>
  <c r="K1370" i="18"/>
  <c r="K1371" i="18" s="1"/>
  <c r="K1372" i="18" s="1"/>
  <c r="K923" i="18"/>
  <c r="K924" i="18" s="1"/>
  <c r="K925" i="18" s="1"/>
  <c r="J922" i="18"/>
  <c r="J2020" i="18"/>
  <c r="K2021" i="18"/>
  <c r="K2022" i="18" s="1"/>
  <c r="K2023" i="18" s="1"/>
  <c r="K1064" i="18"/>
  <c r="K1065" i="18" s="1"/>
  <c r="K1066" i="18" s="1"/>
  <c r="J1063" i="18"/>
  <c r="K1214" i="18"/>
  <c r="K1215" i="18" s="1"/>
  <c r="K1216" i="18" s="1"/>
  <c r="J1213" i="18"/>
  <c r="J925" i="18" l="1"/>
  <c r="K926" i="18"/>
  <c r="K927" i="18" s="1"/>
  <c r="K928" i="18" s="1"/>
  <c r="J384" i="18"/>
  <c r="K385" i="18"/>
  <c r="K386" i="18" s="1"/>
  <c r="J2023" i="18"/>
  <c r="K2024" i="18"/>
  <c r="K2025" i="18" s="1"/>
  <c r="K2026" i="18" s="1"/>
  <c r="K1906" i="18"/>
  <c r="K1907" i="18" s="1"/>
  <c r="K1908" i="18" s="1"/>
  <c r="J1905" i="18"/>
  <c r="J1216" i="18"/>
  <c r="K1217" i="18"/>
  <c r="K1218" i="18" s="1"/>
  <c r="K1219" i="18" s="1"/>
  <c r="K839" i="18"/>
  <c r="K840" i="18" s="1"/>
  <c r="J838" i="18"/>
  <c r="J1066" i="18"/>
  <c r="K1067" i="18"/>
  <c r="K1068" i="18" s="1"/>
  <c r="K1069" i="18" s="1"/>
  <c r="K681" i="18"/>
  <c r="K682" i="18" s="1"/>
  <c r="K683" i="18" s="1"/>
  <c r="J680" i="18"/>
  <c r="K1373" i="18"/>
  <c r="K1374" i="18" s="1"/>
  <c r="K1375" i="18" s="1"/>
  <c r="J1372" i="18"/>
  <c r="K197" i="18"/>
  <c r="K198" i="18" s="1"/>
  <c r="K199" i="18" s="1"/>
  <c r="J196" i="18"/>
  <c r="K1709" i="18"/>
  <c r="K1710" i="18" s="1"/>
  <c r="K1711" i="18" s="1"/>
  <c r="K1712" i="18" s="1"/>
  <c r="K1713" i="18" s="1"/>
  <c r="K1714" i="18" s="1"/>
  <c r="K1715" i="18" s="1"/>
  <c r="K1716" i="18" s="1"/>
  <c r="J1708" i="18"/>
  <c r="J1582" i="18"/>
  <c r="K1583" i="18"/>
  <c r="K1584" i="18" s="1"/>
  <c r="K1585" i="18" s="1"/>
  <c r="K1717" i="18" l="1"/>
  <c r="K1718" i="18" s="1"/>
  <c r="K1719" i="18" s="1"/>
  <c r="J1716" i="18"/>
  <c r="K200" i="18"/>
  <c r="K201" i="18" s="1"/>
  <c r="K202" i="18" s="1"/>
  <c r="K203" i="18" s="1"/>
  <c r="J199" i="18"/>
  <c r="J683" i="18"/>
  <c r="K684" i="18"/>
  <c r="K685" i="18" s="1"/>
  <c r="K686" i="18" s="1"/>
  <c r="K687" i="18" s="1"/>
  <c r="K688" i="18" s="1"/>
  <c r="K689" i="18" s="1"/>
  <c r="K841" i="18"/>
  <c r="K842" i="18" s="1"/>
  <c r="J840" i="18"/>
  <c r="J1908" i="18"/>
  <c r="K1909" i="18"/>
  <c r="K1910" i="18" s="1"/>
  <c r="K1911" i="18" s="1"/>
  <c r="K1912" i="18" s="1"/>
  <c r="K1913" i="18" s="1"/>
  <c r="K1914" i="18" s="1"/>
  <c r="J1375" i="18"/>
  <c r="K1376" i="18"/>
  <c r="K1377" i="18" s="1"/>
  <c r="K1378" i="18" s="1"/>
  <c r="J1585" i="18"/>
  <c r="K1586" i="18"/>
  <c r="K1587" i="18" s="1"/>
  <c r="K1588" i="18" s="1"/>
  <c r="K387" i="18"/>
  <c r="K388" i="18" s="1"/>
  <c r="K389" i="18" s="1"/>
  <c r="K390" i="18" s="1"/>
  <c r="J386" i="18"/>
  <c r="K1070" i="18"/>
  <c r="K1071" i="18" s="1"/>
  <c r="K1072" i="18" s="1"/>
  <c r="K1073" i="18" s="1"/>
  <c r="K1074" i="18" s="1"/>
  <c r="K1075" i="18" s="1"/>
  <c r="K1076" i="18" s="1"/>
  <c r="J1069" i="18"/>
  <c r="K1220" i="18"/>
  <c r="K1221" i="18" s="1"/>
  <c r="K1222" i="18" s="1"/>
  <c r="J1219" i="18"/>
  <c r="J2026" i="18"/>
  <c r="K2027" i="18"/>
  <c r="K2028" i="18" s="1"/>
  <c r="K2029" i="18" s="1"/>
  <c r="K2030" i="18" s="1"/>
  <c r="K2031" i="18" s="1"/>
  <c r="K2032" i="18" s="1"/>
  <c r="K929" i="18"/>
  <c r="K930" i="18" s="1"/>
  <c r="K931" i="18" s="1"/>
  <c r="K932" i="18" s="1"/>
  <c r="K933" i="18" s="1"/>
  <c r="K934" i="18" s="1"/>
  <c r="K935" i="18" s="1"/>
  <c r="J928" i="18"/>
  <c r="K1720" i="18" l="1"/>
  <c r="K1721" i="18" s="1"/>
  <c r="K1722" i="18" s="1"/>
  <c r="J1719" i="18"/>
  <c r="J1222" i="18"/>
  <c r="K1223" i="18"/>
  <c r="K1224" i="18" s="1"/>
  <c r="K1225" i="18" s="1"/>
  <c r="K204" i="18"/>
  <c r="K205" i="18" s="1"/>
  <c r="K206" i="18" s="1"/>
  <c r="K207" i="18" s="1"/>
  <c r="J203" i="18"/>
  <c r="K1077" i="18"/>
  <c r="K1078" i="18" s="1"/>
  <c r="K1079" i="18" s="1"/>
  <c r="J1076" i="18"/>
  <c r="K1379" i="18"/>
  <c r="K1380" i="18" s="1"/>
  <c r="K1381" i="18" s="1"/>
  <c r="J1378" i="18"/>
  <c r="J935" i="18"/>
  <c r="K936" i="18"/>
  <c r="K937" i="18" s="1"/>
  <c r="K938" i="18" s="1"/>
  <c r="K391" i="18"/>
  <c r="K392" i="18" s="1"/>
  <c r="K393" i="18" s="1"/>
  <c r="J390" i="18"/>
  <c r="K843" i="18"/>
  <c r="K844" i="18" s="1"/>
  <c r="J842" i="18"/>
  <c r="K2033" i="18"/>
  <c r="K2034" i="18" s="1"/>
  <c r="K2035" i="18" s="1"/>
  <c r="J2032" i="18"/>
  <c r="J1588" i="18"/>
  <c r="K1589" i="18"/>
  <c r="K1590" i="18" s="1"/>
  <c r="K1591" i="18" s="1"/>
  <c r="J1914" i="18"/>
  <c r="K1915" i="18"/>
  <c r="K1916" i="18" s="1"/>
  <c r="K1917" i="18" s="1"/>
  <c r="J689" i="18"/>
  <c r="K690" i="18"/>
  <c r="K691" i="18" s="1"/>
  <c r="K692" i="18" s="1"/>
  <c r="K394" i="18" l="1"/>
  <c r="K395" i="18" s="1"/>
  <c r="K396" i="18" s="1"/>
  <c r="J393" i="18"/>
  <c r="K208" i="18"/>
  <c r="K209" i="18" s="1"/>
  <c r="K210" i="18" s="1"/>
  <c r="J207" i="18"/>
  <c r="K693" i="18"/>
  <c r="K694" i="18" s="1"/>
  <c r="J692" i="18"/>
  <c r="J938" i="18"/>
  <c r="K939" i="18"/>
  <c r="K940" i="18" s="1"/>
  <c r="K941" i="18" s="1"/>
  <c r="K845" i="18"/>
  <c r="K846" i="18" s="1"/>
  <c r="J844" i="18"/>
  <c r="J1079" i="18"/>
  <c r="K1080" i="18"/>
  <c r="K1081" i="18" s="1"/>
  <c r="K1082" i="18" s="1"/>
  <c r="J2035" i="18"/>
  <c r="K2036" i="18"/>
  <c r="K2037" i="18" s="1"/>
  <c r="K2038" i="18" s="1"/>
  <c r="K2039" i="18" s="1"/>
  <c r="K2040" i="18" s="1"/>
  <c r="K2041" i="18" s="1"/>
  <c r="K2042" i="18" s="1"/>
  <c r="J1381" i="18"/>
  <c r="K1382" i="18"/>
  <c r="K1383" i="18" s="1"/>
  <c r="K1384" i="18" s="1"/>
  <c r="K1723" i="18"/>
  <c r="K1724" i="18" s="1"/>
  <c r="K1725" i="18" s="1"/>
  <c r="J1722" i="18"/>
  <c r="J1591" i="18"/>
  <c r="K1592" i="18"/>
  <c r="K1593" i="18" s="1"/>
  <c r="K1594" i="18" s="1"/>
  <c r="K1226" i="18"/>
  <c r="K1227" i="18" s="1"/>
  <c r="K1228" i="18" s="1"/>
  <c r="J1225" i="18"/>
  <c r="K1918" i="18"/>
  <c r="K1919" i="18" s="1"/>
  <c r="K1920" i="18" s="1"/>
  <c r="K1921" i="18" s="1"/>
  <c r="K1922" i="18" s="1"/>
  <c r="K1923" i="18" s="1"/>
  <c r="K1924" i="18" s="1"/>
  <c r="J1917" i="18"/>
  <c r="J1228" i="18" l="1"/>
  <c r="K1229" i="18"/>
  <c r="K1230" i="18" s="1"/>
  <c r="K1231" i="18" s="1"/>
  <c r="J396" i="18"/>
  <c r="K397" i="18"/>
  <c r="K398" i="18" s="1"/>
  <c r="K399" i="18" s="1"/>
  <c r="K400" i="18" s="1"/>
  <c r="K1385" i="18"/>
  <c r="K1386" i="18" s="1"/>
  <c r="K1387" i="18" s="1"/>
  <c r="J1384" i="18"/>
  <c r="J1924" i="18"/>
  <c r="K1925" i="18"/>
  <c r="K1926" i="18" s="1"/>
  <c r="K1927" i="18" s="1"/>
  <c r="J210" i="18"/>
  <c r="K211" i="18"/>
  <c r="K212" i="18" s="1"/>
  <c r="K213" i="18" s="1"/>
  <c r="K214" i="18" s="1"/>
  <c r="K1726" i="18"/>
  <c r="K1727" i="18" s="1"/>
  <c r="K1728" i="18" s="1"/>
  <c r="J1725" i="18"/>
  <c r="K847" i="18"/>
  <c r="K848" i="18" s="1"/>
  <c r="J846" i="18"/>
  <c r="K695" i="18"/>
  <c r="K696" i="18" s="1"/>
  <c r="K697" i="18" s="1"/>
  <c r="J694" i="18"/>
  <c r="J1594" i="18"/>
  <c r="K1595" i="18"/>
  <c r="K1596" i="18" s="1"/>
  <c r="K1597" i="18" s="1"/>
  <c r="K1083" i="18"/>
  <c r="K1084" i="18" s="1"/>
  <c r="K1085" i="18" s="1"/>
  <c r="J1082" i="18"/>
  <c r="J941" i="18"/>
  <c r="K942" i="18"/>
  <c r="K943" i="18" s="1"/>
  <c r="K944" i="18" s="1"/>
  <c r="J2042" i="18"/>
  <c r="K2043" i="18"/>
  <c r="K2044" i="18" s="1"/>
  <c r="K2045" i="18" s="1"/>
  <c r="K849" i="18" l="1"/>
  <c r="K850" i="18" s="1"/>
  <c r="J848" i="18"/>
  <c r="J2045" i="18"/>
  <c r="K2046" i="18"/>
  <c r="K2047" i="18" s="1"/>
  <c r="K2048" i="18" s="1"/>
  <c r="K2049" i="18" s="1"/>
  <c r="K2050" i="18" s="1"/>
  <c r="J400" i="18"/>
  <c r="K401" i="18"/>
  <c r="K402" i="18" s="1"/>
  <c r="K403" i="18" s="1"/>
  <c r="K1086" i="18"/>
  <c r="K1087" i="18" s="1"/>
  <c r="K1088" i="18" s="1"/>
  <c r="J1085" i="18"/>
  <c r="J697" i="18"/>
  <c r="G701" i="18" s="1"/>
  <c r="K698" i="18"/>
  <c r="K699" i="18" s="1"/>
  <c r="K700" i="18" s="1"/>
  <c r="K701" i="18" s="1"/>
  <c r="K1729" i="18"/>
  <c r="K1730" i="18" s="1"/>
  <c r="K1731" i="18" s="1"/>
  <c r="J1728" i="18"/>
  <c r="J1387" i="18"/>
  <c r="K1388" i="18"/>
  <c r="K1389" i="18" s="1"/>
  <c r="K1390" i="18" s="1"/>
  <c r="K1928" i="18"/>
  <c r="K1929" i="18" s="1"/>
  <c r="K1930" i="18" s="1"/>
  <c r="K1931" i="18" s="1"/>
  <c r="K1932" i="18" s="1"/>
  <c r="K1933" i="18" s="1"/>
  <c r="J1927" i="18"/>
  <c r="J944" i="18"/>
  <c r="K945" i="18"/>
  <c r="K946" i="18" s="1"/>
  <c r="K947" i="18" s="1"/>
  <c r="J1597" i="18"/>
  <c r="K1598" i="18"/>
  <c r="K1599" i="18" s="1"/>
  <c r="K1600" i="18" s="1"/>
  <c r="J214" i="18"/>
  <c r="K215" i="18"/>
  <c r="K216" i="18" s="1"/>
  <c r="K217" i="18" s="1"/>
  <c r="K1232" i="18"/>
  <c r="K1233" i="18" s="1"/>
  <c r="K1234" i="18" s="1"/>
  <c r="J1231" i="18"/>
  <c r="J701" i="18" l="1"/>
  <c r="K851" i="18"/>
  <c r="K852" i="18" s="1"/>
  <c r="J850" i="18"/>
  <c r="G852" i="18" s="1"/>
  <c r="K1089" i="18"/>
  <c r="K1090" i="18" s="1"/>
  <c r="K1091" i="18" s="1"/>
  <c r="J1088" i="18"/>
  <c r="J1600" i="18"/>
  <c r="K1601" i="18"/>
  <c r="K1602" i="18" s="1"/>
  <c r="K1603" i="18" s="1"/>
  <c r="K2051" i="18"/>
  <c r="K2052" i="18" s="1"/>
  <c r="K2053" i="18" s="1"/>
  <c r="K2054" i="18" s="1"/>
  <c r="K2055" i="18" s="1"/>
  <c r="K2056" i="18" s="1"/>
  <c r="K2057" i="18" s="1"/>
  <c r="J2050" i="18"/>
  <c r="J1234" i="18"/>
  <c r="K1235" i="18"/>
  <c r="K1236" i="18" s="1"/>
  <c r="K1237" i="18" s="1"/>
  <c r="K1934" i="18"/>
  <c r="K1935" i="18" s="1"/>
  <c r="K1936" i="18" s="1"/>
  <c r="K1937" i="18" s="1"/>
  <c r="K1938" i="18" s="1"/>
  <c r="K1939" i="18" s="1"/>
  <c r="K1940" i="18" s="1"/>
  <c r="J1933" i="18"/>
  <c r="J1731" i="18"/>
  <c r="K1732" i="18"/>
  <c r="K1733" i="18" s="1"/>
  <c r="K1734" i="18" s="1"/>
  <c r="K218" i="18"/>
  <c r="K219" i="18" s="1"/>
  <c r="K220" i="18" s="1"/>
  <c r="J217" i="18"/>
  <c r="J947" i="18"/>
  <c r="K948" i="18"/>
  <c r="K949" i="18" s="1"/>
  <c r="K950" i="18" s="1"/>
  <c r="K1391" i="18"/>
  <c r="K1392" i="18" s="1"/>
  <c r="K1393" i="18" s="1"/>
  <c r="J1390" i="18"/>
  <c r="K404" i="18"/>
  <c r="K405" i="18" s="1"/>
  <c r="K406" i="18" s="1"/>
  <c r="J403" i="18"/>
  <c r="J1940" i="18" l="1"/>
  <c r="K1941" i="18"/>
  <c r="K1942" i="18" s="1"/>
  <c r="J2057" i="18"/>
  <c r="K2058" i="18"/>
  <c r="K2059" i="18" s="1"/>
  <c r="K1092" i="18"/>
  <c r="K1093" i="18" s="1"/>
  <c r="K1094" i="18" s="1"/>
  <c r="J1091" i="18"/>
  <c r="K407" i="18"/>
  <c r="K408" i="18" s="1"/>
  <c r="J406" i="18"/>
  <c r="J1393" i="18"/>
  <c r="K1394" i="18"/>
  <c r="K1395" i="18" s="1"/>
  <c r="K221" i="18"/>
  <c r="K222" i="18" s="1"/>
  <c r="J220" i="18"/>
  <c r="J950" i="18"/>
  <c r="K951" i="18"/>
  <c r="K952" i="18" s="1"/>
  <c r="K953" i="18" s="1"/>
  <c r="K1735" i="18"/>
  <c r="K1736" i="18" s="1"/>
  <c r="K1737" i="18" s="1"/>
  <c r="J1734" i="18"/>
  <c r="K1238" i="18"/>
  <c r="K1239" i="18" s="1"/>
  <c r="J1237" i="18"/>
  <c r="J1603" i="18"/>
  <c r="K1604" i="18"/>
  <c r="K1605" i="18" s="1"/>
  <c r="K1606" i="18" s="1"/>
  <c r="J852" i="18"/>
  <c r="J1606" i="18" l="1"/>
  <c r="K1607" i="18"/>
  <c r="K1608" i="18" s="1"/>
  <c r="K1609" i="18" s="1"/>
  <c r="J222" i="18"/>
  <c r="K223" i="18"/>
  <c r="K224" i="18" s="1"/>
  <c r="K225" i="18" s="1"/>
  <c r="K409" i="18"/>
  <c r="K410" i="18" s="1"/>
  <c r="K411" i="18" s="1"/>
  <c r="J408" i="18"/>
  <c r="K1240" i="18"/>
  <c r="K1241" i="18" s="1"/>
  <c r="K1242" i="18" s="1"/>
  <c r="J1239" i="18"/>
  <c r="K1095" i="18"/>
  <c r="K1096" i="18" s="1"/>
  <c r="K1097" i="18" s="1"/>
  <c r="J1094" i="18"/>
  <c r="J2059" i="18"/>
  <c r="K2060" i="18"/>
  <c r="K2061" i="18" s="1"/>
  <c r="J1737" i="18"/>
  <c r="K1738" i="18"/>
  <c r="K1739" i="18" s="1"/>
  <c r="K1740" i="18" s="1"/>
  <c r="J953" i="18"/>
  <c r="K954" i="18"/>
  <c r="K955" i="18" s="1"/>
  <c r="K956" i="18" s="1"/>
  <c r="J1395" i="18"/>
  <c r="K1396" i="18"/>
  <c r="K1397" i="18" s="1"/>
  <c r="K1398" i="18" s="1"/>
  <c r="J1942" i="18"/>
  <c r="K1943" i="18"/>
  <c r="K1944" i="18" s="1"/>
  <c r="J411" i="18" l="1"/>
  <c r="K412" i="18"/>
  <c r="K413" i="18" s="1"/>
  <c r="J1944" i="18"/>
  <c r="K1945" i="18"/>
  <c r="K1946" i="18" s="1"/>
  <c r="K1947" i="18" s="1"/>
  <c r="K1948" i="18" s="1"/>
  <c r="K1949" i="18" s="1"/>
  <c r="K1950" i="18" s="1"/>
  <c r="K1951" i="18" s="1"/>
  <c r="J2061" i="18"/>
  <c r="K2062" i="18"/>
  <c r="K2063" i="18" s="1"/>
  <c r="K2064" i="18" s="1"/>
  <c r="K2065" i="18" s="1"/>
  <c r="K2066" i="18" s="1"/>
  <c r="K2067" i="18" s="1"/>
  <c r="K2068" i="18" s="1"/>
  <c r="J1242" i="18"/>
  <c r="K1243" i="18"/>
  <c r="K1244" i="18" s="1"/>
  <c r="K1245" i="18" s="1"/>
  <c r="J1097" i="18"/>
  <c r="K1098" i="18"/>
  <c r="K1099" i="18" s="1"/>
  <c r="K1100" i="18" s="1"/>
  <c r="J956" i="18"/>
  <c r="K957" i="18"/>
  <c r="K958" i="18" s="1"/>
  <c r="K959" i="18" s="1"/>
  <c r="K226" i="18"/>
  <c r="K227" i="18" s="1"/>
  <c r="J225" i="18"/>
  <c r="K1399" i="18"/>
  <c r="K1400" i="18" s="1"/>
  <c r="K1401" i="18" s="1"/>
  <c r="J1398" i="18"/>
  <c r="K1741" i="18"/>
  <c r="K1742" i="18" s="1"/>
  <c r="K1743" i="18" s="1"/>
  <c r="J1740" i="18"/>
  <c r="J1609" i="18"/>
  <c r="K1610" i="18"/>
  <c r="K1611" i="18" s="1"/>
  <c r="K1612" i="18" s="1"/>
  <c r="K1744" i="18" l="1"/>
  <c r="K1745" i="18" s="1"/>
  <c r="K1746" i="18" s="1"/>
  <c r="J1743" i="18"/>
  <c r="K1613" i="18"/>
  <c r="K1614" i="18" s="1"/>
  <c r="K1615" i="18" s="1"/>
  <c r="J1612" i="18"/>
  <c r="J959" i="18"/>
  <c r="K960" i="18"/>
  <c r="K961" i="18" s="1"/>
  <c r="K962" i="18" s="1"/>
  <c r="K1246" i="18"/>
  <c r="K1247" i="18" s="1"/>
  <c r="K1248" i="18" s="1"/>
  <c r="K1249" i="18" s="1"/>
  <c r="K1250" i="18" s="1"/>
  <c r="K1251" i="18" s="1"/>
  <c r="J1245" i="18"/>
  <c r="J1401" i="18"/>
  <c r="K1402" i="18"/>
  <c r="K1403" i="18" s="1"/>
  <c r="K1404" i="18" s="1"/>
  <c r="K1405" i="18" s="1"/>
  <c r="K1406" i="18" s="1"/>
  <c r="K1407" i="18" s="1"/>
  <c r="K228" i="18"/>
  <c r="K229" i="18" s="1"/>
  <c r="J227" i="18"/>
  <c r="K1952" i="18"/>
  <c r="K1953" i="18" s="1"/>
  <c r="J1951" i="18"/>
  <c r="K1101" i="18"/>
  <c r="K1102" i="18" s="1"/>
  <c r="K1103" i="18" s="1"/>
  <c r="J1100" i="18"/>
  <c r="K2069" i="18"/>
  <c r="K2070" i="18" s="1"/>
  <c r="J2068" i="18"/>
  <c r="J413" i="18"/>
  <c r="K414" i="18"/>
  <c r="K415" i="18" s="1"/>
  <c r="K2071" i="18" l="1"/>
  <c r="K2072" i="18" s="1"/>
  <c r="J2070" i="18"/>
  <c r="G2072" i="18" s="1"/>
  <c r="J415" i="18"/>
  <c r="K416" i="18"/>
  <c r="K417" i="18" s="1"/>
  <c r="K418" i="18" s="1"/>
  <c r="K419" i="18" s="1"/>
  <c r="K230" i="18"/>
  <c r="K231" i="18" s="1"/>
  <c r="K232" i="18" s="1"/>
  <c r="K233" i="18" s="1"/>
  <c r="J229" i="18"/>
  <c r="K1252" i="18"/>
  <c r="K1253" i="18" s="1"/>
  <c r="K1254" i="18" s="1"/>
  <c r="J1251" i="18"/>
  <c r="J1615" i="18"/>
  <c r="K1616" i="18"/>
  <c r="K1617" i="18" s="1"/>
  <c r="K1618" i="18" s="1"/>
  <c r="K1954" i="18"/>
  <c r="K1955" i="18" s="1"/>
  <c r="J1953" i="18"/>
  <c r="G1955" i="18" s="1"/>
  <c r="J1955" i="18" s="1"/>
  <c r="K1747" i="18"/>
  <c r="K1748" i="18" s="1"/>
  <c r="K1749" i="18" s="1"/>
  <c r="J1746" i="18"/>
  <c r="J1103" i="18"/>
  <c r="K1104" i="18"/>
  <c r="K1105" i="18" s="1"/>
  <c r="K1106" i="18" s="1"/>
  <c r="J1407" i="18"/>
  <c r="K1408" i="18"/>
  <c r="K1409" i="18" s="1"/>
  <c r="K1410" i="18" s="1"/>
  <c r="J962" i="18"/>
  <c r="K963" i="18"/>
  <c r="K964" i="18" s="1"/>
  <c r="K965" i="18" s="1"/>
  <c r="J1749" i="18" l="1"/>
  <c r="K1750" i="18"/>
  <c r="K1751" i="18" s="1"/>
  <c r="K1752" i="18" s="1"/>
  <c r="J1254" i="18"/>
  <c r="K1255" i="18"/>
  <c r="K1256" i="18" s="1"/>
  <c r="K1257" i="18" s="1"/>
  <c r="K1258" i="18" s="1"/>
  <c r="K1259" i="18" s="1"/>
  <c r="K1260" i="18" s="1"/>
  <c r="K1261" i="18" s="1"/>
  <c r="K234" i="18"/>
  <c r="K235" i="18" s="1"/>
  <c r="K236" i="18" s="1"/>
  <c r="K237" i="18" s="1"/>
  <c r="J233" i="18"/>
  <c r="J965" i="18"/>
  <c r="K966" i="18"/>
  <c r="K967" i="18" s="1"/>
  <c r="K968" i="18" s="1"/>
  <c r="K1107" i="18"/>
  <c r="K1108" i="18" s="1"/>
  <c r="K1109" i="18" s="1"/>
  <c r="J1106" i="18"/>
  <c r="J419" i="18"/>
  <c r="K420" i="18"/>
  <c r="K421" i="18" s="1"/>
  <c r="K422" i="18" s="1"/>
  <c r="K423" i="18" s="1"/>
  <c r="K1411" i="18"/>
  <c r="K1412" i="18" s="1"/>
  <c r="K1413" i="18" s="1"/>
  <c r="K1414" i="18" s="1"/>
  <c r="K1415" i="18" s="1"/>
  <c r="K1416" i="18" s="1"/>
  <c r="K1417" i="18" s="1"/>
  <c r="J1410" i="18"/>
  <c r="J1618" i="18"/>
  <c r="K1619" i="18"/>
  <c r="K1620" i="18" s="1"/>
  <c r="K1621" i="18" s="1"/>
  <c r="J2072" i="18"/>
  <c r="J1109" i="18" l="1"/>
  <c r="K1110" i="18"/>
  <c r="K1111" i="18" s="1"/>
  <c r="K1112" i="18" s="1"/>
  <c r="J423" i="18"/>
  <c r="K424" i="18"/>
  <c r="K425" i="18" s="1"/>
  <c r="J968" i="18"/>
  <c r="K969" i="18"/>
  <c r="K970" i="18" s="1"/>
  <c r="K971" i="18" s="1"/>
  <c r="J1417" i="18"/>
  <c r="K1418" i="18"/>
  <c r="K1419" i="18" s="1"/>
  <c r="K1420" i="18" s="1"/>
  <c r="K238" i="18"/>
  <c r="K239" i="18" s="1"/>
  <c r="J237" i="18"/>
  <c r="J1621" i="18"/>
  <c r="K1622" i="18"/>
  <c r="K1623" i="18" s="1"/>
  <c r="K1262" i="18"/>
  <c r="K1263" i="18" s="1"/>
  <c r="K1264" i="18" s="1"/>
  <c r="J1261" i="18"/>
  <c r="K1753" i="18"/>
  <c r="K1754" i="18" s="1"/>
  <c r="K1755" i="18" s="1"/>
  <c r="J1752" i="18"/>
  <c r="J1264" i="18" l="1"/>
  <c r="K1265" i="18"/>
  <c r="K1266" i="18" s="1"/>
  <c r="K1267" i="18" s="1"/>
  <c r="K240" i="18"/>
  <c r="K241" i="18" s="1"/>
  <c r="K242" i="18" s="1"/>
  <c r="K243" i="18" s="1"/>
  <c r="J239" i="18"/>
  <c r="J1623" i="18"/>
  <c r="K1624" i="18"/>
  <c r="K1625" i="18" s="1"/>
  <c r="K1626" i="18" s="1"/>
  <c r="K1421" i="18"/>
  <c r="K1422" i="18" s="1"/>
  <c r="K1423" i="18" s="1"/>
  <c r="J1420" i="18"/>
  <c r="J425" i="18"/>
  <c r="K426" i="18"/>
  <c r="K427" i="18" s="1"/>
  <c r="K428" i="18" s="1"/>
  <c r="K429" i="18" s="1"/>
  <c r="J1755" i="18"/>
  <c r="K1756" i="18"/>
  <c r="K1757" i="18" s="1"/>
  <c r="J971" i="18"/>
  <c r="K972" i="18"/>
  <c r="K973" i="18" s="1"/>
  <c r="K974" i="18" s="1"/>
  <c r="K1113" i="18"/>
  <c r="K1114" i="18" s="1"/>
  <c r="K1115" i="18" s="1"/>
  <c r="J1112" i="18"/>
  <c r="J1757" i="18" l="1"/>
  <c r="K1758" i="18"/>
  <c r="K1759" i="18" s="1"/>
  <c r="K1760" i="18" s="1"/>
  <c r="K1761" i="18" s="1"/>
  <c r="K244" i="18"/>
  <c r="K245" i="18" s="1"/>
  <c r="J243" i="18"/>
  <c r="J1115" i="18"/>
  <c r="K1116" i="18"/>
  <c r="K1117" i="18" s="1"/>
  <c r="J1423" i="18"/>
  <c r="K1424" i="18"/>
  <c r="K1425" i="18" s="1"/>
  <c r="K1426" i="18" s="1"/>
  <c r="J974" i="18"/>
  <c r="K975" i="18"/>
  <c r="K976" i="18" s="1"/>
  <c r="J429" i="18"/>
  <c r="K430" i="18"/>
  <c r="K431" i="18" s="1"/>
  <c r="K1627" i="18"/>
  <c r="K1628" i="18" s="1"/>
  <c r="K1629" i="18" s="1"/>
  <c r="J1626" i="18"/>
  <c r="K1268" i="18"/>
  <c r="K1269" i="18" s="1"/>
  <c r="K1270" i="18" s="1"/>
  <c r="J1267" i="18"/>
  <c r="J1629" i="18" l="1"/>
  <c r="K1630" i="18"/>
  <c r="K1631" i="18" s="1"/>
  <c r="K1632" i="18" s="1"/>
  <c r="K1633" i="18" s="1"/>
  <c r="K1634" i="18" s="1"/>
  <c r="K1635" i="18" s="1"/>
  <c r="K1636" i="18" s="1"/>
  <c r="K1637" i="18" s="1"/>
  <c r="K1427" i="18"/>
  <c r="K1428" i="18" s="1"/>
  <c r="K1429" i="18" s="1"/>
  <c r="K1430" i="18" s="1"/>
  <c r="K1431" i="18" s="1"/>
  <c r="K1432" i="18" s="1"/>
  <c r="K1433" i="18" s="1"/>
  <c r="J1426" i="18"/>
  <c r="K246" i="18"/>
  <c r="K247" i="18" s="1"/>
  <c r="K248" i="18" s="1"/>
  <c r="K249" i="18" s="1"/>
  <c r="J245" i="18"/>
  <c r="J431" i="18"/>
  <c r="K432" i="18"/>
  <c r="K433" i="18" s="1"/>
  <c r="K434" i="18" s="1"/>
  <c r="K435" i="18" s="1"/>
  <c r="J1270" i="18"/>
  <c r="K1271" i="18"/>
  <c r="K1272" i="18" s="1"/>
  <c r="K1273" i="18" s="1"/>
  <c r="K1274" i="18" s="1"/>
  <c r="K1275" i="18" s="1"/>
  <c r="K1276" i="18" s="1"/>
  <c r="K1277" i="18" s="1"/>
  <c r="J976" i="18"/>
  <c r="K977" i="18"/>
  <c r="K978" i="18" s="1"/>
  <c r="K979" i="18" s="1"/>
  <c r="J1117" i="18"/>
  <c r="K1118" i="18"/>
  <c r="K1119" i="18" s="1"/>
  <c r="K1120" i="18" s="1"/>
  <c r="J1761" i="18"/>
  <c r="K1762" i="18"/>
  <c r="K1763" i="18" s="1"/>
  <c r="K1764" i="18" s="1"/>
  <c r="J435" i="18" l="1"/>
  <c r="K436" i="18"/>
  <c r="K437" i="18" s="1"/>
  <c r="J1433" i="18"/>
  <c r="K1434" i="18"/>
  <c r="K1435" i="18" s="1"/>
  <c r="K250" i="18"/>
  <c r="K251" i="18" s="1"/>
  <c r="K252" i="18" s="1"/>
  <c r="K253" i="18" s="1"/>
  <c r="J249" i="18"/>
  <c r="K1765" i="18"/>
  <c r="K1766" i="18" s="1"/>
  <c r="K1767" i="18" s="1"/>
  <c r="K1768" i="18" s="1"/>
  <c r="K1769" i="18" s="1"/>
  <c r="K1770" i="18" s="1"/>
  <c r="K1771" i="18" s="1"/>
  <c r="K1772" i="18" s="1"/>
  <c r="J1764" i="18"/>
  <c r="J979" i="18"/>
  <c r="K980" i="18"/>
  <c r="K981" i="18" s="1"/>
  <c r="K982" i="18" s="1"/>
  <c r="K1121" i="18"/>
  <c r="K1122" i="18" s="1"/>
  <c r="K1123" i="18" s="1"/>
  <c r="J1120" i="18"/>
  <c r="K1278" i="18"/>
  <c r="K1279" i="18" s="1"/>
  <c r="J1277" i="18"/>
  <c r="J1637" i="18"/>
  <c r="G1641" i="18" s="1"/>
  <c r="K1638" i="18"/>
  <c r="K1639" i="18" s="1"/>
  <c r="K1640" i="18" s="1"/>
  <c r="K1641" i="18" s="1"/>
  <c r="K254" i="18" l="1"/>
  <c r="K255" i="18" s="1"/>
  <c r="K256" i="18" s="1"/>
  <c r="K257" i="18" s="1"/>
  <c r="K258" i="18" s="1"/>
  <c r="K259" i="18" s="1"/>
  <c r="K260" i="18" s="1"/>
  <c r="J253" i="18"/>
  <c r="J1435" i="18"/>
  <c r="K1436" i="18"/>
  <c r="K1437" i="18" s="1"/>
  <c r="K1773" i="18"/>
  <c r="K1774" i="18" s="1"/>
  <c r="K1775" i="18" s="1"/>
  <c r="K1776" i="18" s="1"/>
  <c r="J1772" i="18"/>
  <c r="G1776" i="18" s="1"/>
  <c r="K1280" i="18"/>
  <c r="K1281" i="18" s="1"/>
  <c r="J1279" i="18"/>
  <c r="J1641" i="18"/>
  <c r="J1123" i="18"/>
  <c r="K1124" i="18"/>
  <c r="K1125" i="18" s="1"/>
  <c r="K1126" i="18" s="1"/>
  <c r="K1127" i="18" s="1"/>
  <c r="K1128" i="18" s="1"/>
  <c r="K1129" i="18" s="1"/>
  <c r="K1130" i="18" s="1"/>
  <c r="K1131" i="18" s="1"/>
  <c r="J982" i="18"/>
  <c r="K983" i="18"/>
  <c r="K984" i="18" s="1"/>
  <c r="K985" i="18" s="1"/>
  <c r="K986" i="18" s="1"/>
  <c r="K987" i="18" s="1"/>
  <c r="K988" i="18" s="1"/>
  <c r="K989" i="18" s="1"/>
  <c r="K990" i="18" s="1"/>
  <c r="J437" i="18"/>
  <c r="K438" i="18"/>
  <c r="K439" i="18" s="1"/>
  <c r="K440" i="18" s="1"/>
  <c r="K441" i="18" s="1"/>
  <c r="K442" i="18" s="1"/>
  <c r="K443" i="18" s="1"/>
  <c r="K444" i="18" s="1"/>
  <c r="J260" i="18" l="1"/>
  <c r="K261" i="18"/>
  <c r="K262" i="18" s="1"/>
  <c r="K263" i="18" s="1"/>
  <c r="K264" i="18" s="1"/>
  <c r="K445" i="18"/>
  <c r="K446" i="18" s="1"/>
  <c r="K447" i="18" s="1"/>
  <c r="K448" i="18" s="1"/>
  <c r="J444" i="18"/>
  <c r="K1282" i="18"/>
  <c r="K1283" i="18" s="1"/>
  <c r="K1284" i="18" s="1"/>
  <c r="K1285" i="18" s="1"/>
  <c r="K1286" i="18" s="1"/>
  <c r="K1287" i="18" s="1"/>
  <c r="K1288" i="18" s="1"/>
  <c r="J1281" i="18"/>
  <c r="J990" i="18"/>
  <c r="G994" i="18" s="1"/>
  <c r="K991" i="18"/>
  <c r="K992" i="18" s="1"/>
  <c r="K993" i="18" s="1"/>
  <c r="K994" i="18" s="1"/>
  <c r="J1437" i="18"/>
  <c r="K1438" i="18"/>
  <c r="K1439" i="18" s="1"/>
  <c r="K1440" i="18" s="1"/>
  <c r="K1441" i="18" s="1"/>
  <c r="K1442" i="18" s="1"/>
  <c r="K1443" i="18" s="1"/>
  <c r="K1444" i="18" s="1"/>
  <c r="J1131" i="18"/>
  <c r="G1135" i="18" s="1"/>
  <c r="K1132" i="18"/>
  <c r="K1133" i="18" s="1"/>
  <c r="K1134" i="18" s="1"/>
  <c r="K1135" i="18" s="1"/>
  <c r="J1776" i="18"/>
  <c r="J1135" i="18" l="1"/>
  <c r="J1288" i="18"/>
  <c r="K1289" i="18"/>
  <c r="K1290" i="18" s="1"/>
  <c r="J994" i="18"/>
  <c r="K449" i="18"/>
  <c r="K450" i="18" s="1"/>
  <c r="K451" i="18" s="1"/>
  <c r="K452" i="18" s="1"/>
  <c r="J448" i="18"/>
  <c r="K1445" i="18"/>
  <c r="K1446" i="18" s="1"/>
  <c r="J1444" i="18"/>
  <c r="J264" i="18"/>
  <c r="K265" i="18"/>
  <c r="K266" i="18" s="1"/>
  <c r="K267" i="18" s="1"/>
  <c r="K268" i="18" s="1"/>
  <c r="J268" i="18" l="1"/>
  <c r="K269" i="18"/>
  <c r="K270" i="18" s="1"/>
  <c r="K271" i="18" s="1"/>
  <c r="K272" i="18" s="1"/>
  <c r="K453" i="18"/>
  <c r="K454" i="18" s="1"/>
  <c r="K455" i="18" s="1"/>
  <c r="K456" i="18" s="1"/>
  <c r="J452" i="18"/>
  <c r="K1447" i="18"/>
  <c r="K1448" i="18" s="1"/>
  <c r="J1446" i="18"/>
  <c r="G1448" i="18" s="1"/>
  <c r="J1290" i="18"/>
  <c r="G1292" i="18" s="1"/>
  <c r="K1291" i="18"/>
  <c r="K1292" i="18" s="1"/>
  <c r="K457" i="18" l="1"/>
  <c r="K458" i="18" s="1"/>
  <c r="K459" i="18" s="1"/>
  <c r="K460" i="18" s="1"/>
  <c r="J456" i="18"/>
  <c r="J1292" i="18"/>
  <c r="J1448" i="18"/>
  <c r="J272" i="18"/>
  <c r="K273" i="18"/>
  <c r="K274" i="18" s="1"/>
  <c r="K275" i="18" s="1"/>
  <c r="K276" i="18" s="1"/>
  <c r="K461" i="18" l="1"/>
  <c r="K462" i="18" s="1"/>
  <c r="K463" i="18" s="1"/>
  <c r="K464" i="18" s="1"/>
  <c r="J460" i="18"/>
  <c r="J276" i="18"/>
  <c r="K277" i="18"/>
  <c r="K278" i="18" s="1"/>
  <c r="K279" i="18" s="1"/>
  <c r="K280" i="18" s="1"/>
  <c r="K465" i="18" l="1"/>
  <c r="K466" i="18" s="1"/>
  <c r="K467" i="18" s="1"/>
  <c r="K468" i="18" s="1"/>
  <c r="J464" i="18"/>
  <c r="K281" i="18"/>
  <c r="J280" i="18"/>
  <c r="K469" i="18" l="1"/>
  <c r="K470" i="18" s="1"/>
  <c r="J468" i="18"/>
  <c r="K282" i="18"/>
  <c r="K283" i="18" s="1"/>
  <c r="K284" i="18" s="1"/>
  <c r="K285" i="18" s="1"/>
  <c r="J281" i="18"/>
  <c r="K471" i="18" l="1"/>
  <c r="K472" i="18" s="1"/>
  <c r="J470" i="18"/>
  <c r="K286" i="18"/>
  <c r="K287" i="18" s="1"/>
  <c r="K288" i="18" s="1"/>
  <c r="J285" i="18"/>
  <c r="K289" i="18" l="1"/>
  <c r="K290" i="18" s="1"/>
  <c r="K291" i="18" s="1"/>
  <c r="K292" i="18" s="1"/>
  <c r="K293" i="18" s="1"/>
  <c r="K294" i="18" s="1"/>
  <c r="J288" i="18"/>
  <c r="K473" i="18"/>
  <c r="K474" i="18" s="1"/>
  <c r="J472" i="18"/>
  <c r="J294" i="18" l="1"/>
  <c r="K295" i="18"/>
  <c r="K296" i="18" s="1"/>
  <c r="K297" i="18" s="1"/>
  <c r="K475" i="18"/>
  <c r="K476" i="18" s="1"/>
  <c r="J474" i="18"/>
  <c r="K477" i="18" l="1"/>
  <c r="K478" i="18" s="1"/>
  <c r="J476" i="18"/>
  <c r="K298" i="18"/>
  <c r="K299" i="18" s="1"/>
  <c r="J297" i="18"/>
  <c r="K479" i="18" l="1"/>
  <c r="K480" i="18" s="1"/>
  <c r="J478" i="18"/>
  <c r="K300" i="18"/>
  <c r="K301" i="18" s="1"/>
  <c r="K302" i="18" s="1"/>
  <c r="K303" i="18" s="1"/>
  <c r="J299" i="18"/>
  <c r="K481" i="18" l="1"/>
  <c r="K482" i="18" s="1"/>
  <c r="J480" i="18"/>
  <c r="K304" i="18"/>
  <c r="J303" i="18"/>
  <c r="K305" i="18" l="1"/>
  <c r="J304" i="18"/>
  <c r="K483" i="18"/>
  <c r="K484" i="18" s="1"/>
  <c r="J482" i="18"/>
  <c r="K306" i="18" l="1"/>
  <c r="J305" i="18"/>
  <c r="K485" i="18"/>
  <c r="K486" i="18" s="1"/>
  <c r="J484" i="18"/>
  <c r="K307" i="18" l="1"/>
  <c r="J306" i="18"/>
  <c r="G307" i="18" s="1"/>
  <c r="K487" i="18"/>
  <c r="K488" i="18" s="1"/>
  <c r="J486" i="18"/>
  <c r="K489" i="18" l="1"/>
  <c r="K490" i="18" s="1"/>
  <c r="K491" i="18" s="1"/>
  <c r="K492" i="18" s="1"/>
  <c r="J488" i="18"/>
  <c r="J307" i="18"/>
  <c r="K493" i="18" l="1"/>
  <c r="K494" i="18" s="1"/>
  <c r="J492" i="18"/>
  <c r="K495" i="18" l="1"/>
  <c r="K496" i="18" s="1"/>
  <c r="K497" i="18" s="1"/>
  <c r="K498" i="18" s="1"/>
  <c r="J494" i="18"/>
  <c r="K499" i="18" l="1"/>
  <c r="K500" i="18" s="1"/>
  <c r="K501" i="18" s="1"/>
  <c r="K502" i="18" s="1"/>
  <c r="J498" i="18"/>
  <c r="K503" i="18" l="1"/>
  <c r="K504" i="18" s="1"/>
  <c r="K505" i="18" s="1"/>
  <c r="J502" i="18"/>
  <c r="J505" i="18" l="1"/>
  <c r="K506" i="18"/>
  <c r="K507" i="18" s="1"/>
  <c r="K508" i="18" s="1"/>
  <c r="K509" i="18" s="1"/>
  <c r="J509" i="18" l="1"/>
  <c r="K510" i="18"/>
  <c r="K511" i="18" s="1"/>
  <c r="K512" i="18" s="1"/>
  <c r="K513" i="18" l="1"/>
  <c r="K514" i="18" s="1"/>
  <c r="J512" i="18"/>
  <c r="K515" i="18" l="1"/>
  <c r="K516" i="18" s="1"/>
  <c r="K517" i="18" s="1"/>
  <c r="J514" i="18"/>
  <c r="J517" i="18" l="1"/>
  <c r="K518" i="18"/>
  <c r="K519" i="18" s="1"/>
  <c r="J519" i="18" l="1"/>
  <c r="K520" i="18"/>
  <c r="K521" i="18" s="1"/>
  <c r="K522" i="18" s="1"/>
  <c r="K523" i="18" s="1"/>
  <c r="J523" i="18" l="1"/>
  <c r="K524" i="18"/>
  <c r="K525" i="18" s="1"/>
  <c r="K526" i="18" s="1"/>
  <c r="K527" i="18" s="1"/>
  <c r="J527" i="18" l="1"/>
  <c r="K528" i="18"/>
  <c r="K529" i="18" s="1"/>
  <c r="J529" i="18" l="1"/>
  <c r="G533" i="18" s="1"/>
  <c r="K530" i="18"/>
  <c r="K531" i="18" s="1"/>
  <c r="K532" i="18" s="1"/>
  <c r="K533" i="18" s="1"/>
  <c r="J533" i="18" l="1"/>
  <c r="D37" i="17"/>
  <c r="D22" i="17"/>
  <c r="D23" i="17" s="1"/>
  <c r="D12" i="17"/>
  <c r="D13" i="17" s="1"/>
  <c r="D14" i="17" s="1"/>
  <c r="C65" i="16"/>
  <c r="C66" i="16" s="1"/>
  <c r="C67" i="16" s="1"/>
  <c r="C25" i="16"/>
  <c r="C26" i="16" s="1"/>
  <c r="C27" i="16" s="1"/>
  <c r="C28" i="16" s="1"/>
  <c r="C29" i="16" s="1"/>
  <c r="C30" i="16" s="1"/>
  <c r="C31" i="16" s="1"/>
  <c r="C32" i="16" s="1"/>
  <c r="C33" i="16" s="1"/>
  <c r="C34" i="16" s="1"/>
  <c r="C35" i="16" s="1"/>
  <c r="C36" i="16" s="1"/>
  <c r="C37" i="16" s="1"/>
  <c r="C38" i="16" s="1"/>
  <c r="C39" i="16" s="1"/>
  <c r="C40" i="16" s="1"/>
  <c r="C41" i="16" s="1"/>
  <c r="C42" i="16" s="1"/>
  <c r="C43" i="16" s="1"/>
  <c r="C44" i="16" s="1"/>
  <c r="C45" i="16" s="1"/>
  <c r="C46" i="16" s="1"/>
  <c r="C47" i="16" s="1"/>
  <c r="C48" i="16" s="1"/>
  <c r="C49" i="16" s="1"/>
  <c r="C50" i="16" s="1"/>
  <c r="C51" i="16" s="1"/>
  <c r="C52" i="16" s="1"/>
  <c r="C53" i="16" s="1"/>
  <c r="C54" i="16" s="1"/>
  <c r="C55" i="16" s="1"/>
  <c r="C56" i="16" s="1"/>
  <c r="C57" i="16" s="1"/>
  <c r="C58" i="16" s="1"/>
  <c r="C60" i="16" s="1"/>
  <c r="B25" i="16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58" i="16" s="1"/>
  <c r="A24" i="16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D18" i="16"/>
  <c r="C13" i="16"/>
  <c r="C14" i="16" s="1"/>
  <c r="C15" i="16" s="1"/>
  <c r="C16" i="16" s="1"/>
  <c r="C17" i="16" s="1"/>
  <c r="C18" i="16" s="1"/>
  <c r="E19" i="15"/>
  <c r="E20" i="15" s="1"/>
  <c r="B24" i="17" l="1"/>
  <c r="D24" i="17"/>
  <c r="C15" i="17"/>
  <c r="B23" i="17"/>
  <c r="C38" i="17"/>
  <c r="D38" i="17" s="1"/>
  <c r="A47" i="16"/>
  <c r="A48" i="16" s="1"/>
  <c r="A49" i="16" s="1"/>
  <c r="A50" i="16" s="1"/>
  <c r="A43" i="16"/>
  <c r="A44" i="16" s="1"/>
  <c r="A45" i="16" s="1"/>
  <c r="A46" i="16" s="1"/>
  <c r="A51" i="16" s="1"/>
  <c r="A52" i="16" s="1"/>
  <c r="A53" i="16" s="1"/>
  <c r="A54" i="16" s="1"/>
  <c r="A55" i="16" s="1"/>
  <c r="A56" i="16" s="1"/>
  <c r="A57" i="16" s="1"/>
  <c r="A58" i="16" s="1"/>
  <c r="C21" i="15"/>
  <c r="J21" i="15" s="1"/>
  <c r="E21" i="15"/>
  <c r="C20" i="15"/>
  <c r="J20" i="15" s="1"/>
  <c r="E11" i="13"/>
  <c r="E12" i="13" s="1"/>
  <c r="C13" i="13" s="1"/>
  <c r="C11" i="13"/>
  <c r="E16" i="13"/>
  <c r="C17" i="13" s="1"/>
  <c r="D14" i="3"/>
  <c r="D15" i="3" s="1"/>
  <c r="D16" i="3" s="1"/>
  <c r="D46" i="3"/>
  <c r="D47" i="3" s="1"/>
  <c r="B46" i="3"/>
  <c r="D11" i="11"/>
  <c r="B12" i="11" s="1"/>
  <c r="D12" i="11" s="1"/>
  <c r="B13" i="11" s="1"/>
  <c r="D13" i="11" s="1"/>
  <c r="B14" i="11" s="1"/>
  <c r="D14" i="11" s="1"/>
  <c r="B15" i="11" s="1"/>
  <c r="D15" i="11" s="1"/>
  <c r="B16" i="11" s="1"/>
  <c r="D16" i="11" s="1"/>
  <c r="B17" i="11" s="1"/>
  <c r="D17" i="11" s="1"/>
  <c r="B18" i="11" s="1"/>
  <c r="D18" i="11" s="1"/>
  <c r="B19" i="11" s="1"/>
  <c r="D19" i="11" s="1"/>
  <c r="B20" i="11" s="1"/>
  <c r="D20" i="11" s="1"/>
  <c r="B21" i="11" s="1"/>
  <c r="D21" i="11" s="1"/>
  <c r="B22" i="11" s="1"/>
  <c r="D22" i="11" s="1"/>
  <c r="B23" i="11" s="1"/>
  <c r="D23" i="11" s="1"/>
  <c r="B24" i="11" s="1"/>
  <c r="D24" i="11" s="1"/>
  <c r="B25" i="11" s="1"/>
  <c r="D25" i="11" s="1"/>
  <c r="B26" i="11" s="1"/>
  <c r="D26" i="11" s="1"/>
  <c r="B27" i="11" s="1"/>
  <c r="D27" i="11" s="1"/>
  <c r="B28" i="11" s="1"/>
  <c r="D28" i="11" s="1"/>
  <c r="B29" i="11" s="1"/>
  <c r="D29" i="11" s="1"/>
  <c r="B30" i="11" s="1"/>
  <c r="D30" i="11" s="1"/>
  <c r="B31" i="11" s="1"/>
  <c r="D31" i="11" s="1"/>
  <c r="B32" i="11" s="1"/>
  <c r="D32" i="11" s="1"/>
  <c r="B33" i="11" s="1"/>
  <c r="D33" i="11" s="1"/>
  <c r="B34" i="11" s="1"/>
  <c r="D34" i="11" s="1"/>
  <c r="B35" i="11" s="1"/>
  <c r="D35" i="11" s="1"/>
  <c r="B36" i="11" s="1"/>
  <c r="D36" i="11" s="1"/>
  <c r="B37" i="11" s="1"/>
  <c r="D37" i="11" s="1"/>
  <c r="B38" i="11" s="1"/>
  <c r="D38" i="11" s="1"/>
  <c r="B39" i="11" s="1"/>
  <c r="D39" i="11" s="1"/>
  <c r="B40" i="11" s="1"/>
  <c r="D40" i="11" s="1"/>
  <c r="B41" i="11" s="1"/>
  <c r="D41" i="11" s="1"/>
  <c r="B42" i="11" s="1"/>
  <c r="D42" i="11" s="1"/>
  <c r="B43" i="11" s="1"/>
  <c r="D43" i="11" s="1"/>
  <c r="B44" i="11" s="1"/>
  <c r="D44" i="11" s="1"/>
  <c r="B45" i="11" s="1"/>
  <c r="D45" i="11" s="1"/>
  <c r="B46" i="11" s="1"/>
  <c r="D46" i="11" s="1"/>
  <c r="B47" i="11" s="1"/>
  <c r="D47" i="11" s="1"/>
  <c r="B48" i="11" s="1"/>
  <c r="D48" i="11" s="1"/>
  <c r="B49" i="11" s="1"/>
  <c r="D49" i="11" s="1"/>
  <c r="C2" i="11" s="1"/>
  <c r="D14" i="4"/>
  <c r="D15" i="4" s="1"/>
  <c r="B16" i="4" s="1"/>
  <c r="B14" i="4"/>
  <c r="D13" i="10"/>
  <c r="B14" i="10" s="1"/>
  <c r="B13" i="10"/>
  <c r="D13" i="8"/>
  <c r="B14" i="8" s="1"/>
  <c r="B13" i="8"/>
  <c r="B13" i="9"/>
  <c r="D13" i="9"/>
  <c r="B14" i="9" s="1"/>
  <c r="D13" i="5"/>
  <c r="D14" i="5" s="1"/>
  <c r="A14" i="5"/>
  <c r="B14" i="5"/>
  <c r="A15" i="5"/>
  <c r="A16" i="5" s="1"/>
  <c r="D13" i="6"/>
  <c r="D14" i="6" s="1"/>
  <c r="D15" i="6" s="1"/>
  <c r="D16" i="6" s="1"/>
  <c r="A14" i="6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D13" i="7"/>
  <c r="B15" i="7" s="1"/>
  <c r="A15" i="7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1" i="7" s="1"/>
  <c r="A52" i="7" s="1"/>
  <c r="A53" i="7" s="1"/>
  <c r="A54" i="7" s="1"/>
  <c r="A55" i="7" s="1"/>
  <c r="A56" i="7" s="1"/>
  <c r="A57" i="7" s="1"/>
  <c r="D21" i="8"/>
  <c r="D22" i="8" s="1"/>
  <c r="A22" i="8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D22" i="9"/>
  <c r="B23" i="9" s="1"/>
  <c r="A23" i="9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D23" i="9"/>
  <c r="D24" i="9" s="1"/>
  <c r="D22" i="10"/>
  <c r="A23" i="10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B15" i="4"/>
  <c r="D24" i="4"/>
  <c r="D25" i="4" s="1"/>
  <c r="A25" i="4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D23" i="3"/>
  <c r="B24" i="3" s="1"/>
  <c r="A24" i="3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D13" i="2"/>
  <c r="D14" i="2" s="1"/>
  <c r="A14" i="2"/>
  <c r="A15" i="2"/>
  <c r="A16" i="2" s="1"/>
  <c r="A17" i="2" s="1"/>
  <c r="A18" i="2" s="1"/>
  <c r="A19" i="2" s="1"/>
  <c r="A20" i="2" s="1"/>
  <c r="A21" i="2" s="1"/>
  <c r="A22" i="2" s="1"/>
  <c r="A23" i="2" s="1"/>
  <c r="D15" i="1"/>
  <c r="D16" i="1" s="1"/>
  <c r="D14" i="9"/>
  <c r="B15" i="9" s="1"/>
  <c r="E13" i="13"/>
  <c r="D16" i="4"/>
  <c r="D17" i="4" s="1"/>
  <c r="D18" i="4" s="1"/>
  <c r="D15" i="9"/>
  <c r="B23" i="10"/>
  <c r="J23" i="10" s="1"/>
  <c r="D23" i="10"/>
  <c r="B24" i="10" s="1"/>
  <c r="J24" i="10" s="1"/>
  <c r="B15" i="6"/>
  <c r="D24" i="10"/>
  <c r="D25" i="10" s="1"/>
  <c r="B24" i="9" l="1"/>
  <c r="B16" i="1"/>
  <c r="B47" i="3"/>
  <c r="D17" i="1"/>
  <c r="B17" i="1"/>
  <c r="D17" i="3"/>
  <c r="B17" i="3"/>
  <c r="E17" i="13"/>
  <c r="C18" i="13" s="1"/>
  <c r="K17" i="13"/>
  <c r="J17" i="13"/>
  <c r="L17" i="13"/>
  <c r="B25" i="10"/>
  <c r="J25" i="10" s="1"/>
  <c r="D14" i="10"/>
  <c r="B25" i="4"/>
  <c r="B17" i="4"/>
  <c r="D15" i="17"/>
  <c r="H14" i="17"/>
  <c r="B16" i="3"/>
  <c r="D14" i="8"/>
  <c r="B14" i="6"/>
  <c r="D23" i="8"/>
  <c r="B23" i="8"/>
  <c r="D25" i="9"/>
  <c r="B25" i="9"/>
  <c r="B16" i="6"/>
  <c r="B22" i="8"/>
  <c r="D15" i="7"/>
  <c r="D25" i="17"/>
  <c r="B25" i="17"/>
  <c r="E22" i="15"/>
  <c r="C22" i="15"/>
  <c r="J22" i="15" s="1"/>
  <c r="D26" i="10"/>
  <c r="B26" i="10"/>
  <c r="J26" i="10" s="1"/>
  <c r="D17" i="6"/>
  <c r="B17" i="6"/>
  <c r="D19" i="4"/>
  <c r="B19" i="4"/>
  <c r="D15" i="2"/>
  <c r="B15" i="2"/>
  <c r="D26" i="4"/>
  <c r="B26" i="4"/>
  <c r="B18" i="4"/>
  <c r="B14" i="2"/>
  <c r="D24" i="3"/>
  <c r="D15" i="5"/>
  <c r="B15" i="5"/>
  <c r="C12" i="13"/>
  <c r="M25" i="4" l="1"/>
  <c r="I25" i="4"/>
  <c r="L25" i="4"/>
  <c r="K25" i="4"/>
  <c r="H25" i="4"/>
  <c r="J25" i="4"/>
  <c r="N25" i="4"/>
  <c r="M26" i="4"/>
  <c r="H26" i="4"/>
  <c r="L26" i="4"/>
  <c r="K26" i="4"/>
  <c r="I26" i="4"/>
  <c r="J26" i="4"/>
  <c r="N26" i="4"/>
  <c r="J22" i="8"/>
  <c r="I22" i="8"/>
  <c r="K22" i="8"/>
  <c r="B15" i="8"/>
  <c r="D15" i="8"/>
  <c r="E18" i="13"/>
  <c r="C19" i="13" s="1"/>
  <c r="K18" i="13"/>
  <c r="J18" i="13"/>
  <c r="L18" i="13"/>
  <c r="J23" i="8"/>
  <c r="K23" i="8"/>
  <c r="D15" i="10"/>
  <c r="B15" i="10"/>
  <c r="D18" i="1"/>
  <c r="B18" i="1"/>
  <c r="D16" i="7"/>
  <c r="B16" i="7"/>
  <c r="B26" i="9"/>
  <c r="D26" i="9"/>
  <c r="D24" i="8"/>
  <c r="B24" i="8"/>
  <c r="B26" i="17"/>
  <c r="D26" i="17"/>
  <c r="C23" i="15"/>
  <c r="J23" i="15" s="1"/>
  <c r="E23" i="15"/>
  <c r="D16" i="5"/>
  <c r="B16" i="5"/>
  <c r="D25" i="3"/>
  <c r="B25" i="3"/>
  <c r="D27" i="4"/>
  <c r="B27" i="4"/>
  <c r="D16" i="2"/>
  <c r="B16" i="2"/>
  <c r="B18" i="6"/>
  <c r="D18" i="6"/>
  <c r="D27" i="10"/>
  <c r="B27" i="10"/>
  <c r="J27" i="10" s="1"/>
  <c r="N27" i="4" l="1"/>
  <c r="H27" i="4"/>
  <c r="L27" i="4"/>
  <c r="I27" i="4"/>
  <c r="J27" i="4"/>
  <c r="M27" i="4"/>
  <c r="K27" i="4"/>
  <c r="D19" i="1"/>
  <c r="B19" i="1"/>
  <c r="E19" i="13"/>
  <c r="C20" i="13" s="1"/>
  <c r="K19" i="13"/>
  <c r="J19" i="13"/>
  <c r="L19" i="13"/>
  <c r="J24" i="8"/>
  <c r="I24" i="8"/>
  <c r="K24" i="8"/>
  <c r="B27" i="9"/>
  <c r="D27" i="9"/>
  <c r="B25" i="8"/>
  <c r="D25" i="8"/>
  <c r="D17" i="7"/>
  <c r="B17" i="7"/>
  <c r="D27" i="17"/>
  <c r="B27" i="17"/>
  <c r="E24" i="15"/>
  <c r="C24" i="15"/>
  <c r="J24" i="15" s="1"/>
  <c r="D28" i="10"/>
  <c r="B28" i="10"/>
  <c r="J28" i="10" s="1"/>
  <c r="B19" i="6"/>
  <c r="D19" i="6"/>
  <c r="B17" i="2"/>
  <c r="D17" i="2"/>
  <c r="B28" i="4"/>
  <c r="D28" i="4"/>
  <c r="B26" i="3"/>
  <c r="D26" i="3"/>
  <c r="J28" i="4" l="1"/>
  <c r="H28" i="4"/>
  <c r="M28" i="4"/>
  <c r="N28" i="4"/>
  <c r="K28" i="4"/>
  <c r="I28" i="4"/>
  <c r="L28" i="4"/>
  <c r="I25" i="8"/>
  <c r="J25" i="8"/>
  <c r="K25" i="8"/>
  <c r="E20" i="13"/>
  <c r="C21" i="13" s="1"/>
  <c r="K20" i="13"/>
  <c r="J20" i="13"/>
  <c r="L20" i="13"/>
  <c r="D20" i="1"/>
  <c r="B20" i="1"/>
  <c r="D26" i="8"/>
  <c r="B26" i="8"/>
  <c r="D28" i="9"/>
  <c r="B28" i="9"/>
  <c r="B18" i="7"/>
  <c r="D18" i="7"/>
  <c r="B28" i="17"/>
  <c r="D28" i="17"/>
  <c r="C25" i="15"/>
  <c r="J25" i="15" s="1"/>
  <c r="E25" i="15"/>
  <c r="D27" i="3"/>
  <c r="B27" i="3"/>
  <c r="D29" i="4"/>
  <c r="B29" i="4"/>
  <c r="B18" i="2"/>
  <c r="D18" i="2"/>
  <c r="B20" i="6"/>
  <c r="D20" i="6"/>
  <c r="B29" i="10"/>
  <c r="J29" i="10" s="1"/>
  <c r="D29" i="10"/>
  <c r="K29" i="4" l="1"/>
  <c r="I29" i="4"/>
  <c r="J29" i="4"/>
  <c r="N29" i="4"/>
  <c r="H29" i="4"/>
  <c r="L29" i="4"/>
  <c r="M29" i="4"/>
  <c r="I26" i="8"/>
  <c r="J26" i="8"/>
  <c r="K26" i="8"/>
  <c r="E21" i="13"/>
  <c r="C22" i="13" s="1"/>
  <c r="K21" i="13"/>
  <c r="J21" i="13"/>
  <c r="L21" i="13"/>
  <c r="B19" i="7"/>
  <c r="D19" i="7"/>
  <c r="D29" i="9"/>
  <c r="B29" i="9"/>
  <c r="B27" i="8"/>
  <c r="D27" i="8"/>
  <c r="D29" i="17"/>
  <c r="B29" i="17"/>
  <c r="E26" i="15"/>
  <c r="C26" i="15"/>
  <c r="J26" i="15" s="1"/>
  <c r="B30" i="10"/>
  <c r="J30" i="10" s="1"/>
  <c r="D30" i="10"/>
  <c r="B21" i="6"/>
  <c r="D21" i="6"/>
  <c r="D19" i="2"/>
  <c r="B19" i="2"/>
  <c r="D30" i="4"/>
  <c r="B30" i="4"/>
  <c r="D28" i="3"/>
  <c r="B28" i="3"/>
  <c r="I30" i="4" l="1"/>
  <c r="K30" i="4"/>
  <c r="J30" i="4"/>
  <c r="L30" i="4"/>
  <c r="N30" i="4"/>
  <c r="H30" i="4"/>
  <c r="M30" i="4"/>
  <c r="E22" i="13"/>
  <c r="C23" i="13" s="1"/>
  <c r="K22" i="13"/>
  <c r="J22" i="13"/>
  <c r="L22" i="13"/>
  <c r="I27" i="8"/>
  <c r="J27" i="8"/>
  <c r="K27" i="8"/>
  <c r="D28" i="8"/>
  <c r="B28" i="8"/>
  <c r="D20" i="7"/>
  <c r="B20" i="7"/>
  <c r="D30" i="9"/>
  <c r="B30" i="9"/>
  <c r="B30" i="17"/>
  <c r="D30" i="17"/>
  <c r="C27" i="15"/>
  <c r="J27" i="15" s="1"/>
  <c r="E27" i="15"/>
  <c r="B22" i="6"/>
  <c r="D22" i="6"/>
  <c r="D31" i="10"/>
  <c r="B31" i="10"/>
  <c r="J31" i="10" s="1"/>
  <c r="D29" i="3"/>
  <c r="B29" i="3"/>
  <c r="B31" i="4"/>
  <c r="D31" i="4"/>
  <c r="B20" i="2"/>
  <c r="D20" i="2"/>
  <c r="L31" i="4" l="1"/>
  <c r="N31" i="4"/>
  <c r="K31" i="4"/>
  <c r="I31" i="4"/>
  <c r="M31" i="4"/>
  <c r="J31" i="4"/>
  <c r="H31" i="4"/>
  <c r="I28" i="8"/>
  <c r="J28" i="8"/>
  <c r="K28" i="8"/>
  <c r="E23" i="13"/>
  <c r="C24" i="13" s="1"/>
  <c r="K23" i="13"/>
  <c r="J23" i="13"/>
  <c r="L23" i="13"/>
  <c r="D31" i="9"/>
  <c r="B31" i="9"/>
  <c r="B21" i="7"/>
  <c r="D21" i="7"/>
  <c r="B29" i="8"/>
  <c r="D29" i="8"/>
  <c r="E28" i="15"/>
  <c r="C28" i="15"/>
  <c r="J28" i="15" s="1"/>
  <c r="D21" i="2"/>
  <c r="B21" i="2"/>
  <c r="B32" i="4"/>
  <c r="D32" i="4"/>
  <c r="D23" i="6"/>
  <c r="B23" i="6"/>
  <c r="D30" i="3"/>
  <c r="B30" i="3"/>
  <c r="D32" i="10"/>
  <c r="B32" i="10"/>
  <c r="J32" i="10" s="1"/>
  <c r="M32" i="4" l="1"/>
  <c r="L32" i="4"/>
  <c r="K32" i="4"/>
  <c r="I32" i="4"/>
  <c r="J32" i="4"/>
  <c r="N32" i="4"/>
  <c r="H32" i="4"/>
  <c r="E24" i="13"/>
  <c r="C25" i="13" s="1"/>
  <c r="J24" i="13"/>
  <c r="K24" i="13"/>
  <c r="L24" i="13"/>
  <c r="J29" i="8"/>
  <c r="I29" i="8"/>
  <c r="K29" i="8"/>
  <c r="B30" i="8"/>
  <c r="D30" i="8"/>
  <c r="D22" i="7"/>
  <c r="B22" i="7"/>
  <c r="B32" i="9"/>
  <c r="D32" i="9"/>
  <c r="C29" i="15"/>
  <c r="J29" i="15" s="1"/>
  <c r="E29" i="15"/>
  <c r="B33" i="4"/>
  <c r="D33" i="4"/>
  <c r="B33" i="10"/>
  <c r="J33" i="10" s="1"/>
  <c r="D33" i="10"/>
  <c r="D31" i="3"/>
  <c r="B31" i="3"/>
  <c r="D24" i="6"/>
  <c r="B24" i="6"/>
  <c r="B22" i="2"/>
  <c r="D22" i="2"/>
  <c r="K33" i="4" l="1"/>
  <c r="M33" i="4"/>
  <c r="L33" i="4"/>
  <c r="I33" i="4"/>
  <c r="H33" i="4"/>
  <c r="J33" i="4"/>
  <c r="N33" i="4"/>
  <c r="J30" i="8"/>
  <c r="I30" i="8"/>
  <c r="K30" i="8"/>
  <c r="E25" i="13"/>
  <c r="C26" i="13" s="1"/>
  <c r="K25" i="13"/>
  <c r="J25" i="13"/>
  <c r="L25" i="13"/>
  <c r="D33" i="9"/>
  <c r="B33" i="9"/>
  <c r="D31" i="8"/>
  <c r="B31" i="8"/>
  <c r="B23" i="7"/>
  <c r="D23" i="7"/>
  <c r="E30" i="15"/>
  <c r="C30" i="15"/>
  <c r="J30" i="15" s="1"/>
  <c r="D23" i="2"/>
  <c r="B23" i="2"/>
  <c r="B34" i="10"/>
  <c r="J34" i="10" s="1"/>
  <c r="D34" i="10"/>
  <c r="D34" i="4"/>
  <c r="B34" i="4"/>
  <c r="B25" i="6"/>
  <c r="D25" i="6"/>
  <c r="B32" i="3"/>
  <c r="D32" i="3"/>
  <c r="I34" i="4" l="1"/>
  <c r="M34" i="4"/>
  <c r="J34" i="4"/>
  <c r="K34" i="4"/>
  <c r="L34" i="4"/>
  <c r="H34" i="4"/>
  <c r="N34" i="4"/>
  <c r="E26" i="13"/>
  <c r="C27" i="13" s="1"/>
  <c r="K26" i="13"/>
  <c r="J26" i="13"/>
  <c r="L26" i="13"/>
  <c r="J31" i="8"/>
  <c r="I31" i="8"/>
  <c r="K31" i="8"/>
  <c r="B24" i="7"/>
  <c r="D24" i="7"/>
  <c r="B32" i="8"/>
  <c r="D32" i="8"/>
  <c r="B34" i="9"/>
  <c r="D34" i="9"/>
  <c r="C31" i="15"/>
  <c r="J31" i="15" s="1"/>
  <c r="E31" i="15"/>
  <c r="B33" i="3"/>
  <c r="D33" i="3"/>
  <c r="D26" i="6"/>
  <c r="B26" i="6"/>
  <c r="D35" i="10"/>
  <c r="B35" i="10"/>
  <c r="J35" i="10" s="1"/>
  <c r="B35" i="4"/>
  <c r="D35" i="4"/>
  <c r="H35" i="4" l="1"/>
  <c r="M35" i="4"/>
  <c r="N35" i="4"/>
  <c r="L35" i="4"/>
  <c r="J35" i="4"/>
  <c r="K35" i="4"/>
  <c r="I35" i="4"/>
  <c r="J32" i="8"/>
  <c r="I32" i="8"/>
  <c r="K32" i="8"/>
  <c r="E27" i="13"/>
  <c r="C28" i="13" s="1"/>
  <c r="K27" i="13"/>
  <c r="J27" i="13"/>
  <c r="L27" i="13"/>
  <c r="B35" i="9"/>
  <c r="D35" i="9"/>
  <c r="B33" i="8"/>
  <c r="D33" i="8"/>
  <c r="B25" i="7"/>
  <c r="D25" i="7"/>
  <c r="E32" i="15"/>
  <c r="C32" i="15"/>
  <c r="J32" i="15" s="1"/>
  <c r="D36" i="4"/>
  <c r="B36" i="4"/>
  <c r="D34" i="3"/>
  <c r="B34" i="3"/>
  <c r="B36" i="10"/>
  <c r="J36" i="10" s="1"/>
  <c r="D36" i="10"/>
  <c r="D27" i="6"/>
  <c r="B27" i="6"/>
  <c r="N36" i="4" l="1"/>
  <c r="K36" i="4"/>
  <c r="L36" i="4"/>
  <c r="J36" i="4"/>
  <c r="M36" i="4"/>
  <c r="H36" i="4"/>
  <c r="I36" i="4"/>
  <c r="E28" i="13"/>
  <c r="C29" i="13" s="1"/>
  <c r="K28" i="13"/>
  <c r="J28" i="13"/>
  <c r="L28" i="13"/>
  <c r="I33" i="8"/>
  <c r="J33" i="8"/>
  <c r="K33" i="8"/>
  <c r="D26" i="7"/>
  <c r="B26" i="7"/>
  <c r="D34" i="8"/>
  <c r="B34" i="8"/>
  <c r="D36" i="9"/>
  <c r="B36" i="9"/>
  <c r="C33" i="15"/>
  <c r="J33" i="15" s="1"/>
  <c r="E33" i="15"/>
  <c r="B37" i="10"/>
  <c r="J37" i="10" s="1"/>
  <c r="D37" i="10"/>
  <c r="B28" i="6"/>
  <c r="D28" i="6"/>
  <c r="D35" i="3"/>
  <c r="B35" i="3"/>
  <c r="D37" i="4"/>
  <c r="B37" i="4"/>
  <c r="H37" i="4" l="1"/>
  <c r="M37" i="4"/>
  <c r="N37" i="4"/>
  <c r="K37" i="4"/>
  <c r="I37" i="4"/>
  <c r="J37" i="4"/>
  <c r="L37" i="4"/>
  <c r="I34" i="8"/>
  <c r="J34" i="8"/>
  <c r="K34" i="8"/>
  <c r="E29" i="13"/>
  <c r="C30" i="13" s="1"/>
  <c r="K29" i="13"/>
  <c r="J29" i="13"/>
  <c r="L29" i="13"/>
  <c r="D37" i="9"/>
  <c r="B37" i="9"/>
  <c r="D35" i="8"/>
  <c r="B35" i="8"/>
  <c r="B27" i="7"/>
  <c r="D27" i="7"/>
  <c r="E34" i="15"/>
  <c r="C34" i="15"/>
  <c r="J34" i="15" s="1"/>
  <c r="D38" i="4"/>
  <c r="B38" i="4"/>
  <c r="B29" i="6"/>
  <c r="D29" i="6"/>
  <c r="D38" i="10"/>
  <c r="B38" i="10"/>
  <c r="J38" i="10" s="1"/>
  <c r="D36" i="3"/>
  <c r="B36" i="3"/>
  <c r="H38" i="4" l="1"/>
  <c r="I38" i="4"/>
  <c r="J38" i="4"/>
  <c r="N38" i="4"/>
  <c r="K38" i="4"/>
  <c r="M38" i="4"/>
  <c r="L38" i="4"/>
  <c r="E30" i="13"/>
  <c r="C31" i="13" s="1"/>
  <c r="K30" i="13"/>
  <c r="J30" i="13"/>
  <c r="L30" i="13"/>
  <c r="I35" i="8"/>
  <c r="J35" i="8"/>
  <c r="K35" i="8"/>
  <c r="D28" i="7"/>
  <c r="B28" i="7"/>
  <c r="B36" i="8"/>
  <c r="D36" i="8"/>
  <c r="B38" i="9"/>
  <c r="D38" i="9"/>
  <c r="C35" i="15"/>
  <c r="J35" i="15" s="1"/>
  <c r="E35" i="15"/>
  <c r="B37" i="3"/>
  <c r="D37" i="3"/>
  <c r="D30" i="6"/>
  <c r="B30" i="6"/>
  <c r="B39" i="10"/>
  <c r="J39" i="10" s="1"/>
  <c r="D39" i="10"/>
  <c r="B39" i="4"/>
  <c r="D39" i="4"/>
  <c r="H39" i="4" l="1"/>
  <c r="I39" i="4"/>
  <c r="N39" i="4"/>
  <c r="K39" i="4"/>
  <c r="M39" i="4"/>
  <c r="L39" i="4"/>
  <c r="J39" i="4"/>
  <c r="I36" i="8"/>
  <c r="J36" i="8"/>
  <c r="K36" i="8"/>
  <c r="E31" i="13"/>
  <c r="K31" i="13"/>
  <c r="J31" i="13"/>
  <c r="L31" i="13"/>
  <c r="D39" i="9"/>
  <c r="B39" i="9"/>
  <c r="D37" i="8"/>
  <c r="B37" i="8"/>
  <c r="D29" i="7"/>
  <c r="B29" i="7"/>
  <c r="E36" i="15"/>
  <c r="C36" i="15"/>
  <c r="J36" i="15" s="1"/>
  <c r="B40" i="4"/>
  <c r="D40" i="4"/>
  <c r="D40" i="10"/>
  <c r="B40" i="10"/>
  <c r="J40" i="10" s="1"/>
  <c r="D38" i="3"/>
  <c r="B38" i="3"/>
  <c r="B31" i="6"/>
  <c r="D31" i="6"/>
  <c r="H40" i="4" l="1"/>
  <c r="L40" i="4"/>
  <c r="I40" i="4"/>
  <c r="N40" i="4"/>
  <c r="K40" i="4"/>
  <c r="J40" i="4"/>
  <c r="M40" i="4"/>
  <c r="J37" i="8"/>
  <c r="I37" i="8"/>
  <c r="K37" i="8"/>
  <c r="B30" i="7"/>
  <c r="D30" i="7"/>
  <c r="D38" i="8"/>
  <c r="B38" i="8"/>
  <c r="B40" i="9"/>
  <c r="D40" i="9"/>
  <c r="C37" i="15"/>
  <c r="J37" i="15" s="1"/>
  <c r="E37" i="15"/>
  <c r="D32" i="6"/>
  <c r="B32" i="6"/>
  <c r="B41" i="4"/>
  <c r="D41" i="4"/>
  <c r="B39" i="3"/>
  <c r="D39" i="3"/>
  <c r="B41" i="10"/>
  <c r="J41" i="10" s="1"/>
  <c r="D41" i="10"/>
  <c r="H41" i="4" l="1"/>
  <c r="M41" i="4"/>
  <c r="L41" i="4"/>
  <c r="I41" i="4"/>
  <c r="N41" i="4"/>
  <c r="K41" i="4"/>
  <c r="J41" i="4"/>
  <c r="J38" i="8"/>
  <c r="I38" i="8"/>
  <c r="K38" i="8"/>
  <c r="D41" i="9"/>
  <c r="B41" i="9"/>
  <c r="D31" i="7"/>
  <c r="B31" i="7"/>
  <c r="B39" i="8"/>
  <c r="D39" i="8"/>
  <c r="E38" i="15"/>
  <c r="C38" i="15"/>
  <c r="J38" i="15" s="1"/>
  <c r="D42" i="10"/>
  <c r="B42" i="10"/>
  <c r="J42" i="10" s="1"/>
  <c r="D40" i="3"/>
  <c r="B40" i="3"/>
  <c r="D42" i="4"/>
  <c r="B42" i="4"/>
  <c r="B33" i="6"/>
  <c r="D33" i="6"/>
  <c r="H42" i="4" l="1"/>
  <c r="M42" i="4"/>
  <c r="J42" i="4"/>
  <c r="L42" i="4"/>
  <c r="I42" i="4"/>
  <c r="N42" i="4"/>
  <c r="K42" i="4"/>
  <c r="J39" i="8"/>
  <c r="I39" i="8"/>
  <c r="K39" i="8"/>
  <c r="D40" i="8"/>
  <c r="B40" i="8"/>
  <c r="B33" i="7"/>
  <c r="D33" i="7"/>
  <c r="B42" i="9"/>
  <c r="D42" i="9"/>
  <c r="C39" i="15"/>
  <c r="J39" i="15" s="1"/>
  <c r="E39" i="15"/>
  <c r="D43" i="4"/>
  <c r="B43" i="4"/>
  <c r="D34" i="6"/>
  <c r="B34" i="6"/>
  <c r="B43" i="10"/>
  <c r="J43" i="10" s="1"/>
  <c r="D43" i="10"/>
  <c r="H43" i="4" l="1"/>
  <c r="M43" i="4"/>
  <c r="J43" i="4"/>
  <c r="K43" i="4"/>
  <c r="L43" i="4"/>
  <c r="I43" i="4"/>
  <c r="N43" i="4"/>
  <c r="J40" i="8"/>
  <c r="I40" i="8"/>
  <c r="K40" i="8"/>
  <c r="B34" i="7"/>
  <c r="D34" i="7"/>
  <c r="D41" i="8"/>
  <c r="B41" i="8"/>
  <c r="E40" i="15"/>
  <c r="C40" i="15"/>
  <c r="J40" i="15" s="1"/>
  <c r="D44" i="10"/>
  <c r="B44" i="10"/>
  <c r="J44" i="10" s="1"/>
  <c r="B35" i="6"/>
  <c r="D35" i="6"/>
  <c r="B44" i="4"/>
  <c r="D44" i="4"/>
  <c r="H44" i="4" l="1"/>
  <c r="N44" i="4"/>
  <c r="K44" i="4"/>
  <c r="L44" i="4"/>
  <c r="I44" i="4"/>
  <c r="M44" i="4"/>
  <c r="J44" i="4"/>
  <c r="I41" i="8"/>
  <c r="J41" i="8"/>
  <c r="K41" i="8"/>
  <c r="D35" i="7"/>
  <c r="B35" i="7"/>
  <c r="D42" i="8"/>
  <c r="B42" i="8"/>
  <c r="C41" i="15"/>
  <c r="J41" i="15" s="1"/>
  <c r="E41" i="15"/>
  <c r="B45" i="10"/>
  <c r="J45" i="10" s="1"/>
  <c r="D45" i="10"/>
  <c r="B45" i="4"/>
  <c r="D45" i="4"/>
  <c r="D36" i="6"/>
  <c r="B36" i="6"/>
  <c r="H45" i="4" l="1"/>
  <c r="N45" i="4"/>
  <c r="K45" i="4"/>
  <c r="M45" i="4"/>
  <c r="J45" i="4"/>
  <c r="L45" i="4"/>
  <c r="I45" i="4"/>
  <c r="I42" i="8"/>
  <c r="J42" i="8"/>
  <c r="K42" i="8"/>
  <c r="B43" i="8"/>
  <c r="D43" i="8"/>
  <c r="D36" i="7"/>
  <c r="B36" i="7"/>
  <c r="E42" i="15"/>
  <c r="C42" i="15"/>
  <c r="J42" i="15" s="1"/>
  <c r="D46" i="4"/>
  <c r="B46" i="4"/>
  <c r="D46" i="10"/>
  <c r="B46" i="10"/>
  <c r="J46" i="10" s="1"/>
  <c r="B37" i="6"/>
  <c r="D37" i="6"/>
  <c r="H46" i="4" l="1"/>
  <c r="M46" i="4"/>
  <c r="J46" i="4"/>
  <c r="L46" i="4"/>
  <c r="I46" i="4"/>
  <c r="N46" i="4"/>
  <c r="K46" i="4"/>
  <c r="I43" i="8"/>
  <c r="J43" i="8"/>
  <c r="K43" i="8"/>
  <c r="D44" i="8"/>
  <c r="B44" i="8"/>
  <c r="D37" i="7"/>
  <c r="B37" i="7"/>
  <c r="C43" i="15"/>
  <c r="J43" i="15" s="1"/>
  <c r="E43" i="15"/>
  <c r="D38" i="6"/>
  <c r="B38" i="6"/>
  <c r="B47" i="10"/>
  <c r="J47" i="10" s="1"/>
  <c r="D47" i="10"/>
  <c r="B47" i="4"/>
  <c r="D47" i="4"/>
  <c r="H47" i="4" l="1"/>
  <c r="J47" i="4"/>
  <c r="L47" i="4"/>
  <c r="N47" i="4"/>
  <c r="K47" i="4"/>
  <c r="M47" i="4"/>
  <c r="I47" i="4"/>
  <c r="I44" i="8"/>
  <c r="J44" i="8"/>
  <c r="K44" i="8"/>
  <c r="B38" i="7"/>
  <c r="D38" i="7"/>
  <c r="B45" i="8"/>
  <c r="D45" i="8"/>
  <c r="E44" i="15"/>
  <c r="C44" i="15"/>
  <c r="J44" i="15" s="1"/>
  <c r="B48" i="4"/>
  <c r="D48" i="4"/>
  <c r="D48" i="10"/>
  <c r="B48" i="10"/>
  <c r="J48" i="10" s="1"/>
  <c r="B39" i="6"/>
  <c r="D39" i="6"/>
  <c r="H48" i="4" l="1"/>
  <c r="L48" i="4"/>
  <c r="I48" i="4"/>
  <c r="N48" i="4"/>
  <c r="K48" i="4"/>
  <c r="M48" i="4"/>
  <c r="J48" i="4"/>
  <c r="J45" i="8"/>
  <c r="I45" i="8"/>
  <c r="K45" i="8"/>
  <c r="E45" i="15"/>
  <c r="C45" i="15"/>
  <c r="J45" i="15" s="1"/>
  <c r="D46" i="8"/>
  <c r="B46" i="8"/>
  <c r="B39" i="7"/>
  <c r="D39" i="7"/>
  <c r="D40" i="6"/>
  <c r="B40" i="6"/>
  <c r="D49" i="4"/>
  <c r="B49" i="4"/>
  <c r="B49" i="10"/>
  <c r="J49" i="10" s="1"/>
  <c r="D49" i="10"/>
  <c r="H49" i="4" l="1"/>
  <c r="J49" i="4"/>
  <c r="L49" i="4"/>
  <c r="I49" i="4"/>
  <c r="M49" i="4"/>
  <c r="N49" i="4"/>
  <c r="K49" i="4"/>
  <c r="J46" i="8"/>
  <c r="I46" i="8"/>
  <c r="K46" i="8"/>
  <c r="C46" i="15"/>
  <c r="J46" i="15" s="1"/>
  <c r="E46" i="15"/>
  <c r="B40" i="7"/>
  <c r="D40" i="7"/>
  <c r="B47" i="8"/>
  <c r="D47" i="8"/>
  <c r="B50" i="4"/>
  <c r="D50" i="4"/>
  <c r="D50" i="10"/>
  <c r="B50" i="10"/>
  <c r="J50" i="10" s="1"/>
  <c r="B41" i="6"/>
  <c r="D41" i="6"/>
  <c r="H50" i="4" l="1"/>
  <c r="M50" i="4"/>
  <c r="N50" i="4"/>
  <c r="J50" i="4"/>
  <c r="L50" i="4"/>
  <c r="I50" i="4"/>
  <c r="K50" i="4"/>
  <c r="J47" i="8"/>
  <c r="I47" i="8"/>
  <c r="K47" i="8"/>
  <c r="C47" i="15"/>
  <c r="J47" i="15" s="1"/>
  <c r="E47" i="15"/>
  <c r="D48" i="8"/>
  <c r="B48" i="8"/>
  <c r="D41" i="7"/>
  <c r="B41" i="7"/>
  <c r="D42" i="6"/>
  <c r="B42" i="6"/>
  <c r="D51" i="4"/>
  <c r="B51" i="4"/>
  <c r="B51" i="10"/>
  <c r="J51" i="10" s="1"/>
  <c r="D51" i="10"/>
  <c r="H51" i="4" l="1"/>
  <c r="I51" i="4"/>
  <c r="J48" i="8"/>
  <c r="I48" i="8"/>
  <c r="K48" i="8"/>
  <c r="B42" i="7"/>
  <c r="D42" i="7"/>
  <c r="B49" i="8"/>
  <c r="D49" i="8"/>
  <c r="D52" i="10"/>
  <c r="B52" i="10"/>
  <c r="J52" i="10" s="1"/>
  <c r="B43" i="6"/>
  <c r="D43" i="6"/>
  <c r="I49" i="8" l="1"/>
  <c r="J49" i="8"/>
  <c r="K49" i="8"/>
  <c r="D50" i="8"/>
  <c r="B50" i="8"/>
  <c r="B43" i="7"/>
  <c r="D43" i="7"/>
  <c r="D44" i="6"/>
  <c r="B44" i="6"/>
  <c r="B53" i="10"/>
  <c r="J53" i="10" s="1"/>
  <c r="D53" i="10"/>
  <c r="I50" i="8" l="1"/>
  <c r="J50" i="8"/>
  <c r="K50" i="8"/>
  <c r="B44" i="7"/>
  <c r="D44" i="7"/>
  <c r="B51" i="8"/>
  <c r="D51" i="8"/>
  <c r="D54" i="10"/>
  <c r="B54" i="10"/>
  <c r="J54" i="10" s="1"/>
  <c r="D45" i="6"/>
  <c r="B45" i="6"/>
  <c r="I51" i="8" l="1"/>
  <c r="J51" i="8"/>
  <c r="K51" i="8"/>
  <c r="D52" i="8"/>
  <c r="B52" i="8"/>
  <c r="D45" i="7"/>
  <c r="B45" i="7"/>
  <c r="D46" i="6"/>
  <c r="B46" i="6"/>
  <c r="B55" i="10"/>
  <c r="J55" i="10" s="1"/>
  <c r="D55" i="10"/>
  <c r="I52" i="8" l="1"/>
  <c r="J52" i="8"/>
  <c r="K52" i="8"/>
  <c r="D46" i="7"/>
  <c r="B46" i="7"/>
  <c r="B53" i="8"/>
  <c r="D53" i="8"/>
  <c r="D56" i="10"/>
  <c r="B56" i="10"/>
  <c r="J56" i="10" s="1"/>
  <c r="J53" i="8" l="1"/>
  <c r="I53" i="8"/>
  <c r="K53" i="8"/>
  <c r="D54" i="8"/>
  <c r="B54" i="8"/>
  <c r="D47" i="7"/>
  <c r="B47" i="7"/>
  <c r="B57" i="10"/>
  <c r="J57" i="10" s="1"/>
  <c r="D57" i="10"/>
  <c r="J54" i="8" l="1"/>
  <c r="I54" i="8"/>
  <c r="K54" i="8"/>
  <c r="B48" i="7"/>
  <c r="D48" i="7"/>
  <c r="B55" i="8"/>
  <c r="D55" i="8"/>
  <c r="D58" i="10"/>
  <c r="B58" i="10"/>
  <c r="J58" i="10" s="1"/>
  <c r="J55" i="8" l="1"/>
  <c r="I55" i="8"/>
  <c r="K55" i="8"/>
  <c r="B56" i="8"/>
  <c r="D56" i="8"/>
  <c r="D49" i="7"/>
  <c r="B49" i="7"/>
  <c r="D59" i="10"/>
  <c r="B59" i="10"/>
  <c r="J59" i="10" s="1"/>
  <c r="J56" i="8" l="1"/>
  <c r="I56" i="8"/>
  <c r="K56" i="8"/>
  <c r="B57" i="8"/>
  <c r="D57" i="8"/>
  <c r="D51" i="7"/>
  <c r="B51" i="7"/>
  <c r="B60" i="10"/>
  <c r="J60" i="10" s="1"/>
  <c r="D60" i="10"/>
  <c r="I57" i="8" l="1"/>
  <c r="J57" i="8"/>
  <c r="K57" i="8"/>
  <c r="B58" i="8"/>
  <c r="D58" i="8"/>
  <c r="B52" i="7"/>
  <c r="D52" i="7"/>
  <c r="D61" i="10"/>
  <c r="B61" i="10"/>
  <c r="J61" i="10" s="1"/>
  <c r="I58" i="8" l="1"/>
  <c r="J58" i="8"/>
  <c r="K58" i="8"/>
  <c r="D53" i="7"/>
  <c r="B53" i="7"/>
  <c r="D59" i="8"/>
  <c r="B59" i="8"/>
  <c r="B62" i="10"/>
  <c r="J62" i="10" s="1"/>
  <c r="D62" i="10"/>
  <c r="I59" i="8" l="1"/>
  <c r="J59" i="8"/>
  <c r="K59" i="8"/>
  <c r="B60" i="8"/>
  <c r="D60" i="8"/>
  <c r="B54" i="7"/>
  <c r="D54" i="7"/>
  <c r="D63" i="10"/>
  <c r="B63" i="10"/>
  <c r="J63" i="10" s="1"/>
  <c r="I60" i="8" l="1"/>
  <c r="J60" i="8"/>
  <c r="K60" i="8"/>
  <c r="D55" i="7"/>
  <c r="B55" i="7"/>
  <c r="D61" i="8"/>
  <c r="B61" i="8"/>
  <c r="B64" i="10"/>
  <c r="J64" i="10" s="1"/>
  <c r="D64" i="10"/>
  <c r="J61" i="8" l="1"/>
  <c r="I61" i="8"/>
  <c r="K61" i="8"/>
  <c r="D62" i="8"/>
  <c r="B62" i="8"/>
  <c r="B56" i="7"/>
  <c r="D56" i="7"/>
  <c r="D65" i="10"/>
  <c r="B65" i="10"/>
  <c r="J65" i="10" s="1"/>
  <c r="J62" i="8" l="1"/>
  <c r="I62" i="8"/>
  <c r="K62" i="8"/>
  <c r="D57" i="7"/>
  <c r="B57" i="7"/>
  <c r="D63" i="8"/>
  <c r="B63" i="8"/>
  <c r="B66" i="10"/>
  <c r="J66" i="10" s="1"/>
  <c r="D66" i="10"/>
  <c r="J63" i="8" l="1"/>
  <c r="I63" i="8"/>
  <c r="K63" i="8"/>
  <c r="D64" i="8"/>
  <c r="B64" i="8"/>
  <c r="D67" i="10"/>
  <c r="B67" i="10"/>
  <c r="J67" i="10" s="1"/>
  <c r="J64" i="8" l="1"/>
  <c r="I64" i="8"/>
  <c r="K64" i="8"/>
  <c r="D65" i="8"/>
  <c r="B65" i="8"/>
  <c r="B68" i="10"/>
  <c r="J68" i="10" s="1"/>
  <c r="D68" i="10"/>
  <c r="I65" i="8" l="1"/>
  <c r="J65" i="8"/>
  <c r="K65" i="8"/>
  <c r="D66" i="8"/>
  <c r="B66" i="8"/>
  <c r="D69" i="10"/>
  <c r="B69" i="10"/>
  <c r="J69" i="10" s="1"/>
  <c r="I66" i="8" l="1"/>
  <c r="J66" i="8"/>
  <c r="K66" i="8"/>
  <c r="B67" i="8"/>
  <c r="D67" i="8"/>
  <c r="B70" i="10"/>
  <c r="J70" i="10" s="1"/>
  <c r="D70" i="10"/>
  <c r="I67" i="8" l="1"/>
  <c r="J67" i="8"/>
  <c r="K67" i="8"/>
  <c r="B68" i="8"/>
  <c r="D68" i="8"/>
  <c r="D71" i="10"/>
  <c r="B71" i="10"/>
  <c r="J71" i="10" s="1"/>
  <c r="I68" i="8" l="1"/>
  <c r="J68" i="8"/>
  <c r="K68" i="8"/>
  <c r="B69" i="8"/>
  <c r="D69" i="8"/>
  <c r="D72" i="10"/>
  <c r="B72" i="10"/>
  <c r="J72" i="10" s="1"/>
  <c r="J69" i="8" l="1"/>
  <c r="I69" i="8"/>
  <c r="K69" i="8"/>
  <c r="B70" i="8"/>
  <c r="D70" i="8"/>
  <c r="B73" i="10"/>
  <c r="J73" i="10" s="1"/>
  <c r="D73" i="10"/>
  <c r="J70" i="8" l="1"/>
  <c r="I70" i="8"/>
  <c r="K70" i="8"/>
  <c r="B71" i="8"/>
  <c r="D71" i="8"/>
  <c r="D74" i="10"/>
  <c r="B74" i="10"/>
  <c r="J74" i="10" s="1"/>
  <c r="J71" i="8" l="1"/>
  <c r="I71" i="8"/>
  <c r="K71" i="8"/>
  <c r="B72" i="8"/>
  <c r="D72" i="8"/>
  <c r="B75" i="10"/>
  <c r="J75" i="10" s="1"/>
  <c r="D75" i="10"/>
  <c r="J72" i="8" l="1"/>
  <c r="I72" i="8"/>
  <c r="K72" i="8"/>
  <c r="B73" i="8"/>
  <c r="D73" i="8"/>
  <c r="D76" i="10"/>
  <c r="B76" i="10"/>
  <c r="J76" i="10" s="1"/>
  <c r="I73" i="8" l="1"/>
  <c r="J73" i="8"/>
  <c r="K73" i="8"/>
  <c r="D74" i="8"/>
  <c r="B74" i="8"/>
  <c r="B77" i="10"/>
  <c r="J77" i="10" s="1"/>
  <c r="D77" i="10"/>
  <c r="I74" i="8" l="1"/>
  <c r="J74" i="8"/>
  <c r="K74" i="8"/>
  <c r="D75" i="8"/>
  <c r="B75" i="8"/>
  <c r="D78" i="10"/>
  <c r="B78" i="10"/>
  <c r="J78" i="10" s="1"/>
  <c r="I75" i="8" l="1"/>
  <c r="J75" i="8"/>
  <c r="K75" i="8"/>
  <c r="D76" i="8"/>
  <c r="B76" i="8"/>
  <c r="B79" i="10"/>
  <c r="J79" i="10" s="1"/>
  <c r="D79" i="10"/>
  <c r="I76" i="8" l="1"/>
  <c r="J76" i="8"/>
  <c r="K76" i="8"/>
  <c r="D77" i="8"/>
  <c r="B77" i="8"/>
  <c r="D80" i="10"/>
  <c r="B80" i="10"/>
  <c r="J80" i="10" s="1"/>
  <c r="J77" i="8" l="1"/>
  <c r="I77" i="8"/>
  <c r="K77" i="8"/>
  <c r="D78" i="8"/>
  <c r="B78" i="8"/>
  <c r="B81" i="10"/>
  <c r="J81" i="10" s="1"/>
  <c r="D81" i="10"/>
  <c r="J78" i="8" l="1"/>
  <c r="I78" i="8"/>
  <c r="K78" i="8"/>
  <c r="D79" i="8"/>
  <c r="B79" i="8"/>
  <c r="D82" i="10"/>
  <c r="B82" i="10"/>
  <c r="J82" i="10" s="1"/>
  <c r="J79" i="8" l="1"/>
  <c r="I79" i="8"/>
  <c r="K79" i="8"/>
  <c r="D80" i="8"/>
  <c r="B80" i="8"/>
  <c r="B83" i="10"/>
  <c r="J83" i="10" s="1"/>
  <c r="D83" i="10"/>
  <c r="J80" i="8" l="1"/>
  <c r="I80" i="8"/>
  <c r="K80" i="8"/>
  <c r="D81" i="8"/>
  <c r="B81" i="8"/>
  <c r="D84" i="10"/>
  <c r="B84" i="10"/>
  <c r="J84" i="10" s="1"/>
  <c r="I81" i="8" l="1"/>
  <c r="J81" i="8"/>
  <c r="K81" i="8"/>
  <c r="D82" i="8"/>
  <c r="B82" i="8"/>
  <c r="B85" i="10"/>
  <c r="J85" i="10" s="1"/>
  <c r="D85" i="10"/>
  <c r="I82" i="8" l="1"/>
  <c r="J82" i="8"/>
  <c r="K82" i="8"/>
  <c r="D83" i="8"/>
  <c r="B83" i="8"/>
  <c r="D86" i="10"/>
  <c r="B86" i="10"/>
  <c r="J86" i="10" s="1"/>
  <c r="I83" i="8" l="1"/>
  <c r="J83" i="8"/>
  <c r="K83" i="8"/>
  <c r="D84" i="8"/>
  <c r="B84" i="8"/>
  <c r="B87" i="10"/>
  <c r="J87" i="10" s="1"/>
  <c r="D87" i="10"/>
  <c r="I84" i="8" l="1"/>
  <c r="J84" i="8"/>
  <c r="K84" i="8"/>
  <c r="D85" i="8"/>
  <c r="B85" i="8"/>
  <c r="D88" i="10"/>
  <c r="B88" i="10"/>
  <c r="J88" i="10" s="1"/>
  <c r="J85" i="8" l="1"/>
  <c r="I85" i="8"/>
  <c r="K85" i="8"/>
  <c r="D86" i="8"/>
  <c r="B86" i="8"/>
  <c r="B89" i="10"/>
  <c r="J89" i="10" s="1"/>
  <c r="D89" i="10"/>
  <c r="J86" i="8" l="1"/>
  <c r="I86" i="8"/>
  <c r="K86" i="8"/>
  <c r="D87" i="8"/>
  <c r="B87" i="8"/>
  <c r="D90" i="10"/>
  <c r="B90" i="10"/>
  <c r="J90" i="10" s="1"/>
  <c r="J87" i="8" l="1"/>
  <c r="I87" i="8"/>
  <c r="K87" i="8"/>
  <c r="D88" i="8"/>
  <c r="B88" i="8"/>
  <c r="B91" i="10"/>
  <c r="J91" i="10" s="1"/>
  <c r="D91" i="10"/>
  <c r="J88" i="8" l="1"/>
  <c r="I88" i="8"/>
  <c r="K88" i="8"/>
  <c r="B89" i="8"/>
  <c r="D89" i="8"/>
  <c r="B92" i="10"/>
  <c r="J92" i="10" s="1"/>
  <c r="D92" i="10"/>
  <c r="I89" i="8" l="1"/>
  <c r="J89" i="8"/>
  <c r="K89" i="8"/>
  <c r="D90" i="8"/>
  <c r="B90" i="8"/>
  <c r="I90" i="8" l="1"/>
  <c r="J90" i="8"/>
  <c r="K90" i="8"/>
  <c r="D91" i="8"/>
  <c r="B91" i="8"/>
  <c r="I91" i="8" l="1"/>
  <c r="J91" i="8"/>
  <c r="K91" i="8"/>
  <c r="D92" i="8"/>
  <c r="B92" i="8"/>
  <c r="I92" i="8" l="1"/>
  <c r="J92" i="8"/>
  <c r="K92" i="8"/>
  <c r="D93" i="8"/>
  <c r="B93" i="8"/>
  <c r="J93" i="8" l="1"/>
  <c r="I93" i="8"/>
  <c r="K93" i="8"/>
  <c r="B94" i="8"/>
  <c r="D94" i="8"/>
  <c r="J94" i="8" l="1"/>
  <c r="I94" i="8"/>
  <c r="K94" i="8"/>
  <c r="D95" i="8"/>
  <c r="B95" i="8"/>
  <c r="J95" i="8" l="1"/>
  <c r="I95" i="8"/>
  <c r="K95" i="8"/>
  <c r="D96" i="8"/>
  <c r="B96" i="8"/>
  <c r="J96" i="8" l="1"/>
  <c r="I96" i="8"/>
  <c r="K96" i="8"/>
  <c r="B97" i="8"/>
  <c r="D97" i="8"/>
  <c r="I97" i="8" l="1"/>
  <c r="J97" i="8"/>
  <c r="K97" i="8"/>
  <c r="D98" i="8"/>
  <c r="B98" i="8"/>
  <c r="I98" i="8" l="1"/>
  <c r="J98" i="8"/>
  <c r="K98" i="8"/>
  <c r="B99" i="8"/>
  <c r="D99" i="8"/>
  <c r="I99" i="8" l="1"/>
  <c r="J99" i="8"/>
  <c r="K99" i="8"/>
  <c r="D100" i="8"/>
  <c r="B100" i="8"/>
  <c r="I100" i="8" l="1"/>
  <c r="J100" i="8"/>
  <c r="K100" i="8"/>
  <c r="B101" i="8"/>
  <c r="D101" i="8"/>
  <c r="J101" i="8" l="1"/>
  <c r="I101" i="8"/>
  <c r="K101" i="8"/>
  <c r="D102" i="8"/>
  <c r="B102" i="8"/>
  <c r="J102" i="8" l="1"/>
  <c r="I102" i="8"/>
  <c r="K102" i="8"/>
  <c r="D103" i="8"/>
  <c r="B103" i="8"/>
  <c r="J103" i="8" l="1"/>
  <c r="I103" i="8"/>
  <c r="K103" i="8"/>
  <c r="D104" i="8"/>
  <c r="B104" i="8"/>
  <c r="J104" i="8" l="1"/>
  <c r="I104" i="8"/>
  <c r="K104" i="8"/>
  <c r="B105" i="8"/>
  <c r="D105" i="8"/>
  <c r="I105" i="8" l="1"/>
  <c r="J105" i="8"/>
  <c r="K105" i="8"/>
  <c r="D106" i="8"/>
  <c r="B106" i="8"/>
  <c r="I106" i="8" l="1"/>
  <c r="J106" i="8"/>
  <c r="K106" i="8"/>
  <c r="B107" i="8"/>
  <c r="D107" i="8"/>
  <c r="I107" i="8" l="1"/>
  <c r="J107" i="8"/>
  <c r="K107" i="8"/>
  <c r="D108" i="8"/>
  <c r="B108" i="8"/>
  <c r="I108" i="8" l="1"/>
  <c r="J108" i="8"/>
  <c r="K108" i="8"/>
  <c r="B109" i="8"/>
  <c r="D109" i="8"/>
  <c r="J109" i="8" l="1"/>
  <c r="I109" i="8"/>
  <c r="K109" i="8"/>
  <c r="D110" i="8"/>
  <c r="B110" i="8"/>
  <c r="J110" i="8" l="1"/>
  <c r="I110" i="8"/>
  <c r="K110" i="8"/>
  <c r="B111" i="8"/>
  <c r="D111" i="8"/>
  <c r="J111" i="8" l="1"/>
  <c r="I111" i="8"/>
  <c r="K111" i="8"/>
  <c r="D112" i="8"/>
  <c r="B112" i="8"/>
  <c r="J112" i="8" l="1"/>
  <c r="I112" i="8"/>
  <c r="K112" i="8"/>
  <c r="B113" i="8"/>
  <c r="D113" i="8"/>
  <c r="I113" i="8" l="1"/>
  <c r="J113" i="8"/>
  <c r="K113" i="8"/>
  <c r="D114" i="8"/>
  <c r="B114" i="8"/>
  <c r="I114" i="8" l="1"/>
  <c r="J114" i="8"/>
  <c r="K114" i="8"/>
  <c r="B115" i="8"/>
  <c r="D115" i="8"/>
  <c r="I115" i="8" l="1"/>
  <c r="J115" i="8"/>
  <c r="K115" i="8"/>
  <c r="D116" i="8"/>
  <c r="B116" i="8"/>
  <c r="I116" i="8" l="1"/>
  <c r="J116" i="8"/>
  <c r="K116" i="8"/>
  <c r="B117" i="8"/>
  <c r="D117" i="8"/>
  <c r="J117" i="8" l="1"/>
  <c r="I117" i="8"/>
  <c r="K117" i="8"/>
  <c r="D118" i="8"/>
  <c r="B118" i="8"/>
  <c r="J118" i="8" l="1"/>
  <c r="I118" i="8"/>
  <c r="K118" i="8"/>
</calcChain>
</file>

<file path=xl/comments1.xml><?xml version="1.0" encoding="utf-8"?>
<comments xmlns="http://schemas.openxmlformats.org/spreadsheetml/2006/main">
  <authors>
    <author>MARIO MATTA DURAND</author>
  </authors>
  <commentList>
    <comment ref="E27" authorId="0" shapeId="0">
      <text>
        <r>
          <rPr>
            <b/>
            <sz val="8"/>
            <color indexed="81"/>
            <rFont val="Tahoma"/>
            <family val="2"/>
          </rPr>
          <t>CHGACTaammdd.txt
CRGDEBaammdd.txt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MC0098</author>
  </authors>
  <commentList>
    <comment ref="G32" authorId="0" shapeId="0">
      <text>
        <r>
          <rPr>
            <b/>
            <sz val="8"/>
            <color indexed="81"/>
            <rFont val="Tahoma"/>
            <family val="2"/>
          </rPr>
          <t>MC0098:</t>
        </r>
        <r>
          <rPr>
            <sz val="8"/>
            <color indexed="81"/>
            <rFont val="Tahoma"/>
            <family val="2"/>
          </rPr>
          <t xml:space="preserve">
A Activo
B Conversión de Fraude
C Conversio
D durmiente
8 Cerrado
</t>
        </r>
      </text>
    </comment>
  </commentList>
</comments>
</file>

<file path=xl/sharedStrings.xml><?xml version="1.0" encoding="utf-8"?>
<sst xmlns="http://schemas.openxmlformats.org/spreadsheetml/2006/main" count="5658" uniqueCount="1544">
  <si>
    <t>DISEÑO DE REGISTROS</t>
  </si>
  <si>
    <t xml:space="preserve"> </t>
  </si>
  <si>
    <t>HEADER</t>
  </si>
  <si>
    <t>Longitud</t>
  </si>
  <si>
    <t>Bytes</t>
  </si>
  <si>
    <t>Campo</t>
  </si>
  <si>
    <t>Tamaño</t>
  </si>
  <si>
    <t>Tipo</t>
  </si>
  <si>
    <t>CONTENIDO</t>
  </si>
  <si>
    <t>Tipo de Registro "A"</t>
  </si>
  <si>
    <t>DATA</t>
  </si>
  <si>
    <t xml:space="preserve">LONGITUD DE REGISTRO : </t>
  </si>
  <si>
    <t>Posición inicial</t>
  </si>
  <si>
    <t>FRECUENCIA</t>
  </si>
  <si>
    <t>RELACIONADOR DE CUENTA - TARJETA</t>
  </si>
  <si>
    <t>Secuencia de la tarjeta - siempre 0001</t>
  </si>
  <si>
    <t>Estatus - uso interno</t>
  </si>
  <si>
    <t>FUNCION</t>
  </si>
  <si>
    <t>ES UN TABLA DE REFERENCIA DE TODAS LAS TARJETAS ASOCIADAS A UNA CUENTA</t>
  </si>
  <si>
    <t>NOMBRE</t>
  </si>
  <si>
    <t>AMAX</t>
  </si>
  <si>
    <t>XXFS1005</t>
  </si>
  <si>
    <t>XX : Lo define el procesador</t>
  </si>
  <si>
    <t>Usuario del cambio</t>
  </si>
  <si>
    <t>Fecha de Cambio</t>
  </si>
  <si>
    <t>Fecha de Proceso</t>
  </si>
  <si>
    <t>Hora de Cambio</t>
  </si>
  <si>
    <t>Nombre del Cliente</t>
  </si>
  <si>
    <t>Uso Futuro</t>
  </si>
  <si>
    <t>Formato</t>
  </si>
  <si>
    <t>AAAAMMDD</t>
  </si>
  <si>
    <t>XXFW4055</t>
  </si>
  <si>
    <t>DIARIA</t>
  </si>
  <si>
    <t>ES UNA TABLA DE TODOS LOS MOVIMIENTOS PROCESADOS DEL BATCH</t>
  </si>
  <si>
    <t>Tipo de registro</t>
  </si>
  <si>
    <t>M</t>
  </si>
  <si>
    <t>Tipo de movimiento</t>
  </si>
  <si>
    <t>Importe</t>
  </si>
  <si>
    <t>al final dos decimales</t>
  </si>
  <si>
    <t>Fecha de proceso</t>
  </si>
  <si>
    <t>Reservado</t>
  </si>
  <si>
    <t>Identificador de origen - Define el emisor</t>
  </si>
  <si>
    <t>Giro de negocio - Lo definido por las marcas (MCC)</t>
  </si>
  <si>
    <t>MOVIMIENTOS PROCESADOS</t>
  </si>
  <si>
    <t>LOG CONTABLE</t>
  </si>
  <si>
    <t>XXFW2202</t>
  </si>
  <si>
    <t>ES UNA TABLA DE TODOS LOS MOVIMIENTOS PROCESADOS DEL BATCH CON DATOS ADICIONALES</t>
  </si>
  <si>
    <t>HHMMSS</t>
  </si>
  <si>
    <t>Tipo de registro "1"</t>
  </si>
  <si>
    <t>Numero de cuenta</t>
  </si>
  <si>
    <t>Numero de tarjeta</t>
  </si>
  <si>
    <t xml:space="preserve">Tipo de Cambio </t>
  </si>
  <si>
    <t>Importe del Cambio</t>
  </si>
  <si>
    <t>Cuenta de cargo en cuenta</t>
  </si>
  <si>
    <t>Importe original sin ITF</t>
  </si>
  <si>
    <t>Final de archivo</t>
  </si>
  <si>
    <t>01'</t>
  </si>
  <si>
    <t>*</t>
  </si>
  <si>
    <t>TABLA DE CALIFICACIONES DE LOS CLIENTES</t>
  </si>
  <si>
    <t>XXFW5002</t>
  </si>
  <si>
    <t>DIRECCIONES A NIVEL TARJETA</t>
  </si>
  <si>
    <t>CONTIENE INFORMACION DE TODAS LAS DIRECCIONES A NIVEL TARJETA</t>
  </si>
  <si>
    <t>Apellido paterno</t>
  </si>
  <si>
    <t>Apellido materno</t>
  </si>
  <si>
    <t>APELLIDO PATERNO</t>
  </si>
  <si>
    <t>APELLIDO MATERNO</t>
  </si>
  <si>
    <t>APELLIDO DE CASADA</t>
  </si>
  <si>
    <t>PRIMER NOMBRE</t>
  </si>
  <si>
    <t>SEGUNDO NOMBRE</t>
  </si>
  <si>
    <t>ESTADO CIVIL</t>
  </si>
  <si>
    <t>NUMERO</t>
  </si>
  <si>
    <t>NUMERO DE DEPARTAMENTO</t>
  </si>
  <si>
    <t>NUMERO DE OFICINA</t>
  </si>
  <si>
    <t>NUMERO DE PISO</t>
  </si>
  <si>
    <t>NUMERO DE INTERIOR</t>
  </si>
  <si>
    <t>NUMERO DE SECTOR</t>
  </si>
  <si>
    <t>TIPO DE ZONA</t>
  </si>
  <si>
    <t>NOMBRE DE LA ZONA</t>
  </si>
  <si>
    <t>REFERENCIA</t>
  </si>
  <si>
    <t>COD.UBIGEO DE LA DIRECC</t>
  </si>
  <si>
    <t>COD.POSTAL DE LA DIRECC</t>
  </si>
  <si>
    <t>COD.PROMOCION DE TARJETA</t>
  </si>
  <si>
    <t>1  Dir domicilio / 2 Dir Trabajo / 3 Dir Opcional</t>
  </si>
  <si>
    <t>NUMERO DE TARJETA</t>
  </si>
  <si>
    <t>CON 3 CEROS INICIALES</t>
  </si>
  <si>
    <t>USO FUTURO</t>
  </si>
  <si>
    <t>SEXO</t>
  </si>
  <si>
    <t>S  / C</t>
  </si>
  <si>
    <t>FIN DE ARCHIVO</t>
  </si>
  <si>
    <t>Nombre opcional 1 para entregar tarjeta</t>
  </si>
  <si>
    <t>Nombre opcional 2 para entregar tarjeta</t>
  </si>
  <si>
    <t>RESERVADO USO FUTURO</t>
  </si>
  <si>
    <t>DIRECCIONES A NIVEL CUENTA</t>
  </si>
  <si>
    <t>CONTIENE INFORMACION DE TODAS LAS DIRECCIONES A NIVEL CUENTA</t>
  </si>
  <si>
    <t>NUMERO DE CUENTA</t>
  </si>
  <si>
    <t>EMAIL DE TRABAJO</t>
  </si>
  <si>
    <t>1 - DIR. CASA / 2 DIR TRABAJO</t>
  </si>
  <si>
    <t>TABLA DE CUENTAS</t>
  </si>
  <si>
    <t>XXFM5001</t>
  </si>
  <si>
    <t>Moneda</t>
  </si>
  <si>
    <t>Logo</t>
  </si>
  <si>
    <t>Tarjeta 1 - Nro</t>
  </si>
  <si>
    <t>Tarjeta 1 - F-Vcto</t>
  </si>
  <si>
    <t>Tarjeta 1 - F-Actv</t>
  </si>
  <si>
    <t>T=Titular A=Adicional</t>
  </si>
  <si>
    <t>Tarjeta 2 - Nro</t>
  </si>
  <si>
    <t>Tarjeta 2 - F-Emisio</t>
  </si>
  <si>
    <t>Tarjeta 2 - F-Vcto</t>
  </si>
  <si>
    <t>Tarjeta 2 - F-Actv</t>
  </si>
  <si>
    <t>Tarjeta 3 - Nro</t>
  </si>
  <si>
    <t>Tarjeta 3 - F-Emisio</t>
  </si>
  <si>
    <t>Tarjeta 3 - F-Vcto</t>
  </si>
  <si>
    <t>Tarjeta 3 - F-Actv</t>
  </si>
  <si>
    <t>Tarjeta 4 - Nro</t>
  </si>
  <si>
    <t>Tarjeta 4 - F-Emisio</t>
  </si>
  <si>
    <t>Tarjeta 4 - F-Vcto</t>
  </si>
  <si>
    <t>Tarjeta 4 - F-Actv</t>
  </si>
  <si>
    <t>Tarjeta 5 - Nro</t>
  </si>
  <si>
    <t>Tarjeta 5 - F-Emisio</t>
  </si>
  <si>
    <t>Tarjeta 5 - F-Vcto</t>
  </si>
  <si>
    <t>Tarjeta 5 - F-Actv</t>
  </si>
  <si>
    <t>Ciclo de Morosidad</t>
  </si>
  <si>
    <t>Ptos Saldo Anterior</t>
  </si>
  <si>
    <t>Ptos Ganados en Cicl</t>
  </si>
  <si>
    <t>Ptos Usados en ciclo</t>
  </si>
  <si>
    <t>Numero de registros</t>
  </si>
  <si>
    <t>Organización de cuenta origen</t>
  </si>
  <si>
    <t>Usado para cambio de producto</t>
  </si>
  <si>
    <t>Ver detalle de estados</t>
  </si>
  <si>
    <t>Estatus actual de la cuenta</t>
  </si>
  <si>
    <t>Estatus interno - Usado por el sistema</t>
  </si>
  <si>
    <t xml:space="preserve">Estatus de Charge Off - </t>
  </si>
  <si>
    <t>Uso futuro</t>
  </si>
  <si>
    <t>Bloqueo 1 de la cuenta</t>
  </si>
  <si>
    <t>bloqueo 2 de la cuenta</t>
  </si>
  <si>
    <t>Fecha de apertura</t>
  </si>
  <si>
    <t>Fecha de bloqueo 1</t>
  </si>
  <si>
    <t>Fecha de bloqueo 2</t>
  </si>
  <si>
    <t>Fecha de cierre de la cuenta</t>
  </si>
  <si>
    <t>Fecha de ingreso a charge off</t>
  </si>
  <si>
    <t>Fecha de vencimiento de pago</t>
  </si>
  <si>
    <t>Fecha de ultimo cargo</t>
  </si>
  <si>
    <t>Fecha de ultimo mantenimiento</t>
  </si>
  <si>
    <t>Fecha de nacimiento</t>
  </si>
  <si>
    <t>+ o -</t>
  </si>
  <si>
    <t>Pago del mes facturado</t>
  </si>
  <si>
    <t>Signo del pago mes facturado</t>
  </si>
  <si>
    <t>Pago del mes vigente</t>
  </si>
  <si>
    <t>Signo del pago mes vigente</t>
  </si>
  <si>
    <t>Saldo procesado</t>
  </si>
  <si>
    <t>Signo del saldo procesado</t>
  </si>
  <si>
    <t>Disponible para compras</t>
  </si>
  <si>
    <t>Signo del disponible para compras</t>
  </si>
  <si>
    <t>Monto de ultimo debito</t>
  </si>
  <si>
    <t>Signo del monto del ultimo debito</t>
  </si>
  <si>
    <t>Monto de la ultima compra</t>
  </si>
  <si>
    <t>signo del monto de la ultima compra</t>
  </si>
  <si>
    <t>Disponible para retiro de efectivo</t>
  </si>
  <si>
    <t>Signo del disponible para efectivo</t>
  </si>
  <si>
    <t>Saldo de efectivo</t>
  </si>
  <si>
    <t>signo del saldo de efectivo</t>
  </si>
  <si>
    <t>Numero de plan para compras en revolving</t>
  </si>
  <si>
    <t>Numero de plan para efectivo en revolving</t>
  </si>
  <si>
    <t>Numero de plan para seguros</t>
  </si>
  <si>
    <t>Signo Saldo Anterior</t>
  </si>
  <si>
    <t>Signo Puntos Ganados</t>
  </si>
  <si>
    <t>Signo Puntos Utilizados en mes</t>
  </si>
  <si>
    <t>Signo de puntos disponibles</t>
  </si>
  <si>
    <t>aaaammdd</t>
  </si>
  <si>
    <t>CLIENTES</t>
  </si>
  <si>
    <t>XXFM5002</t>
  </si>
  <si>
    <t>TABLA DE TODOS LOS CLIENTES</t>
  </si>
  <si>
    <t>organización</t>
  </si>
  <si>
    <t>Estado del cliente</t>
  </si>
  <si>
    <t>Nombre de la empresa donde labora</t>
  </si>
  <si>
    <t>Nombres</t>
  </si>
  <si>
    <t>Ciudad</t>
  </si>
  <si>
    <t>SALDOS POR PLAN</t>
  </si>
  <si>
    <t>XXFM5003</t>
  </si>
  <si>
    <t>Pagos a Cap. Ultimo</t>
  </si>
  <si>
    <t>Pagos Total Req.Mes</t>
  </si>
  <si>
    <t>Organización</t>
  </si>
  <si>
    <t>Secuencia del plan</t>
  </si>
  <si>
    <t>Tipo de plan</t>
  </si>
  <si>
    <t>R revolving S especial</t>
  </si>
  <si>
    <t>Numero de plan</t>
  </si>
  <si>
    <t>Fecha de apertura del plan</t>
  </si>
  <si>
    <t>uso futuro</t>
  </si>
  <si>
    <t>signo de debitos del plan del ciclo</t>
  </si>
  <si>
    <t>Debitos del plan en el  ciclo</t>
  </si>
  <si>
    <t xml:space="preserve">Capital </t>
  </si>
  <si>
    <t>signo del capital</t>
  </si>
  <si>
    <t>intereses</t>
  </si>
  <si>
    <t>servicios</t>
  </si>
  <si>
    <t>Capital  echado a perdida</t>
  </si>
  <si>
    <t>signo de capital echado a perdida</t>
  </si>
  <si>
    <t>seguros echado a perdida</t>
  </si>
  <si>
    <t>cobranzas echado a perdida</t>
  </si>
  <si>
    <t>reservado para uso futuro</t>
  </si>
  <si>
    <t>saldo</t>
  </si>
  <si>
    <t xml:space="preserve">Signo del saldo </t>
  </si>
  <si>
    <t>tipo de tasa</t>
  </si>
  <si>
    <t>F . Fija</t>
  </si>
  <si>
    <t>7 decimales</t>
  </si>
  <si>
    <t>Tasa TNA</t>
  </si>
  <si>
    <t>Tasa TNA1</t>
  </si>
  <si>
    <t>Pago del mes</t>
  </si>
  <si>
    <t>Saldo mas alto del  plan</t>
  </si>
  <si>
    <t>Pago fijo</t>
  </si>
  <si>
    <t>Fecha de ultimo pago</t>
  </si>
  <si>
    <t>Monto de ultimo pago</t>
  </si>
  <si>
    <t>Capital facturado</t>
  </si>
  <si>
    <t>signo del capital facturado</t>
  </si>
  <si>
    <t>signo de pagos a Cap. Ultimo</t>
  </si>
  <si>
    <t>Signo de pagos req del mes</t>
  </si>
  <si>
    <t>2 decimales</t>
  </si>
  <si>
    <t>4 decimales</t>
  </si>
  <si>
    <t>Posición final</t>
  </si>
  <si>
    <t>Fecha de Creación</t>
  </si>
  <si>
    <t>Código de organización del emisor. Lo define el procesador</t>
  </si>
  <si>
    <t>Número de cuenta</t>
  </si>
  <si>
    <t>Número de tarjeta</t>
  </si>
  <si>
    <t>Línea de crédito anterior</t>
  </si>
  <si>
    <t>Línea de crédito posterior</t>
  </si>
  <si>
    <t>Observación - Uso futuro</t>
  </si>
  <si>
    <t>D debito C Crédito</t>
  </si>
  <si>
    <t>Código de plan de financiamiento</t>
  </si>
  <si>
    <t>Código de transacción</t>
  </si>
  <si>
    <t>Descripción de la transacción</t>
  </si>
  <si>
    <t>604 Soles / 840 dólares</t>
  </si>
  <si>
    <t>Código de moneda</t>
  </si>
  <si>
    <t>Fecha de transacción</t>
  </si>
  <si>
    <t>Código de autorización</t>
  </si>
  <si>
    <t>0000 Soles / 0001 dólares</t>
  </si>
  <si>
    <t>Código de moneda de la cuenta</t>
  </si>
  <si>
    <t>Clase de transacción</t>
  </si>
  <si>
    <t>los dos últimos son los decimales</t>
  </si>
  <si>
    <t>Importe de la transacción</t>
  </si>
  <si>
    <t>moneda de la transacción</t>
  </si>
  <si>
    <t>Oficina de la transacción</t>
  </si>
  <si>
    <t>1 Debito / 2 Crédito</t>
  </si>
  <si>
    <t>Tipo de la transacción</t>
  </si>
  <si>
    <t>Modulo de lógica</t>
  </si>
  <si>
    <t>Origen de la transacción - Lo define el emisor , ejemplo transacción de sus tiendas</t>
  </si>
  <si>
    <t>Código del plan</t>
  </si>
  <si>
    <t>Código de transacción origen (usado para ITF)</t>
  </si>
  <si>
    <t>604 Soles  840 dólares</t>
  </si>
  <si>
    <t>Fecha de inicio de calculo de interés</t>
  </si>
  <si>
    <t>Fecha de acumulación de interés</t>
  </si>
  <si>
    <t>Saldo inicial de la facturación</t>
  </si>
  <si>
    <t>Signo del saldo inicial de la facturación</t>
  </si>
  <si>
    <t>Créditos del plan  en el ciclo</t>
  </si>
  <si>
    <t>signo de crédito del plan en el ciclo</t>
  </si>
  <si>
    <t>comisión por morosidad</t>
  </si>
  <si>
    <t>comisión por membresía</t>
  </si>
  <si>
    <t>comisión por sobregiro</t>
  </si>
  <si>
    <t>comisión por seguros</t>
  </si>
  <si>
    <t>comisión por recuperación</t>
  </si>
  <si>
    <t>comisión por cobranzas</t>
  </si>
  <si>
    <t>comisión por cheques rechazados</t>
  </si>
  <si>
    <t>interés echado a perdida</t>
  </si>
  <si>
    <t>servicios echado a perdida</t>
  </si>
  <si>
    <t>comisión de morosidad echado a perdida</t>
  </si>
  <si>
    <t>membresía echado a perdida</t>
  </si>
  <si>
    <t>sobregiro echado a perdidas</t>
  </si>
  <si>
    <t>recuperación echado a perdida</t>
  </si>
  <si>
    <t>comisión de cheques devuelto echado a perdida</t>
  </si>
  <si>
    <t>interés acumulado</t>
  </si>
  <si>
    <t>interés por día</t>
  </si>
  <si>
    <t>interés calculado en el ultimo estado de cuenta</t>
  </si>
  <si>
    <t>interés diferido</t>
  </si>
  <si>
    <t>Ultimo pago requerido</t>
  </si>
  <si>
    <t>Código de calificación del cliente</t>
  </si>
  <si>
    <t>Días de Mora</t>
  </si>
  <si>
    <t>FUNCIÓN</t>
  </si>
  <si>
    <t>Hora de creación</t>
  </si>
  <si>
    <t>Teléfono de la casa</t>
  </si>
  <si>
    <t>Teléfono de  trabajo</t>
  </si>
  <si>
    <t>Dirección 1</t>
  </si>
  <si>
    <t>Dirección 2</t>
  </si>
  <si>
    <t>Código del cliente en el sistema emisor</t>
  </si>
  <si>
    <t>código de funcionario</t>
  </si>
  <si>
    <t>código de profesión</t>
  </si>
  <si>
    <t>604 soles 840  dólares</t>
  </si>
  <si>
    <t>Calificación del cliente</t>
  </si>
  <si>
    <t>Logo de cuenta origen</t>
  </si>
  <si>
    <t>Cuenta origen</t>
  </si>
  <si>
    <t>Día de facturación</t>
  </si>
  <si>
    <t>Fecha de cobro de membresía</t>
  </si>
  <si>
    <t>Fecha hasta donde acumulo interés</t>
  </si>
  <si>
    <t>Ultima fecha de facturación</t>
  </si>
  <si>
    <t>Fecha de últimos crédito</t>
  </si>
  <si>
    <t>Fecha de expiración mas futuro</t>
  </si>
  <si>
    <t>Línea de crédito</t>
  </si>
  <si>
    <t>Signo de la línea de crédito</t>
  </si>
  <si>
    <t>Morosidad de 0 a 29 días</t>
  </si>
  <si>
    <t>Morosidad de 30 a 59 días</t>
  </si>
  <si>
    <t>Morosidad de 60 a 89 días</t>
  </si>
  <si>
    <t>Morosidad de 90 a 119 días</t>
  </si>
  <si>
    <t>Morosidad de 120 a 149 días</t>
  </si>
  <si>
    <t>Morosidad de 150 a 179 días</t>
  </si>
  <si>
    <t>Morosidad de 180 a 209 días</t>
  </si>
  <si>
    <t>Morosidad mas de 210 días</t>
  </si>
  <si>
    <t>Línea de efectivo</t>
  </si>
  <si>
    <t>signo de línea de efectivo</t>
  </si>
  <si>
    <t>días de Mora</t>
  </si>
  <si>
    <t>Tarjeta 1 - F-Emisión</t>
  </si>
  <si>
    <t>Ptos Saldo Disponible</t>
  </si>
  <si>
    <t>Activación</t>
  </si>
  <si>
    <t>DECISIÓN DEL EMISOR</t>
  </si>
  <si>
    <t xml:space="preserve">   Dirección de Casa</t>
  </si>
  <si>
    <t>TIPO DE VÍA</t>
  </si>
  <si>
    <t>NOMBRE DE LA VÍA</t>
  </si>
  <si>
    <t>CÓDIGO DE MANZANA</t>
  </si>
  <si>
    <t>CÓDIGO DE LOTE</t>
  </si>
  <si>
    <t>NUMERO DE KILÓMETRO</t>
  </si>
  <si>
    <t>DIRECCIÓN CONCATENADA</t>
  </si>
  <si>
    <t xml:space="preserve">   Dirección de Domicilio</t>
  </si>
  <si>
    <t>CÓDIGO DONDE SE ENVÍA EECTA</t>
  </si>
  <si>
    <t>EMAIL DE DIRECCIÓN</t>
  </si>
  <si>
    <t>PROVISIÓN DE USO FUTURO</t>
  </si>
  <si>
    <t xml:space="preserve">TELÉFONO </t>
  </si>
  <si>
    <t>CÓDIGO DE SUCURSAL</t>
  </si>
  <si>
    <t>TIPO DE DIRECCIÓN</t>
  </si>
  <si>
    <t>Código de folleteria</t>
  </si>
  <si>
    <t>ES UNA TABLA HISTÓRICA DE TODOS LOS CAMBIOS DE LÍNEA DE LA CUENTA</t>
  </si>
  <si>
    <t>Código de Producto - Logo</t>
  </si>
  <si>
    <t>NOMBRE MANDATARIO 1</t>
  </si>
  <si>
    <t>NOMBRE  MANDATARIO 2</t>
  </si>
  <si>
    <t>Numérico</t>
  </si>
  <si>
    <t>Alfanumérico</t>
  </si>
  <si>
    <t>HISTÓRICO DE CAMBIO DE LÍNEA</t>
  </si>
  <si>
    <t>Código de emisor, dado por el procesador</t>
  </si>
  <si>
    <t>INFORMA LA COMPOSICIÓN DE LA DEUDA DEL CLIENTE</t>
  </si>
  <si>
    <t>COD.UBIGEO DE LA DIRECCION</t>
  </si>
  <si>
    <t>COD.POSTAL DE LA DIRECCION</t>
  </si>
  <si>
    <t>M : MASCULINO / F : FEMENINO</t>
  </si>
  <si>
    <t>Observaciones</t>
  </si>
  <si>
    <t>Fecha de ultimo pago full</t>
  </si>
  <si>
    <t>Fecha reservada 1</t>
  </si>
  <si>
    <t>Fecha reservada 2</t>
  </si>
  <si>
    <t>Numeral de Saldos para el calculo de interés</t>
  </si>
  <si>
    <t>Monto de ultimo pago facturado</t>
  </si>
  <si>
    <t>XXFW7156</t>
  </si>
  <si>
    <t>ES UNA TABLA QUE CONTIENE TODOS LOS PCT DEFINIDOS</t>
  </si>
  <si>
    <t>XXFW7157</t>
  </si>
  <si>
    <t>CONTIENE LA INFORMACION DE LA CUENTA</t>
  </si>
  <si>
    <t>FOOTER</t>
  </si>
  <si>
    <t>Tipo de Registro "Z"</t>
  </si>
  <si>
    <t>Numero de registros de detalle</t>
  </si>
  <si>
    <t>uso interno</t>
  </si>
  <si>
    <t>Tipo de Registro "0"</t>
  </si>
  <si>
    <t>libres</t>
  </si>
  <si>
    <t>INTERFASE DE INTERESES DEVENGADOS POR CUOTA</t>
  </si>
  <si>
    <t>XXFW4005</t>
  </si>
  <si>
    <t>CDCORG</t>
  </si>
  <si>
    <t>CDNRCTA</t>
  </si>
  <si>
    <t>Número de Cuenta</t>
  </si>
  <si>
    <t>CDNROTAR</t>
  </si>
  <si>
    <t>Número de Tarjeta que consumió</t>
  </si>
  <si>
    <t>CDCODLOG</t>
  </si>
  <si>
    <t>Código de Logo (Producto)</t>
  </si>
  <si>
    <t>CDCODPCT</t>
  </si>
  <si>
    <t>Pct</t>
  </si>
  <si>
    <t>Código del PCT (Calif.del cliente)</t>
  </si>
  <si>
    <t>CDCODPLN</t>
  </si>
  <si>
    <t>Plan</t>
  </si>
  <si>
    <t>Número del Plan de Crédito</t>
  </si>
  <si>
    <t>CDSECPAG</t>
  </si>
  <si>
    <t>Secuencia de pago</t>
  </si>
  <si>
    <t>CDCAUTOR</t>
  </si>
  <si>
    <t>Código de autorización de la compra</t>
  </si>
  <si>
    <t>CDCODCOM</t>
  </si>
  <si>
    <t>Código del Comercio o Establecimiento</t>
  </si>
  <si>
    <t>CDNOMCOM</t>
  </si>
  <si>
    <t>Nombre del Comercio</t>
  </si>
  <si>
    <t>CDCODMCC</t>
  </si>
  <si>
    <t>Código del MCC (Merchant Category Code)</t>
  </si>
  <si>
    <t>CDFECCOM</t>
  </si>
  <si>
    <t>Fechas de Compra (aaaammdd)</t>
  </si>
  <si>
    <t>CDIMPCOM</t>
  </si>
  <si>
    <t>Importe de la Compra Original</t>
  </si>
  <si>
    <t>CDCODMON</t>
  </si>
  <si>
    <t>Moneda de la Compra</t>
  </si>
  <si>
    <t>CDDIADIF</t>
  </si>
  <si>
    <t>Dias de diferimiento</t>
  </si>
  <si>
    <t>CDNROTCU</t>
  </si>
  <si>
    <t>Numero TOTAL de Cuota</t>
  </si>
  <si>
    <t>CDSECCUO</t>
  </si>
  <si>
    <t>Secuencia de Cuota</t>
  </si>
  <si>
    <t>CDINDMUL</t>
  </si>
  <si>
    <t>INDICADOR MULTIPRODUCTO</t>
  </si>
  <si>
    <t>CDCODMUL</t>
  </si>
  <si>
    <t>CODIGO MULTIPRODUCTO</t>
  </si>
  <si>
    <t>CDTOTMUL</t>
  </si>
  <si>
    <t>IMPORTE MULTIPRODUCTO</t>
  </si>
  <si>
    <t>CDVALCUO</t>
  </si>
  <si>
    <t>Valor de Cuota</t>
  </si>
  <si>
    <t>CDCAPCUO</t>
  </si>
  <si>
    <t>Capital de Cuota</t>
  </si>
  <si>
    <t>CDINTCUO</t>
  </si>
  <si>
    <t>Interes de Cuota</t>
  </si>
  <si>
    <t>CDMONABO</t>
  </si>
  <si>
    <t>CDMOPPAG</t>
  </si>
  <si>
    <t>CDNDIINT</t>
  </si>
  <si>
    <t>Cantidad de Dias de Interes</t>
  </si>
  <si>
    <t>CDINTDEV</t>
  </si>
  <si>
    <t>Intereses Devengados</t>
  </si>
  <si>
    <t>CDCICLO</t>
  </si>
  <si>
    <t>Ciclo de Facturacion</t>
  </si>
  <si>
    <t>CDFECFAC</t>
  </si>
  <si>
    <t>Fecha de Facturacion</t>
  </si>
  <si>
    <t>CDFECVEN</t>
  </si>
  <si>
    <t>Fecha Vcmto de Pago cuota</t>
  </si>
  <si>
    <t>CDFECULP</t>
  </si>
  <si>
    <t>Fecha Ultimo Pago</t>
  </si>
  <si>
    <t>CDESTCUO</t>
  </si>
  <si>
    <t>Estado de Cuota ( '  '=Pendiente 'CA'=Cancelada 'AA'=Anulada)</t>
  </si>
  <si>
    <t>CDFECPRO</t>
  </si>
  <si>
    <t>Fechas de Proceso</t>
  </si>
  <si>
    <t>CDTIPCAM</t>
  </si>
  <si>
    <t>Tipo de Cambio</t>
  </si>
  <si>
    <t>CDCODTEA</t>
  </si>
  <si>
    <t>Tasa Efectiva TEA</t>
  </si>
  <si>
    <t>CDCODTEM</t>
  </si>
  <si>
    <t>Tasa Mensual TEM</t>
  </si>
  <si>
    <t>CDCODTNA</t>
  </si>
  <si>
    <t>Tasa Nominal TNA</t>
  </si>
  <si>
    <t>CDFECIVE</t>
  </si>
  <si>
    <t>F.Ult.Calculo IntDev</t>
  </si>
  <si>
    <t>CDRECCUO</t>
  </si>
  <si>
    <t>Resecuencia Cuota</t>
  </si>
  <si>
    <t>Código postal (3) + Código de Ubigeo (6)</t>
  </si>
  <si>
    <t>Código de cliente. Estructura:
  . reserva (4)
  . emisor (2)
  . tipo de documento (1)
  . numero de documento (12) alineado a la derecha</t>
  </si>
  <si>
    <t>Código del cliente del emisor. No se ha definido su uso para Cencosud</t>
  </si>
  <si>
    <t>DDMMAAAA</t>
  </si>
  <si>
    <t>Relación de interfases</t>
  </si>
  <si>
    <t>Nombre</t>
  </si>
  <si>
    <t>Descripción</t>
  </si>
  <si>
    <t>Nombre en Servidor</t>
  </si>
  <si>
    <t>AMAXCS</t>
  </si>
  <si>
    <t>CUENTAS</t>
  </si>
  <si>
    <t>ESTADOS DE CUENTA</t>
  </si>
  <si>
    <t>RESPUESTA A ADMINISTRATIVAS</t>
  </si>
  <si>
    <t>TARJETAS</t>
  </si>
  <si>
    <t>OUTGOING</t>
  </si>
  <si>
    <t>INCOMING</t>
  </si>
  <si>
    <t>INTERFASE DE TARJETAS</t>
  </si>
  <si>
    <t xml:space="preserve">VPFMCODORG </t>
  </si>
  <si>
    <t xml:space="preserve">VPFMCODLOG  </t>
  </si>
  <si>
    <t>Código de Organización</t>
  </si>
  <si>
    <t xml:space="preserve">VPFMNUMTAR </t>
  </si>
  <si>
    <t>Número de Tarjeta</t>
  </si>
  <si>
    <t xml:space="preserve">VPFMCTAPRI  </t>
  </si>
  <si>
    <t>Número de Cuenta de Posteo</t>
  </si>
  <si>
    <t xml:space="preserve">VPFMTIPTAR  </t>
  </si>
  <si>
    <t xml:space="preserve">VPFMNOMTAR </t>
  </si>
  <si>
    <t xml:space="preserve">VPFMFECEXP  </t>
  </si>
  <si>
    <t>Fecha de Expiración</t>
  </si>
  <si>
    <t xml:space="preserve">VPFMFECAPE </t>
  </si>
  <si>
    <t xml:space="preserve">VPFMCODBLQ </t>
  </si>
  <si>
    <t>Fecha de Apertura</t>
  </si>
  <si>
    <t>Código de Bloqueo</t>
  </si>
  <si>
    <t xml:space="preserve">VPFMNRODOC  </t>
  </si>
  <si>
    <t xml:space="preserve">VPFMAPETIT  </t>
  </si>
  <si>
    <t xml:space="preserve">VPFMNOMTIT </t>
  </si>
  <si>
    <t xml:space="preserve">VPFMCICFAC   </t>
  </si>
  <si>
    <t>FILLER</t>
  </si>
  <si>
    <t>Ciclo de Facturación</t>
  </si>
  <si>
    <t>Apellidos del Titular</t>
  </si>
  <si>
    <t>Nombres del Titular</t>
  </si>
  <si>
    <t>(Uso Futuro)</t>
  </si>
  <si>
    <t>Código de Cliente</t>
  </si>
  <si>
    <t xml:space="preserve">FECHA-GENERACION </t>
  </si>
  <si>
    <t xml:space="preserve">HORA-GENERACION </t>
  </si>
  <si>
    <t xml:space="preserve">REGISTROS-GENERADOS </t>
  </si>
  <si>
    <t>Bolsa</t>
  </si>
  <si>
    <t>Tipo de Tarjeta (P=Principal, A=Adicional)</t>
  </si>
  <si>
    <t>Nombre en Plástico</t>
  </si>
  <si>
    <t>Fecha de Bloqueo</t>
  </si>
  <si>
    <t>CONTIENE LA INFORMACION DE LAS TARJETAS</t>
  </si>
  <si>
    <t>INTERFASE DE CRONOGRAMAS</t>
  </si>
  <si>
    <t>Código BONUS, long. 20 numérico alineado a la derecha</t>
  </si>
  <si>
    <t>AJUSTES FINANCIEROS (REGULARIZACIONES)</t>
  </si>
  <si>
    <t>FIAJUaammdd.txt</t>
  </si>
  <si>
    <t>Leyenda:</t>
  </si>
  <si>
    <t>TTXXXaammdd.txt</t>
  </si>
  <si>
    <t>aammdd = Fecha en formato 'aammdd'</t>
  </si>
  <si>
    <t>XXX    = Uso</t>
  </si>
  <si>
    <t>TT     = Tipo de archivo</t>
  </si>
  <si>
    <t>.txt   = Extensión para archivos tipo texto</t>
  </si>
  <si>
    <t>FITARaammdd.txt</t>
  </si>
  <si>
    <t>FIMESaammdd.txt</t>
  </si>
  <si>
    <t>LIBCSD</t>
  </si>
  <si>
    <t>Librería</t>
  </si>
  <si>
    <t>LIBCSDTMP</t>
  </si>
  <si>
    <t>Código de comercio:
9-comercio
2-blancos
4-agencia o blancos</t>
  </si>
  <si>
    <t>Código de comercio
9-comercio
2-blancos</t>
  </si>
  <si>
    <t>Código de agencia de apertura de cuenta</t>
  </si>
  <si>
    <t>entero sin decimales</t>
  </si>
  <si>
    <t>Org</t>
  </si>
  <si>
    <t>Si</t>
  </si>
  <si>
    <t>No</t>
  </si>
  <si>
    <t>INTERFA1aammdd.zip</t>
  </si>
  <si>
    <t>INTERFA2aammdd.zip</t>
  </si>
  <si>
    <t>REPORT WEB</t>
  </si>
  <si>
    <t>CONTROL DE FIN</t>
  </si>
  <si>
    <t>PAQUETE</t>
  </si>
  <si>
    <t>FIAJUaammdd.zip</t>
  </si>
  <si>
    <t>Monto Abonado</t>
  </si>
  <si>
    <t>Monto pendiente de pago</t>
  </si>
  <si>
    <t>código de emisor (064)-alineado derecha</t>
  </si>
  <si>
    <t>CÓDIGO DE ORGANIZACIÓN</t>
  </si>
  <si>
    <t>Código de organización</t>
  </si>
  <si>
    <t>Código de organización de 2:
64-vigente
65-refinanciadas
66-castigadas</t>
  </si>
  <si>
    <t>INTERFA1aammdd.zip.trg</t>
  </si>
  <si>
    <t>INTERFA2aammdd.zip.trg</t>
  </si>
  <si>
    <t>VPCSDaammdd.zip.trg</t>
  </si>
  <si>
    <t>FIAJUaammdd.zip.TRG</t>
  </si>
  <si>
    <t>SSFT148aaaammdd.txt</t>
  </si>
  <si>
    <t>SSFT149aaaammdd.txt</t>
  </si>
  <si>
    <t>SSFT150aaaammdd.txt</t>
  </si>
  <si>
    <t>SSFT151aaaammdd.txt</t>
  </si>
  <si>
    <t>INTERFA3aammdd.zip</t>
  </si>
  <si>
    <t>INTERFA3aammdd.zip.trg</t>
  </si>
  <si>
    <t>Diaria</t>
  </si>
  <si>
    <t>interés compensatorio vigente y vencido</t>
  </si>
  <si>
    <t>interés cuota vigente y vencido</t>
  </si>
  <si>
    <t>seguro de desgravamen</t>
  </si>
  <si>
    <t>comisiones varias</t>
  </si>
  <si>
    <t>Código País alfanumérico</t>
  </si>
  <si>
    <t>Esquema de depósito para outgoing Procesos MC - Banco de la Nacion</t>
  </si>
  <si>
    <t>AJUFIN018</t>
  </si>
  <si>
    <t>BNFS1005</t>
  </si>
  <si>
    <t>BNFW4055</t>
  </si>
  <si>
    <t>BNFW2202</t>
  </si>
  <si>
    <t>BNFM5003</t>
  </si>
  <si>
    <t>BNFM5002</t>
  </si>
  <si>
    <t>BNFM5001</t>
  </si>
  <si>
    <t>BNFW7157</t>
  </si>
  <si>
    <t>BNFW7156</t>
  </si>
  <si>
    <t>BNFW5002</t>
  </si>
  <si>
    <t>BNFW4005</t>
  </si>
  <si>
    <t>BNFM5000</t>
  </si>
  <si>
    <t>BNFW64012</t>
  </si>
  <si>
    <t>BNFW64002</t>
  </si>
  <si>
    <t>TRANSACCIONES FINANCIERAS BANCO DE LA NACION</t>
  </si>
  <si>
    <t>VPBNP\aaaa\mm\dd\VPBNP</t>
  </si>
  <si>
    <t>VPBNPaammdd.zip</t>
  </si>
  <si>
    <t>MOVBTASBN</t>
  </si>
  <si>
    <t>MOVBTASBN_aaaammdd.txt</t>
  </si>
  <si>
    <t>BNFT001FI (AS400)</t>
  </si>
  <si>
    <t>MOVBTASBN_aaaammdd.zip</t>
  </si>
  <si>
    <t>MOVBTASBN_aaaammdd.zip.TRG</t>
  </si>
  <si>
    <t>BNFT001AJ (AS400)</t>
  </si>
  <si>
    <t>BNFW4063</t>
  </si>
  <si>
    <t>CARGO EN CUENTA</t>
  </si>
  <si>
    <t>INTERFASE DE CARGO EN CUENTA</t>
  </si>
  <si>
    <t>LC_TIPREG</t>
  </si>
  <si>
    <t>TIPO DE REGISTRO</t>
  </si>
  <si>
    <t>LC_CODENT</t>
  </si>
  <si>
    <t>CODIGO DE ENTIDAD</t>
  </si>
  <si>
    <t>LC_OFIBCO</t>
  </si>
  <si>
    <t>OFICINA DEL BCO.</t>
  </si>
  <si>
    <t>LC_NCTADB</t>
  </si>
  <si>
    <t>CODIGO BANCO DE LA NACION</t>
  </si>
  <si>
    <t>LC_CODCTA</t>
  </si>
  <si>
    <t>CODIGO DE CTA</t>
  </si>
  <si>
    <t>LC_MONEDA</t>
  </si>
  <si>
    <t>CODIGO DE MONEDA</t>
  </si>
  <si>
    <t>LC_FECTRA</t>
  </si>
  <si>
    <t>FECHA DE TRANSACCION</t>
  </si>
  <si>
    <t>LC_CLATRA</t>
  </si>
  <si>
    <t>CLASE DE TRANSACCION</t>
  </si>
  <si>
    <t>LC_CODTRA</t>
  </si>
  <si>
    <t>CODIGO DE TRANSACCION</t>
  </si>
  <si>
    <t>LC_NROTAR</t>
  </si>
  <si>
    <t>LC_IMPTRA</t>
  </si>
  <si>
    <t>IMPORTE DE LA TXN</t>
  </si>
  <si>
    <t>LC_MONTRA</t>
  </si>
  <si>
    <t>MONEDA DE LA TXN</t>
  </si>
  <si>
    <t>LC_OFITRA</t>
  </si>
  <si>
    <t>OFICINA DE LA TXN</t>
  </si>
  <si>
    <t>LC_TIPCAM</t>
  </si>
  <si>
    <t>TIPO DE CAMBIO</t>
  </si>
  <si>
    <t>LC_IMPCAM</t>
  </si>
  <si>
    <t>IMPORTE DEL CAMBIO</t>
  </si>
  <si>
    <t>LC_CONCEP</t>
  </si>
  <si>
    <t>CONCEPTO</t>
  </si>
  <si>
    <t>LC_TIPTRA</t>
  </si>
  <si>
    <t>TIPO DE TXN</t>
  </si>
  <si>
    <t>LC_MODLOG</t>
  </si>
  <si>
    <t>MODULO DE LOGICA</t>
  </si>
  <si>
    <t>LC_COMERC</t>
  </si>
  <si>
    <t>COMERCIO</t>
  </si>
  <si>
    <t>LC_CTACAR</t>
  </si>
  <si>
    <t>CUENTA DE CARGO</t>
  </si>
  <si>
    <t>LC_COMPRO</t>
  </si>
  <si>
    <t>NRO.COMPROBANTE</t>
  </si>
  <si>
    <t>LC_AUTORI</t>
  </si>
  <si>
    <t>NRO.AUTORIZACION</t>
  </si>
  <si>
    <t>LC_FECPRO</t>
  </si>
  <si>
    <t>FECHA DE PROCESO</t>
  </si>
  <si>
    <t>LC_CODPLN</t>
  </si>
  <si>
    <t>CODIGO DE PLAN</t>
  </si>
  <si>
    <t>LC_CODTRO</t>
  </si>
  <si>
    <t>COD.TXN.ORIGEN</t>
  </si>
  <si>
    <t>LC_FILLER</t>
  </si>
  <si>
    <t>LC_MARCAF</t>
  </si>
  <si>
    <t>FINAL DEL ARCHIVO</t>
  </si>
  <si>
    <r>
      <t xml:space="preserve">Servidor: </t>
    </r>
    <r>
      <rPr>
        <b/>
        <sz val="9"/>
        <rFont val="Tahoma"/>
        <family val="2"/>
      </rPr>
      <t>MC*******</t>
    </r>
  </si>
  <si>
    <t>ARCHIVO DE MOVIMIENTOS FINANCIEROS</t>
  </si>
  <si>
    <t xml:space="preserve">LONGITUD DE REGISTRO </t>
  </si>
  <si>
    <t>500 BYTES</t>
  </si>
  <si>
    <t>Posición Inicial</t>
  </si>
  <si>
    <t>Posicion final</t>
  </si>
  <si>
    <t>Observacion</t>
  </si>
  <si>
    <t xml:space="preserve"> AAAAMMDD</t>
  </si>
  <si>
    <t>Numero registros</t>
  </si>
  <si>
    <t>Sumatoria de los importes</t>
  </si>
  <si>
    <t>Deben ser espacios en blanco</t>
  </si>
  <si>
    <t>Posición</t>
  </si>
  <si>
    <t>Tipo de Registro "1"</t>
  </si>
  <si>
    <t>Usuario</t>
  </si>
  <si>
    <t xml:space="preserve">Origen </t>
  </si>
  <si>
    <t>Ceros</t>
  </si>
  <si>
    <t>Codigo de transacciòn del Banco</t>
  </si>
  <si>
    <t>Tipo de Captura</t>
  </si>
  <si>
    <t>Reservado  - Uso del emisor</t>
  </si>
  <si>
    <t>Reservado - Uso del emisor</t>
  </si>
  <si>
    <t>Codigo de Agencia</t>
  </si>
  <si>
    <t>Nùmero de documento</t>
  </si>
  <si>
    <t>Nùmero de tarjeta</t>
  </si>
  <si>
    <t>Fecha de transacciòn</t>
  </si>
  <si>
    <t>Codigo de comercio</t>
  </si>
  <si>
    <t>Codigo de autorizacion</t>
  </si>
  <si>
    <t>Importe de compra - las dos ultimas posiciones son los decimales</t>
  </si>
  <si>
    <t>Número de cuotas</t>
  </si>
  <si>
    <t>Codigo de transaccion de Vision Plus</t>
  </si>
  <si>
    <t>Descripciòn del comercio o transacciòn</t>
  </si>
  <si>
    <t>Origen de txn (Ventanilla / ATM)</t>
  </si>
  <si>
    <t>Codigo de Pais (604 Peru)</t>
  </si>
  <si>
    <t>Codigo de MCC</t>
  </si>
  <si>
    <t xml:space="preserve">
Numero de Tarjeta  Original ,repite el numero de tarjeta</t>
  </si>
  <si>
    <t>Codigo de moneda de transacciòn   (92 soles / 01  Dolares)</t>
  </si>
  <si>
    <t>Indicador si libera inreres - uso futuro</t>
  </si>
  <si>
    <t>Indicador de linea paralela - uso futuro</t>
  </si>
  <si>
    <t>TRAILER</t>
  </si>
  <si>
    <t>Número Total de Registros de Datos (Sumatoria de Registros Tipo B)</t>
  </si>
  <si>
    <t>ARCHIVO DE REGULARIZACIONES FINANCIERAS</t>
  </si>
  <si>
    <t>DECISION DEL EMISOR</t>
  </si>
  <si>
    <t>FIAJU</t>
  </si>
  <si>
    <t>Posicion inicial</t>
  </si>
  <si>
    <t>Alfanum</t>
  </si>
  <si>
    <t>Numeric</t>
  </si>
  <si>
    <t>Código de la Institución asignado por PROCESOS</t>
  </si>
  <si>
    <t>Fecha de Creación de la Cinta (YYYYMMDD)</t>
  </si>
  <si>
    <t>Tipo de Registro "B"</t>
  </si>
  <si>
    <t>Monto (dos ultimas posiciones decimales)</t>
  </si>
  <si>
    <t>Codigo de transacciòn</t>
  </si>
  <si>
    <t>Codigo de Plan</t>
  </si>
  <si>
    <t>Descripciòn del ajuste</t>
  </si>
  <si>
    <t>Fecha de ajuste (AAAAMMDD)</t>
  </si>
  <si>
    <t>Codigo de autorizaciòn</t>
  </si>
  <si>
    <t>ARCHIVO DE TRANSACCIONES ADMINISTRATIVAS: AD302aammdd.txt</t>
  </si>
  <si>
    <t>LONGITUD DE REGISTRO : 1000 bytes</t>
  </si>
  <si>
    <t>DIAIRIA</t>
  </si>
  <si>
    <t>TRANSACCION ADMINISTRATIVA</t>
  </si>
  <si>
    <t>COD
TRX</t>
  </si>
  <si>
    <t>INPUT
CAMPO48</t>
  </si>
  <si>
    <t>OUTPUT
CAMPO48</t>
  </si>
  <si>
    <t>APERTURA DE CUENTAS PERSONALES</t>
  </si>
  <si>
    <t>0001</t>
  </si>
  <si>
    <t>APERTURA DE TARJETAS</t>
  </si>
  <si>
    <t>0002</t>
  </si>
  <si>
    <t>APERTURA DE CUENTAS LINEA PARALELA</t>
  </si>
  <si>
    <t>0003</t>
  </si>
  <si>
    <t>INSCRIPCION DE DATOS ADICIONALES DE LA CUENTA</t>
  </si>
  <si>
    <t>0004</t>
  </si>
  <si>
    <t>INSCRIPCION DE DATOS ADICIONALES DE LA TARJETA</t>
  </si>
  <si>
    <t>0005</t>
  </si>
  <si>
    <t>MANTENIMIENTO DE CUENTAS</t>
  </si>
  <si>
    <t>0006</t>
  </si>
  <si>
    <t>MANTENIMIENTO DE DIRECCIONES DE LA CUENTA</t>
  </si>
  <si>
    <t>0007</t>
  </si>
  <si>
    <t>MANTENIMIENTO DE TARJETAS</t>
  </si>
  <si>
    <t>0008</t>
  </si>
  <si>
    <t>MANTENIMIENTO DE DIRECCION OPCIONAL ENTREGA DE TARJETAS</t>
  </si>
  <si>
    <t>0009</t>
  </si>
  <si>
    <t>MANTENIMIENTO DE CUENTAS DE COBRO</t>
  </si>
  <si>
    <t>0010</t>
  </si>
  <si>
    <t>BLOQUEO DE CUENTAS</t>
  </si>
  <si>
    <t>0130</t>
  </si>
  <si>
    <t>BLOQUEO DE TARJETAS</t>
  </si>
  <si>
    <t>0012</t>
  </si>
  <si>
    <t>ARCHIVO DE TRANSACCIONES ADMINISTRATIVAS</t>
  </si>
  <si>
    <t>FORMATO DE LA CINTA DE MENSAJES : 302/312</t>
  </si>
  <si>
    <t>Código de emisor:
064-vigentes
065-refinanciadas
066-castigadas</t>
  </si>
  <si>
    <t>Fecha de Creación de la Cinta (DDMMAAAA)</t>
  </si>
  <si>
    <t>Mensaje 0302/0312, de acuerdo a su especificación</t>
  </si>
  <si>
    <t>Bit map de campos</t>
  </si>
  <si>
    <t>N</t>
  </si>
  <si>
    <t>Data según descripción de tipo de transacción</t>
  </si>
  <si>
    <t>N+22</t>
  </si>
  <si>
    <t>(1001-N-22)</t>
  </si>
  <si>
    <t>MENSAJE 0302 Card Issuer File Update Request</t>
  </si>
  <si>
    <t>Del HOST-Banco al HOST-T.C.</t>
  </si>
  <si>
    <t>Tipo de Mensaje =</t>
  </si>
  <si>
    <t>0302</t>
  </si>
  <si>
    <t>Bit Map Primario =</t>
  </si>
  <si>
    <t>4220000080010000</t>
  </si>
  <si>
    <t>ORDEN</t>
  </si>
  <si>
    <t>DESCRIPCION</t>
  </si>
  <si>
    <t xml:space="preserve">  FORMATO</t>
  </si>
  <si>
    <t xml:space="preserve">      ATRIBUTO</t>
  </si>
  <si>
    <t>LONGITUD</t>
  </si>
  <si>
    <t>OBSERVACIONES</t>
  </si>
  <si>
    <t>Primary Account Number</t>
  </si>
  <si>
    <t>LLVAR</t>
  </si>
  <si>
    <t>Código de la cuenta responsable de los consumos de tarjeta de crédito</t>
  </si>
  <si>
    <t>Se compone de dos campos: longitud variable y datos.</t>
  </si>
  <si>
    <t>La longitud variable indica la longitud del campo de datos</t>
  </si>
  <si>
    <t>Ejemplo : 161111222233334444 Longitud = 16 PAN = 1111222233334444</t>
  </si>
  <si>
    <t xml:space="preserve">                  131111222233334        Longitud = 13 PAN = 1111222233334</t>
  </si>
  <si>
    <t>Si es Txn 001 (apertura de cuenta),  debe ser ceros</t>
  </si>
  <si>
    <t>Si es Txn 002 (apertura de tarjeta) y es el mismo día de la apertura de la cuenta,</t>
  </si>
  <si>
    <t>debe ser ceros</t>
  </si>
  <si>
    <t>Si es Txn 002 (apertura de tarjeta) y es posterior a la apertura de la cuenta,</t>
  </si>
  <si>
    <t>debe ser el número de cuenta</t>
  </si>
  <si>
    <t>En las otras transacciones, se debe indicar el numero de cuenta</t>
  </si>
  <si>
    <t>Transmission Date &amp; Time</t>
  </si>
  <si>
    <t>MMDDHHMMSS</t>
  </si>
  <si>
    <t>Fecha y hora de creación del mensaje</t>
  </si>
  <si>
    <t>System Trace Audit Number</t>
  </si>
  <si>
    <t>Numero de auditoría generado por el banco</t>
  </si>
  <si>
    <t>Issuer Institucion Identification Code</t>
  </si>
  <si>
    <t>Código del producto de tarjeta de credito, BIN</t>
  </si>
  <si>
    <t>Longitud 11 bytes, se compone de dos campos: longitud variable y datos</t>
  </si>
  <si>
    <t>Ejm : 06545545 Longitud = 06,  BIN = 545545</t>
  </si>
  <si>
    <t>File Update Data</t>
  </si>
  <si>
    <t>ANS</t>
  </si>
  <si>
    <t>...999</t>
  </si>
  <si>
    <t>Longitud del campo 48 de 3 dígitos numéricos más
data del campo 48
Ver detalle del  BIT 48</t>
  </si>
  <si>
    <t>MENSAJE 0312 Card Issuer File Update Response</t>
  </si>
  <si>
    <t>Del HOST T.C al HOST - Banco</t>
  </si>
  <si>
    <t>0312</t>
  </si>
  <si>
    <t>4220000082010000</t>
  </si>
  <si>
    <t>Código de la cuenta</t>
  </si>
  <si>
    <t>Fecha y hora del mensaje</t>
  </si>
  <si>
    <t>Issuer Institution Identification Code</t>
  </si>
  <si>
    <t>Código del producto de tarjeta de credito, de la institución emisora</t>
  </si>
  <si>
    <t>Response Code</t>
  </si>
  <si>
    <t>Código de respuesta  del mensaje 302</t>
  </si>
  <si>
    <t>00 = Normal, sin errores</t>
  </si>
  <si>
    <t xml:space="preserve">Diferente de cero = Error, ver tabla de errores </t>
  </si>
  <si>
    <t>DETALLE DEL CAMPO 048</t>
  </si>
  <si>
    <t>Transacción 302 =</t>
  </si>
  <si>
    <t>Tamaño del Bit 48 =</t>
  </si>
  <si>
    <t>BYTES</t>
  </si>
  <si>
    <t>CAMPO</t>
  </si>
  <si>
    <t xml:space="preserve">     ATRIBUTO</t>
  </si>
  <si>
    <t>POS</t>
  </si>
  <si>
    <t>TRANSACTION INFORMATION</t>
  </si>
  <si>
    <t>Transaction Type Identifier</t>
  </si>
  <si>
    <t>"0001"</t>
  </si>
  <si>
    <t xml:space="preserve">Identificador del Tipo de Transacción </t>
  </si>
  <si>
    <t>Data Compresion Technique</t>
  </si>
  <si>
    <t xml:space="preserve">"0"              </t>
  </si>
  <si>
    <t>Debe ser cero</t>
  </si>
  <si>
    <t>Data Packet Sequential Number</t>
  </si>
  <si>
    <t xml:space="preserve">"0000"           </t>
  </si>
  <si>
    <t>More Data ?</t>
  </si>
  <si>
    <t>AN</t>
  </si>
  <si>
    <t>Debe ser N (no se permite múltiples ocurrencias)</t>
  </si>
  <si>
    <t>DATOS DEL SOLICITANTE</t>
  </si>
  <si>
    <t>CODIGO DE PRODUCTO</t>
  </si>
  <si>
    <t>Código del producto de tarjeta de crédito (LOGO)</t>
  </si>
  <si>
    <t>Debe ser un código válido para el banco y para el BIN</t>
  </si>
  <si>
    <t>Debe definirse en el sistema antes de proceder a crear las cuentas</t>
  </si>
  <si>
    <t>NUMERO SOLICITUD</t>
  </si>
  <si>
    <t>Deberá ser único por  Producto</t>
  </si>
  <si>
    <t>Es el número del formulario de la solicitud de afiliación</t>
  </si>
  <si>
    <t>RESERVADO</t>
  </si>
  <si>
    <t>RESERVADO PARA USO FUTURO</t>
  </si>
  <si>
    <t>AGENCIA</t>
  </si>
  <si>
    <t>Código de la agencia bancaria donde se afilia el tarjetahabiente</t>
  </si>
  <si>
    <t>NOMBRE DEL SOLICITANTE</t>
  </si>
  <si>
    <t>Nombre completo del solicitante de Tarjeta de Crédito</t>
  </si>
  <si>
    <t>Debe ser apellidos más nombres</t>
  </si>
  <si>
    <t xml:space="preserve">No debe tener un valor NULO (espacios en blanco) </t>
  </si>
  <si>
    <t>No debe tener caracteres inválidos</t>
  </si>
  <si>
    <t>FECHA DE NACIMIENTO</t>
  </si>
  <si>
    <t>DDMMYYYY</t>
  </si>
  <si>
    <t>Fecha de nacimiento del cliente</t>
  </si>
  <si>
    <t>NUMERO DEPENDIENTES</t>
  </si>
  <si>
    <t>Número total de dependientes</t>
  </si>
  <si>
    <t>PROFESION</t>
  </si>
  <si>
    <t>Código SBS que identifica la profesión del cliente</t>
  </si>
  <si>
    <t>DOCUMENTO DE IDENTIDAD</t>
  </si>
  <si>
    <t>Documento de identidad del cliente</t>
  </si>
  <si>
    <t>Es el tipo de documento más el número de documento</t>
  </si>
  <si>
    <t>La primera posición es el tipo de documento :</t>
  </si>
  <si>
    <t xml:space="preserve">        1 : Para Doc.Nac.Identidad, Lib.Elect.Mecanizada o Libreta Electoral</t>
  </si>
  <si>
    <t xml:space="preserve">        2 : Para RUC</t>
  </si>
  <si>
    <t xml:space="preserve">        3 : Para Carnet de Extranjería</t>
  </si>
  <si>
    <t xml:space="preserve">        4 : Para Carnet de Identidad Militar (FF.AA o FF.PP)</t>
  </si>
  <si>
    <t xml:space="preserve">        5 : Para Pasaporte</t>
  </si>
  <si>
    <t xml:space="preserve">        6 : Otro tipo de documento</t>
  </si>
  <si>
    <t>Las siguientes 12 posiciones contienen el número del documento y debe estar</t>
  </si>
  <si>
    <t>justificado a la derecha con rellenos de cero a la izquierda</t>
  </si>
  <si>
    <t xml:space="preserve">RUC </t>
  </si>
  <si>
    <t>Código de identificación tributaria del cliente</t>
  </si>
  <si>
    <t>INGRESOS MENSUALES</t>
  </si>
  <si>
    <t>Monto de ingresos del cliente, expresado en números enteros y en $</t>
  </si>
  <si>
    <t>DIRECCION DE CORRESPONDENCIA LINEA 1</t>
  </si>
  <si>
    <t>Dirección 1 de correspondencia del cliente</t>
  </si>
  <si>
    <t>No debe tener un valor NULO</t>
  </si>
  <si>
    <t>DIRECCION DE CORRESPONDENCIA LINEA 2</t>
  </si>
  <si>
    <t>Dirección 2 de correspondencia del cliente</t>
  </si>
  <si>
    <t>CODIGO POSTAL</t>
  </si>
  <si>
    <t>Código de Ubigeo  de correspondencia del cliente o de la empresa</t>
  </si>
  <si>
    <t>Ubigeos definidos en el INEI</t>
  </si>
  <si>
    <t>No debe tener un valor nulo</t>
  </si>
  <si>
    <t>CIUDAD DE CORRESPONDENCIA</t>
  </si>
  <si>
    <t>Ciudad donde está ubicada la dirección de correspondencia</t>
  </si>
  <si>
    <t>No debe ser nulo, ni tener caracteres invalidos</t>
  </si>
  <si>
    <t>TELEFONO</t>
  </si>
  <si>
    <t>Teléfono del cliente</t>
  </si>
  <si>
    <t>NOMBRE DE LA EMPRESA</t>
  </si>
  <si>
    <t>Nombre de la Empresa donde labora el cliente</t>
  </si>
  <si>
    <t>TELEFONO DE LA EMPRESA</t>
  </si>
  <si>
    <t>Teléfono de la Empresa donde labora el  cliente</t>
  </si>
  <si>
    <t>DATOS DE LA TARJETA</t>
  </si>
  <si>
    <t>NOMBRE 1 EN LA TARJETA</t>
  </si>
  <si>
    <t>Nombre que aparecerá en la primera línea del plástico</t>
  </si>
  <si>
    <t>NOMBRE 2 EN LA TARJETA</t>
  </si>
  <si>
    <t>Nombre que aparecerá en la segunda línea del plástico</t>
  </si>
  <si>
    <t>Usado para tarjetas de marca compartida</t>
  </si>
  <si>
    <t>MODELO DE TARJETA</t>
  </si>
  <si>
    <t>Código del modelo de plástico, que se usará en el embosado de la tarjeta</t>
  </si>
  <si>
    <t>DATOS DE LA CUENTA</t>
  </si>
  <si>
    <t>SECTORISTA</t>
  </si>
  <si>
    <t>Código del funcionario del banco que maneja la cuenta</t>
  </si>
  <si>
    <t>No debe ser un valor nulo</t>
  </si>
  <si>
    <t xml:space="preserve">LINEA DE CREDITO </t>
  </si>
  <si>
    <t>Línea de crédito otorgada por la institución emisora</t>
  </si>
  <si>
    <t>Expresado en números enteros</t>
  </si>
  <si>
    <t>CICLO DE FACTURACION</t>
  </si>
  <si>
    <t>Día del mes para la fecha de corte (01-31)</t>
  </si>
  <si>
    <t xml:space="preserve">NOMBRE CORTO </t>
  </si>
  <si>
    <t>Nombre corto del cliente</t>
  </si>
  <si>
    <t>Es utilizado en todos los reportes donde figura el nombre del cliente</t>
  </si>
  <si>
    <t>CODIGO RELACIONADOR</t>
  </si>
  <si>
    <t xml:space="preserve">CODIGO DE CLIENTE EN EL SISTEMA EMISOR </t>
  </si>
  <si>
    <t xml:space="preserve">SERVICIO DE PAGO AUTOMATICO </t>
  </si>
  <si>
    <t>Indicativo si cobra automaticamente el monto de pago minimo pendiente de pago</t>
  </si>
  <si>
    <t>S = Cobrar, es necesario informar la cuenta de cobro</t>
  </si>
  <si>
    <t>N = No cobrar, no se informa la cuenta de cobro</t>
  </si>
  <si>
    <t>TIPO DE CUENTA DE COBRO BASE</t>
  </si>
  <si>
    <t>Tipo de la cuenta de cobro base, para servicio de pago automático</t>
  </si>
  <si>
    <t>D = Cuenta corriente</t>
  </si>
  <si>
    <t>S = Ahorros</t>
  </si>
  <si>
    <t>NUMERO DE CUENTA DE COBRO BASE</t>
  </si>
  <si>
    <t>Cuenta de cobro base, para el servicio de pago automático</t>
  </si>
  <si>
    <t>TIPO DE CUENTA DE COBRO ALTERNA</t>
  </si>
  <si>
    <t>Tipo de la cuenta de cobro alterna, para servicio de pago automático</t>
  </si>
  <si>
    <t>NUMERO DE CUENTA DE COBRO ALTERNA</t>
  </si>
  <si>
    <t>Cuenta de cobro alterna, para el servicio de pago automático</t>
  </si>
  <si>
    <t>CODIGO DE  PERFIL DE CLIENTE</t>
  </si>
  <si>
    <t>Código de la tabla de control de procesamiento de la cuenta</t>
  </si>
  <si>
    <t>Esta tabla contiene los intereses, comisiones y parámetros de control de la cuenta</t>
  </si>
  <si>
    <t>Debe ser un código de tabla válido para el banco</t>
  </si>
  <si>
    <t>LIMITE PARA DISPOSICION DE EFECTIVO</t>
  </si>
  <si>
    <t xml:space="preserve">Indicativo de la linea de crédito disponible para realizar transacciones de </t>
  </si>
  <si>
    <t>disposición de efectivo</t>
  </si>
  <si>
    <t>N = No se permite disposición de efectivo</t>
  </si>
  <si>
    <t>T = Total de la línea de crédito disponible para D/E</t>
  </si>
  <si>
    <t>Y = Porción de la línea de crédito disponible para D/E.</t>
  </si>
  <si>
    <t xml:space="preserve">        Esa porción (fijo o porcentual) se define en los parámetros de control de cuenta</t>
  </si>
  <si>
    <t>COBRO DE CARGOS DEL SERVICIO</t>
  </si>
  <si>
    <t>Indicativo si cobra o no los cargos por cuotas del servicio</t>
  </si>
  <si>
    <t>0 = Cobrar</t>
  </si>
  <si>
    <t>1 = No cobrar</t>
  </si>
  <si>
    <t>COBRO DE INTERES</t>
  </si>
  <si>
    <t>Indicativo si cobra o no los intereses</t>
  </si>
  <si>
    <t>COBRO DE MEMBRESIA</t>
  </si>
  <si>
    <t>Indicativo si cobra o no las comisiones por membresía</t>
  </si>
  <si>
    <t>COBRO DE CARGOS POR EXCESO DE LINEA</t>
  </si>
  <si>
    <t>Indicativo si cobra o no las comisiones por exceso de línea</t>
  </si>
  <si>
    <t>COBRO DE CARGOS POR MOROSIDAD</t>
  </si>
  <si>
    <t>Indicativo si cobra o no las comisiones por morosidad</t>
  </si>
  <si>
    <t>DIRECCION DE CORRESPONDENCIA 2 - LINEA 1</t>
  </si>
  <si>
    <t>Dirección 2 de correspondencia del tarjetahabiente - Linea 1</t>
  </si>
  <si>
    <t>Usado como segunda dirección para la entrega de la tarjeta</t>
  </si>
  <si>
    <t>Puede ser nulo</t>
  </si>
  <si>
    <t>DIRECCION DE CORRESPONDENCIA 2 - LINEA 2</t>
  </si>
  <si>
    <t>Dirección 2 de correspondencia del tarjetahabiente - Linea 2</t>
  </si>
  <si>
    <t>CODIGO DE UBIGEO</t>
  </si>
  <si>
    <t>Código Postal de la correspondencia 2 del tarjetahabiente</t>
  </si>
  <si>
    <t>Puede ser  nulo</t>
  </si>
  <si>
    <t>Ciudad donde está ubicada la dirección de correspondencia 2</t>
  </si>
  <si>
    <t>PRE-ENROLAMIENTO VERIFIED BY VISA</t>
  </si>
  <si>
    <t>Permite participar en el pre-enrolamiento de Verified by Visa   - USO FUTURO</t>
  </si>
  <si>
    <t xml:space="preserve">S = Si </t>
  </si>
  <si>
    <t>N = No</t>
  </si>
  <si>
    <t>NUMERO DE CUENTA ASIGNADO POR EL EMISOR</t>
  </si>
  <si>
    <t>Solo si el emisor genera el nùmero. Si la procesadora genera 
el nùmero enviar en ceros</t>
  </si>
  <si>
    <t>NUMERO DE TARJETA ASIGNADO POR EL EMISOR</t>
  </si>
  <si>
    <t>CODIGO DE PLAN DE COMPRAS PARA REVOLVING</t>
  </si>
  <si>
    <t>Codigo de plan - coordinar la codificacion con la procesadora</t>
  </si>
  <si>
    <t>CODIGO DE PLAN DE EFECTIVO PARA REVOLVING</t>
  </si>
  <si>
    <t>Del HOST-T.C al HOST- Banco</t>
  </si>
  <si>
    <t>Transacción 312 =</t>
  </si>
  <si>
    <t>Se usa cuando en el archivo se envian la apertura de la cuenta y de tarjetas adicionales</t>
  </si>
  <si>
    <t>NUMERO DE DEPENDENTES</t>
  </si>
  <si>
    <t>Monto de ingresos del cliente, expresado en números enteros y en US$</t>
  </si>
  <si>
    <t>Codigo de Ubigeo</t>
  </si>
  <si>
    <t>Código único del cliente, asignado por el banco</t>
  </si>
  <si>
    <t xml:space="preserve">Indicativo de la linea de crédito disponible para realizar reansacciones de </t>
  </si>
  <si>
    <t>DATOS DEL SISTEMA</t>
  </si>
  <si>
    <t>NUMERO DE  CUENTA</t>
  </si>
  <si>
    <t>Número de la cuenta asignado por el sistema</t>
  </si>
  <si>
    <t>FECHA DE APERTURA DE LA CUENTA</t>
  </si>
  <si>
    <t xml:space="preserve"> Fecha de apertura de la cuenta</t>
  </si>
  <si>
    <t>FECHA DE VENCIMIENTO DE LA CUENTA</t>
  </si>
  <si>
    <t>Fecha de vencimiento de la cuenta</t>
  </si>
  <si>
    <t>BLOQUEO ACTUAL DE LA CUENTA</t>
  </si>
  <si>
    <t>Bloqueo actual de la cuenta en el campo de bloqueo 1</t>
  </si>
  <si>
    <t>FECHA DE BLOQUEO  DE LA CUENTA</t>
  </si>
  <si>
    <t>Fecha de bloqueo actual de la cuenta</t>
  </si>
  <si>
    <t>Número de la tarjeta, asignado por el sistema</t>
  </si>
  <si>
    <t>FECHA DE APERTURA DE LA TARJETA</t>
  </si>
  <si>
    <t>Fecha de emisión de la tarjeta</t>
  </si>
  <si>
    <t>BLOQUEO DE LA TARJETA</t>
  </si>
  <si>
    <t>Bloqueo actual de la tarjeta</t>
  </si>
  <si>
    <t>FECHA DE BLOQUEO DE LA TARJETA</t>
  </si>
  <si>
    <t>Fecha de bloqueo actual de la tarjeta</t>
  </si>
  <si>
    <t>FECHA DE VENCIMIENTO DE LA TARJETA</t>
  </si>
  <si>
    <t>Fecha de vencimiento de la tarjeta</t>
  </si>
  <si>
    <t>INDICADOR DE TARJETA INACTIVA</t>
  </si>
  <si>
    <t>Indicativo si la tarjeta está inactiva</t>
  </si>
  <si>
    <t>Y = Si esta inactiva</t>
  </si>
  <si>
    <t>N = No esta incativa, se proceso transacción de activación</t>
  </si>
  <si>
    <t>FECHA DE ACTIVACION DE LA TARJETA</t>
  </si>
  <si>
    <t>Fecha de activación de la tarjeta</t>
  </si>
  <si>
    <t>INDICADOR DE SERVICIO TELECODIGO</t>
  </si>
  <si>
    <t>Indicativo si la cuenta posee el servicio de telecodigo, USO FUTURO</t>
  </si>
  <si>
    <t>S = Si tiene el servicio</t>
  </si>
  <si>
    <t>N = No tiene el servicio</t>
  </si>
  <si>
    <t>SERVICIO DE ACUMULACION DE PUNTOS</t>
  </si>
  <si>
    <t>Indicativo si la cuenta participa del servicio de acumulación de puntos</t>
  </si>
  <si>
    <t>PROGRAMA DE FIDELIDAD</t>
  </si>
  <si>
    <t xml:space="preserve">Numero de Recompensa en caso de participar en acumulación de puntos Visa Reward </t>
  </si>
  <si>
    <t>Solo para cuentas Visa Platinum, si no es Platinum debe ser cero</t>
  </si>
  <si>
    <t>CODIGO UBIGEO</t>
  </si>
  <si>
    <t>Código UBIGEO</t>
  </si>
  <si>
    <t>Permite participar en el pre-enrolamiento  USO FUTURO</t>
  </si>
  <si>
    <t>ESTADO PRE-ENROLAMIENTO VERIFIED BY VISA</t>
  </si>
  <si>
    <t xml:space="preserve">Indica el resultado del pre-enrolamiento a Verified by Visa </t>
  </si>
  <si>
    <t>S = La tarjeta a sido pre-enrolada Verified by Visa</t>
  </si>
  <si>
    <t>N = La tarjeta no a sido pre-enrolada a Verified by Visa</t>
  </si>
  <si>
    <t>TELEFONO 2</t>
  </si>
  <si>
    <t>Segundo Teléfono del responsable de la cuenta</t>
  </si>
  <si>
    <t>INDICADOR PARA BLOQUEO DE ALERTAS</t>
  </si>
  <si>
    <t>Indicador de cliente preferente para bloqueo de alertas (para la tarjeta)</t>
  </si>
  <si>
    <t>Provision de uso futuro, deben ser espacios.</t>
  </si>
  <si>
    <t>SOLO PARA EMITIR PLASTICOS A UNA CUENTA TARJETA DE CREDITO</t>
  </si>
  <si>
    <t>"0002"</t>
  </si>
  <si>
    <t>Código del producto de tarjeta de crédito</t>
  </si>
  <si>
    <t>Deberá ser único por  Logo</t>
  </si>
  <si>
    <t>Debe ser cero, cuando la emisión se hace posterior a la apertura de la cuenta</t>
  </si>
  <si>
    <t>Si no es Lima. Indicar Ciudad - 1</t>
  </si>
  <si>
    <t>Ejemplo : Arequipa 1</t>
  </si>
  <si>
    <t xml:space="preserve">               Puno 1 etc.</t>
  </si>
  <si>
    <t>Permite participar en el pre-enrolamiento de Verified by Visa   USO FUTURO</t>
  </si>
  <si>
    <t>NUMERO DE TARJETA DEL EMISOR</t>
  </si>
  <si>
    <t>Enviar informaciòn solo si el emisor genera el nùmero.
Si la procesadora lo genera. Enviar Ceros</t>
  </si>
  <si>
    <t>Del HOST- T.C al HOST-Banco</t>
  </si>
  <si>
    <t>Número de la cuenta responsable de la tarjeta</t>
  </si>
  <si>
    <t>Número de la tarjeta asignado por el sistema</t>
  </si>
  <si>
    <t>FECHA DE APERTURA  DE LA TARJETA</t>
  </si>
  <si>
    <t>Indicativo si la cuenta posee el servicio de telecodigo USO FUTURO</t>
  </si>
  <si>
    <t xml:space="preserve">RESERVADO </t>
  </si>
  <si>
    <t>"0003"</t>
  </si>
  <si>
    <t>Código del producto de la cuenta paralela</t>
  </si>
  <si>
    <t>NUMERO DE CUENTA ORIGEN</t>
  </si>
  <si>
    <t>Número de la cuenta responsable de la linea paralela</t>
  </si>
  <si>
    <t>DATOS DE LA CUENTA PARALELA</t>
  </si>
  <si>
    <t>LINEA DE CREDITO PARALELA</t>
  </si>
  <si>
    <t>Línea de crédito paralela otorgada por la institución emisora</t>
  </si>
  <si>
    <t>Expresado en números enteros y en moneda Nuevos Soles</t>
  </si>
  <si>
    <t>Debe ser mínimo dos días antes del ciclo de facturación de la  cuenta origen</t>
  </si>
  <si>
    <t>Debe ser el código relacionador utilizado para la cuenta origen</t>
  </si>
  <si>
    <t>S = Cobrar, es necesario informar la cuenta de cobro (Siempre debe ser este valor)</t>
  </si>
  <si>
    <t>CODIGO DE PRODUCTO - LINEA PARALELA</t>
  </si>
  <si>
    <t>DATOS DE LA CUENTA ORIGEN</t>
  </si>
  <si>
    <t>NUMERO DE  CUENTA PARALELA</t>
  </si>
  <si>
    <t>Número de la cuenta paralela asignado por el sistema</t>
  </si>
  <si>
    <t xml:space="preserve"> Fecha de apertura de la cuenta paralela, asignado poe el sistema</t>
  </si>
  <si>
    <t>Fecha de vencimiento de la cuenta paralela</t>
  </si>
  <si>
    <t>NUMERO DE TARJETA PARALELA</t>
  </si>
  <si>
    <t>Número de la tarjeta paralela , asignado por el sistema, no genera plástico</t>
  </si>
  <si>
    <t>"0004"</t>
  </si>
  <si>
    <t>NUMERO TRACE DE ENLACE</t>
  </si>
  <si>
    <t>Es el número de trace de la transacción de afiliación de cuenta (txn 101)</t>
  </si>
  <si>
    <t>o el número de trace de la transacción de afiliación de cuenta empresarial (txn 181)</t>
  </si>
  <si>
    <t>No debe ser cero</t>
  </si>
  <si>
    <t>DIRECCION DOMICILIARIA - CUENTA</t>
  </si>
  <si>
    <t>TIPO DE VIA</t>
  </si>
  <si>
    <t>Tipo de vía</t>
  </si>
  <si>
    <t>Puede ser espacios, ver tabla de valores validos</t>
  </si>
  <si>
    <t>NOMBRE DE LA VIA</t>
  </si>
  <si>
    <t>Nombre de la vía</t>
  </si>
  <si>
    <t xml:space="preserve">NUMERO </t>
  </si>
  <si>
    <t xml:space="preserve">Número asignado </t>
  </si>
  <si>
    <t>Número de departamento asignado</t>
  </si>
  <si>
    <t xml:space="preserve">Número oficina asignado </t>
  </si>
  <si>
    <t>Número de piso asignado</t>
  </si>
  <si>
    <t>CODIGO DE MANZANA</t>
  </si>
  <si>
    <t>Código de manzana asignado</t>
  </si>
  <si>
    <t>CODIGO DE LOTE</t>
  </si>
  <si>
    <t xml:space="preserve">Código de lote asignado </t>
  </si>
  <si>
    <t>Número de interior asignado</t>
  </si>
  <si>
    <t>Número de sector asignado</t>
  </si>
  <si>
    <t>NUMERO DE KILOMETRO</t>
  </si>
  <si>
    <t xml:space="preserve">Número kilómetro asignado </t>
  </si>
  <si>
    <t>Tipo de zona</t>
  </si>
  <si>
    <t>Nombre de la zona</t>
  </si>
  <si>
    <t>DIRECCION DOMICILIARIA CONCATENADA</t>
  </si>
  <si>
    <t>Dirección domiciliaria concatenando todos los elementos de la dirección</t>
  </si>
  <si>
    <t>Descripción adicional de la dirección</t>
  </si>
  <si>
    <t>Código UBIGEO de la dirección</t>
  </si>
  <si>
    <t>No puede ser nulo</t>
  </si>
  <si>
    <t>Código postal de la dirección</t>
  </si>
  <si>
    <t>DIRECCION DE TRABAJO - CUENTA</t>
  </si>
  <si>
    <t>DIRECCION DE TRABAJO CONCATENADA</t>
  </si>
  <si>
    <t>Dirección de trabajo concatenando todos los elementos de la dirección</t>
  </si>
  <si>
    <t>INIDICADORES</t>
  </si>
  <si>
    <t>INDICADOR DE DIRECCION DE CORRESPONDENCIA</t>
  </si>
  <si>
    <t>Indica cual direccion (domiciliario, trabajo) se usará como dirección de correspondencia</t>
  </si>
  <si>
    <t>1 = Direccción domiciliaria</t>
  </si>
  <si>
    <t>2 = Dirección de trabajo</t>
  </si>
  <si>
    <t>INDICADOR DE DIRECCION DE ESTADOS DE CUENTA</t>
  </si>
  <si>
    <t>INSCRIPCION DE DATOS ADICIONALES DE TARJETA</t>
  </si>
  <si>
    <t>"0005"</t>
  </si>
  <si>
    <t>o el número de trace de la transacción de afiliación de tarjeta adicional (txn 102)</t>
  </si>
  <si>
    <t>APELLIDOS Y NOMBRES</t>
  </si>
  <si>
    <t>Apellido paterno del tarjetahabiente</t>
  </si>
  <si>
    <t>No puede ser espacios,</t>
  </si>
  <si>
    <t>Apellido materno del tarjetahabiente</t>
  </si>
  <si>
    <t>Apellido de casada del tarjetahabiente, en caso sea mujer y este casada</t>
  </si>
  <si>
    <t>DATOS DEL TARJETAHABIENTE</t>
  </si>
  <si>
    <t>Indicador del sexo del tarjetahabiente</t>
  </si>
  <si>
    <t>No puede ser espacios,  los valores validos son:</t>
  </si>
  <si>
    <t>M = Masculino</t>
  </si>
  <si>
    <t>F= Femenino</t>
  </si>
  <si>
    <t>Indicador del estado civil del tarjetahabiente</t>
  </si>
  <si>
    <t>S= Soltero</t>
  </si>
  <si>
    <t>C = Casado</t>
  </si>
  <si>
    <t>D = Divorciado</t>
  </si>
  <si>
    <t>V = Viudo</t>
  </si>
  <si>
    <t>Teléfono 2 de la tarjeta</t>
  </si>
  <si>
    <t>DIRECCION OPCIONAL DE ENTREGA DETARJETA</t>
  </si>
  <si>
    <t>DIRECCION DE TARJETA CONCATENADA</t>
  </si>
  <si>
    <t>Dirección de tarjeta concatenando todos los elementos de la dirección</t>
  </si>
  <si>
    <t>AGENCIA DE ENTREGA DE TARJETA</t>
  </si>
  <si>
    <t>Codigo de agencia donde se entregara la tarjeta</t>
  </si>
  <si>
    <t>Debe ser un código válido registrado en el sistema</t>
  </si>
  <si>
    <t>INDICADOR DE DIRECCION DE ENTREGA DE TARJETA</t>
  </si>
  <si>
    <t>para la entrega de la tarjeta</t>
  </si>
  <si>
    <t>3 = Dirección opcional de la tarjeta</t>
  </si>
  <si>
    <t>4 = Agencia</t>
  </si>
  <si>
    <t>NOMBRE DE MANDATARIO 1</t>
  </si>
  <si>
    <t>Nombre de la persona que puede recibir la tarjeta en ausencia del titular</t>
  </si>
  <si>
    <t>NOMBRE DE MANDATARIO 2</t>
  </si>
  <si>
    <t>PROMOCION DE AFILIACION DE TARJETA</t>
  </si>
  <si>
    <t>Codigo de promoción de afiliacion de tarjeta</t>
  </si>
  <si>
    <t>TIPO DE DOCUMENTO DE IDENTIDAD DEL MANDATARIO 1</t>
  </si>
  <si>
    <t>Tipo de documento de identidad del mandatario 1</t>
  </si>
  <si>
    <t>1 = DNI</t>
  </si>
  <si>
    <t>3 = Carnet de extranjeria</t>
  </si>
  <si>
    <t>4 = Carnet militar</t>
  </si>
  <si>
    <t>5 = Pasaporte</t>
  </si>
  <si>
    <t>6 = Otros</t>
  </si>
  <si>
    <t>NUMERO DEL DOCUMENTO DE IDENTIDAD - MANDATARIO 1</t>
  </si>
  <si>
    <t>Numero del documento de identidad del mandatario 1</t>
  </si>
  <si>
    <t>TELEFONO DEL MANDATARIO 1</t>
  </si>
  <si>
    <t>Teléfono del mandatario 1</t>
  </si>
  <si>
    <t>TIPO DE DOCUMENTO DE IDENTIDAD DEL MANDATARIO 2</t>
  </si>
  <si>
    <t>Tipo de documento de identidad del mandatario 2</t>
  </si>
  <si>
    <t>NUMERO DEL DOCUMENTO DE IDENTIDAD - MANDATARIO 2</t>
  </si>
  <si>
    <t>Numero del documento de identidad del mandatario 2</t>
  </si>
  <si>
    <t>TELEFONO DEL MANDATARIO 2</t>
  </si>
  <si>
    <t>Teléfono del mandatario 2</t>
  </si>
  <si>
    <t>DIRECCION OPCIONAL DE ENTREGA DE TARJETA</t>
  </si>
  <si>
    <t>"0006"</t>
  </si>
  <si>
    <t>DATOS DE MANTENIMIENTO</t>
  </si>
  <si>
    <t>CODIGO DEL CAMPO</t>
  </si>
  <si>
    <t>Ver la relación de los campos con sus códigos asignados</t>
  </si>
  <si>
    <t>Debe ser diferente de ceros</t>
  </si>
  <si>
    <t>LONGITUD DEL CAMPO</t>
  </si>
  <si>
    <t>Longitud del campo nuevo</t>
  </si>
  <si>
    <t>Ver relación de códigos de campos, para la longitud requerida</t>
  </si>
  <si>
    <t>VALOR NUEVO</t>
  </si>
  <si>
    <t>Contiene la información nueva ha ser actualizada en el campo indicado</t>
  </si>
  <si>
    <t>del archivo solicitado</t>
  </si>
  <si>
    <t>Ver relación de código de campos, para el formato requerido</t>
  </si>
  <si>
    <t>"0007"</t>
  </si>
  <si>
    <t>"0008"</t>
  </si>
  <si>
    <t>Número de la tarjeta</t>
  </si>
  <si>
    <t>MANTENIMIENTO DE DIRECCION OPCIONAL DE ENTREGA DE TARJETAS</t>
  </si>
  <si>
    <t>"0009"</t>
  </si>
  <si>
    <t>DATOS OPCIONALES  DE LOS MANDATARIOS</t>
  </si>
  <si>
    <t xml:space="preserve">  </t>
  </si>
  <si>
    <t>MANTENIMIENTO DE CUENTA DE COBRO</t>
  </si>
  <si>
    <t>TRANSACCION VALIDA SOLO PARA CUENTAS</t>
  </si>
  <si>
    <t>"0010"</t>
  </si>
  <si>
    <t>DATOS DE BLOQUEO</t>
  </si>
  <si>
    <t>BLOQUEO DE CUENTA</t>
  </si>
  <si>
    <t>"0130"</t>
  </si>
  <si>
    <t xml:space="preserve">CODIGO DE BLOQUEO </t>
  </si>
  <si>
    <t>Código de bloqueo que se aplicará a la cuenta en el campo de Bloqueo 1</t>
  </si>
  <si>
    <t>El bloqueo se traslada a todas las tarjetas dependientes de la cuenta</t>
  </si>
  <si>
    <t>Bloqueos permitidos:</t>
  </si>
  <si>
    <t>MOTIVO DE BLOQUEO</t>
  </si>
  <si>
    <t>FECHA DE BLOQUEO</t>
  </si>
  <si>
    <t>Fecha de bloqueo</t>
  </si>
  <si>
    <t>BLOQUEO DE TARJETA</t>
  </si>
  <si>
    <t>TRANSACCION VALIDA SOLO PARA TARJETAS</t>
  </si>
  <si>
    <t>"0012"</t>
  </si>
  <si>
    <t>Código de bloqueo que se aplicará a la tarjeta</t>
  </si>
  <si>
    <t>MANTENIMIENTO DE CUENTAS (006)</t>
  </si>
  <si>
    <t>NOMBRE DE CAMPO</t>
  </si>
  <si>
    <t>CODIGO</t>
  </si>
  <si>
    <t>ATRIBUTO</t>
  </si>
  <si>
    <t>LONG</t>
  </si>
  <si>
    <t xml:space="preserve">AN </t>
  </si>
  <si>
    <t>DIRECCION CORRESPONDENCIA 1 - LINEA 1</t>
  </si>
  <si>
    <t>DIRECCION CORRESPONDENCIA 1 - LINEA 2</t>
  </si>
  <si>
    <t>CIUDAD</t>
  </si>
  <si>
    <t>NOMBRE DE EMPRESA DONDE LABORA</t>
  </si>
  <si>
    <t>TELEFONO EMPRESA</t>
  </si>
  <si>
    <t>LINEA CREDITO</t>
  </si>
  <si>
    <t>NOMBRE CORTO</t>
  </si>
  <si>
    <t>CODIGO DE PERFIL DE CLIENTE</t>
  </si>
  <si>
    <t>MANTENIMIENTO DE TARJETAS (008)</t>
  </si>
  <si>
    <t>CODIGOS DE ERRORES</t>
  </si>
  <si>
    <t>NORMAL, SIN ERRORES</t>
  </si>
  <si>
    <t>00</t>
  </si>
  <si>
    <t>CODIGO DE PERFIL DE CLIENTE NO EXISTE</t>
  </si>
  <si>
    <t>04</t>
  </si>
  <si>
    <t>LOGO NO EXISTE</t>
  </si>
  <si>
    <t>05</t>
  </si>
  <si>
    <t>CUENTA NO EXISTE</t>
  </si>
  <si>
    <t>07</t>
  </si>
  <si>
    <t>CLIENTE NO EXISTE</t>
  </si>
  <si>
    <t>08</t>
  </si>
  <si>
    <t>CODIGO DE AGENCIA NO EXISTE</t>
  </si>
  <si>
    <t>09</t>
  </si>
  <si>
    <t>UBIGEO NO REGISTRADO</t>
  </si>
  <si>
    <t>13</t>
  </si>
  <si>
    <t>VALOR NO DEBE SER CERO</t>
  </si>
  <si>
    <t>16</t>
  </si>
  <si>
    <t>CAMPO NO DEBE SER NULO</t>
  </si>
  <si>
    <t>17</t>
  </si>
  <si>
    <t>CAMPO DEBE SER NUMERICO</t>
  </si>
  <si>
    <t>18</t>
  </si>
  <si>
    <t>CAMBIO YA REALIZADO. VALOR ANTERIOR IGUAL A NUEVO VALOR</t>
  </si>
  <si>
    <t>63</t>
  </si>
  <si>
    <t>OBSERVACIONES GENERALES</t>
  </si>
  <si>
    <t>Valores NULOS significa:</t>
  </si>
  <si>
    <t xml:space="preserve"> . Para campos ALFABETICOS        = ESPACIOS</t>
  </si>
  <si>
    <t xml:space="preserve"> . Para campos ALFANUMERICOS  = ESPACIOS</t>
  </si>
  <si>
    <t xml:space="preserve"> . Para campos NUMERICOS           = CERO</t>
  </si>
  <si>
    <t>a</t>
  </si>
  <si>
    <t>DSITC.S.D1D.MOVBTAS.D&amp;FECHA</t>
  </si>
  <si>
    <t>DSITC.S.D1D.FILELOG.D&amp;FECHA</t>
  </si>
  <si>
    <t>DSITC.S.D1D.ADCLIEN.D&amp;FECHA</t>
  </si>
  <si>
    <t>DSITC.S.D1D.CUENTAS.D&amp;FECHA</t>
  </si>
  <si>
    <t>DSITC.S.D1D.CARGDEB.D&amp;FECHA</t>
  </si>
  <si>
    <t>504 CCE</t>
  </si>
  <si>
    <t>"1"</t>
  </si>
  <si>
    <t>"0005450280000001034"</t>
  </si>
  <si>
    <t>"20130215"</t>
  </si>
  <si>
    <t>"001"</t>
  </si>
  <si>
    <t>"0051"</t>
  </si>
  <si>
    <t>"000096"</t>
  </si>
  <si>
    <t>"VENTANILLA"</t>
  </si>
  <si>
    <t>"00"</t>
  </si>
  <si>
    <t>"BANCO DE LA NACION"</t>
  </si>
  <si>
    <t>"604"</t>
  </si>
  <si>
    <t>"5450280000001034"</t>
  </si>
  <si>
    <r>
      <rPr>
        <sz val="9"/>
        <color rgb="FFFF0000"/>
        <rFont val="Courier New"/>
        <family val="3"/>
      </rPr>
      <t>FICTA</t>
    </r>
    <r>
      <rPr>
        <sz val="9"/>
        <rFont val="Courier New"/>
        <family val="3"/>
      </rPr>
      <t>aammdd.txt</t>
    </r>
  </si>
  <si>
    <r>
      <rPr>
        <sz val="9"/>
        <color rgb="FFFF0000"/>
        <rFont val="Courier New"/>
        <family val="3"/>
      </rPr>
      <t>ADCLI</t>
    </r>
    <r>
      <rPr>
        <sz val="9"/>
        <rFont val="Courier New"/>
        <family val="3"/>
      </rPr>
      <t>aammdd.txt</t>
    </r>
  </si>
  <si>
    <r>
      <rPr>
        <sz val="9"/>
        <color rgb="FFFF0000"/>
        <rFont val="Courier New"/>
        <family val="3"/>
      </rPr>
      <t>FISDO</t>
    </r>
    <r>
      <rPr>
        <sz val="9"/>
        <rFont val="Courier New"/>
        <family val="3"/>
      </rPr>
      <t>aammdd.txt</t>
    </r>
  </si>
  <si>
    <r>
      <rPr>
        <sz val="9"/>
        <color rgb="FFFF0000"/>
        <rFont val="Courier New"/>
        <family val="3"/>
      </rPr>
      <t>FILOG</t>
    </r>
    <r>
      <rPr>
        <sz val="9"/>
        <rFont val="Courier New"/>
        <family val="3"/>
      </rPr>
      <t>aammdd.txt</t>
    </r>
  </si>
  <si>
    <r>
      <rPr>
        <sz val="9"/>
        <color rgb="FFFF0000"/>
        <rFont val="Courier New"/>
        <family val="3"/>
      </rPr>
      <t>FITAR</t>
    </r>
    <r>
      <rPr>
        <sz val="9"/>
        <rFont val="Courier New"/>
        <family val="3"/>
      </rPr>
      <t>aammdd.txt</t>
    </r>
  </si>
  <si>
    <t>60418100054502800000005640010181000007753617001JOSE MENENDEZ R0000181000007753617STD0000000000000000000000000 A0NN1020120701201209172013022600000000000000000000000020130222201208100000000000000000000000002012092419520303201509170000000001000+0000000000000+0000000000000+000000000000000000000000000000000000000000000000000000000000000000000000000000000000000000000000000000000000000000000+0000000000780+0000000000000+0000000000000+0000000000780+0000000000000+0000000100000+002480014800000000000005450280000000564201209172015091700000000T0005450280000001034201210212017102100000000T                   000000000000000000000000                    000000000000000000000000                    000000000000000000000000 000000000000000000000000000000000    00000000</t>
  </si>
  <si>
    <t>181</t>
  </si>
  <si>
    <t>001</t>
  </si>
  <si>
    <t>0005450280000001034</t>
  </si>
  <si>
    <t>0005450280000000564</t>
  </si>
  <si>
    <t>P</t>
  </si>
  <si>
    <t xml:space="preserve">JOSE MENENDEZ RUIZ        </t>
  </si>
  <si>
    <t>20171021</t>
  </si>
  <si>
    <t>20121021</t>
  </si>
  <si>
    <t>20130226</t>
  </si>
  <si>
    <t>0000181000007753617</t>
  </si>
  <si>
    <t xml:space="preserve">MENENDEZ RUIZ                 </t>
  </si>
  <si>
    <t xml:space="preserve">JOSE TEOFILO                  </t>
  </si>
  <si>
    <t>10</t>
  </si>
  <si>
    <t xml:space="preserve">1000007753617       </t>
  </si>
  <si>
    <t xml:space="preserve">   </t>
  </si>
  <si>
    <t>604</t>
  </si>
  <si>
    <t>JOSE MENENDEZ R</t>
  </si>
  <si>
    <t>STD</t>
  </si>
  <si>
    <t>000</t>
  </si>
  <si>
    <t>0000000000000000000</t>
  </si>
  <si>
    <t>A</t>
  </si>
  <si>
    <t>0</t>
  </si>
  <si>
    <t>20120701</t>
  </si>
  <si>
    <t>20120917</t>
  </si>
  <si>
    <t>00000000</t>
  </si>
  <si>
    <t>20130222</t>
  </si>
  <si>
    <t>20120810</t>
  </si>
  <si>
    <t>20120924</t>
  </si>
  <si>
    <t>19520303</t>
  </si>
  <si>
    <t>20150917</t>
  </si>
  <si>
    <t>0000000001000</t>
  </si>
  <si>
    <t>+</t>
  </si>
  <si>
    <t>0000000000000</t>
  </si>
  <si>
    <t>0000000000780</t>
  </si>
  <si>
    <t>0000000100000</t>
  </si>
  <si>
    <t>00248</t>
  </si>
  <si>
    <t>00148</t>
  </si>
  <si>
    <t>00000</t>
  </si>
  <si>
    <t>T</t>
  </si>
  <si>
    <t xml:space="preserve">                   </t>
  </si>
  <si>
    <t>181000007753617</t>
  </si>
  <si>
    <t>ADDIC</t>
  </si>
  <si>
    <t>ADDIT</t>
  </si>
  <si>
    <t>FIPCT</t>
  </si>
  <si>
    <r>
      <t>CHGACT</t>
    </r>
    <r>
      <rPr>
        <sz val="9"/>
        <rFont val="Courier New"/>
        <family val="3"/>
      </rPr>
      <t>aammdd.txt</t>
    </r>
  </si>
  <si>
    <t>ex-CRGDEBaammdd.txt</t>
  </si>
  <si>
    <t>CHGACTaammdd.txt</t>
  </si>
  <si>
    <t>TIPO DE REGISTRO (igual a "0")</t>
  </si>
  <si>
    <t xml:space="preserve">01820130304135452000000800000000142649600000000000000000000000000008  </t>
  </si>
  <si>
    <t>7</t>
  </si>
  <si>
    <t>11818100000000000000000521628000000044500002013030401052000521628000000044500000000036139706040010000000000000000000000000CARGO POR SOBRREGIRO          1000000000000000000402432974200000000000002013030400000000    T    *</t>
  </si>
  <si>
    <t>15</t>
  </si>
  <si>
    <t>TOTAL DE CARGOS</t>
  </si>
  <si>
    <t>INDICADOR DE CUENTA  T TITULAR A ADICIONAL</t>
  </si>
  <si>
    <t>UNIDAD EJECUTORA</t>
  </si>
  <si>
    <r>
      <rPr>
        <sz val="9"/>
        <color rgb="FFFF0000"/>
        <rFont val="Courier New"/>
        <family val="3"/>
      </rPr>
      <t>AD312</t>
    </r>
    <r>
      <rPr>
        <sz val="9"/>
        <rFont val="Courier New"/>
        <family val="3"/>
      </rPr>
      <t>aammdd.txt</t>
    </r>
  </si>
  <si>
    <r>
      <rPr>
        <sz val="9"/>
        <color rgb="FFFF0000"/>
        <rFont val="Courier New"/>
        <family val="3"/>
      </rPr>
      <t>FICUO</t>
    </r>
    <r>
      <rPr>
        <sz val="9"/>
        <rFont val="Courier New"/>
        <family val="3"/>
      </rPr>
      <t>aammdd.txt</t>
    </r>
  </si>
  <si>
    <r>
      <rPr>
        <sz val="9"/>
        <color rgb="FFFF0000"/>
        <rFont val="Courier New"/>
        <family val="3"/>
      </rPr>
      <t>FIPCT</t>
    </r>
    <r>
      <rPr>
        <sz val="9"/>
        <rFont val="Courier New"/>
        <family val="3"/>
      </rPr>
      <t>aammdd.txt</t>
    </r>
  </si>
  <si>
    <r>
      <rPr>
        <sz val="9"/>
        <color rgb="FFFF0000"/>
        <rFont val="Courier New"/>
        <family val="3"/>
      </rPr>
      <t>ADDIT</t>
    </r>
    <r>
      <rPr>
        <sz val="9"/>
        <rFont val="Courier New"/>
        <family val="3"/>
      </rPr>
      <t>aammdd.txt</t>
    </r>
  </si>
  <si>
    <r>
      <rPr>
        <sz val="9"/>
        <color rgb="FFFF0000"/>
        <rFont val="Courier New"/>
        <family val="3"/>
      </rPr>
      <t>ADDIC</t>
    </r>
    <r>
      <rPr>
        <sz val="9"/>
        <rFont val="Courier New"/>
        <family val="3"/>
      </rPr>
      <t>aammdd.txt</t>
    </r>
  </si>
  <si>
    <r>
      <rPr>
        <sz val="9"/>
        <color rgb="FFFF0000"/>
        <rFont val="Courier New"/>
        <family val="3"/>
      </rPr>
      <t>FIMOV</t>
    </r>
    <r>
      <rPr>
        <sz val="9"/>
        <rFont val="Courier New"/>
        <family val="3"/>
      </rPr>
      <t>aammdd.txt</t>
    </r>
  </si>
  <si>
    <r>
      <rPr>
        <sz val="9"/>
        <color rgb="FFFF0000"/>
        <rFont val="Courier New"/>
        <family val="3"/>
      </rPr>
      <t>ADCHG</t>
    </r>
    <r>
      <rPr>
        <sz val="9"/>
        <rFont val="Courier New"/>
        <family val="3"/>
      </rPr>
      <t>aammdd.txt</t>
    </r>
  </si>
  <si>
    <r>
      <rPr>
        <sz val="9"/>
        <color rgb="FFFF0000"/>
        <rFont val="Courier New"/>
        <family val="3"/>
      </rPr>
      <t>FIREL</t>
    </r>
    <r>
      <rPr>
        <sz val="9"/>
        <rFont val="Courier New"/>
        <family val="3"/>
      </rPr>
      <t>aammdd.txt</t>
    </r>
  </si>
  <si>
    <t>0005450280|000000564</t>
  </si>
  <si>
    <t>10181000007753600</t>
  </si>
  <si>
    <t xml:space="preserve"> Logo - Tipo de producto</t>
  </si>
  <si>
    <t xml:space="preserve"> Nombre corto</t>
  </si>
  <si>
    <t xml:space="preserve">Cta. Cargo </t>
  </si>
  <si>
    <t>ex757</t>
  </si>
  <si>
    <t xml:space="preserve">18100200052277200000053700005227720000005362PMARIA ALARCO OLAVARRIA    2017022120130221N201303050000181000007243705ALARCO OLAVARRIA              MARIA JESUS                   01 1000007243705         </t>
  </si>
  <si>
    <t>Código de relación</t>
  </si>
  <si>
    <t xml:space="preserve">18100100054502800000010420005450280000002925PJAVIER URQUIAGA SALAZAR   2017102120121021N201303050000181000008099751URQUIAGA SALAZAR              JAVIER BALTAZAR               10 1000008099751         </t>
  </si>
  <si>
    <t>FISDOaammdd.txt</t>
  </si>
  <si>
    <t xml:space="preserve">Numerico </t>
  </si>
  <si>
    <t>Numero del Log del Told BN</t>
  </si>
  <si>
    <r>
      <t xml:space="preserve">HISTÓRICO DE CAMBIO DE LÍNEA </t>
    </r>
    <r>
      <rPr>
        <b/>
        <sz val="9"/>
        <color rgb="FFFF0000"/>
        <rFont val="Courier New"/>
        <family val="3"/>
      </rPr>
      <t>DE CRÉDITO</t>
    </r>
  </si>
  <si>
    <t>11818100000000000000000531013000000198100002019010101031000531013000000199900000000000000500005290000000000000000000000000ITF                           1001000000000  000000000000000000000I06093201901010000103131310529 000000000       *</t>
  </si>
  <si>
    <t>11818100000000000000000531013000000198100002019060301646000531013000000199900000000000500000001810000000000000000000000000INIT N-P DB                   1099000000000  000000000000000000000      201901010000000031310181 000000000       *</t>
  </si>
  <si>
    <t>11818100000000000000000531013000000198100002019060301646000531013000000199900000000000800000001810000000000000000000000000INIT N-P DB                   1099000000000  000000000000000000000      201901010000000031310181 000000000       *</t>
  </si>
  <si>
    <t>11818100000000000000000531013000000198100002019060301646000531013000000199900000000001000000001810000000000000000000000000INIT N-P DB                   1099000000000  000000000000000000000      201901010000000031310181 000000000       *</t>
  </si>
  <si>
    <t>11818100000000000000000531013000000198100002019060301646000531013000000199900000000002500000001810000000000000000000000000INIT N-P DB                   1099000000000  000000000000000000000      201901010000000031310181 000000000       *</t>
  </si>
  <si>
    <t>11818100000000000000000531013000000198100002019060301646000531013000000199900000000015000000001810000000000000000000000000INIT N-P DB                   1099000000000  000000000000000000000      201901010000000031310181 000000000       *</t>
  </si>
  <si>
    <t>2024022305000500000000000025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</si>
  <si>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1910000071000001020301A00050505050GOBIERNO                      00040404040GARCIA                                                      ALAN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</si>
  <si>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1910000191000000000000A00050505050GOBIERNO                      00040404040ZARATE   BENDEZU                                            MIRIAM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</si>
  <si>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1910000191000006009468A00001212121MINISTERIO DE RELACIONES EXTER00104273860CHAFLOQUE RAMIREZ                                           PEDRO PABLO                   CALLE LOS CRISANTEMOS 380 UR B. OF 000 PSO 000 MZ 000 LT 00 CORRALES              C  000240102000 00JR LAMPA 535 LIMA OF 000 PSO 000 MZ 000 000040506                                                       0000000000000000000000000000</t>
  </si>
  <si>
    <t>1910000191000006578456A00000132323COMISION DE PROMOCION DEL PERU00106167300SANCHEZ ESLAVA                                              EMILIANO                      OF 000 PSO 000 MZ 000 LT 00                                 ETEN                  E  000140103000 00AV. REPUBLICA DE PANAMA 3647 3 OF 000 PS000150131                                                       0000000000000000000000000000</t>
  </si>
  <si>
    <t>1910000191000007601347A00000143524SUPERINTENDENCIA NACIONAL DE A00106343600MANDUJANO NEYRA                                             DEMETRIO HUGO                 FRANCISCO LAZO 15 71 OF 000 PSO 000 MZ 000 LT 00            PICSI                 P  000140111000 00MA GRAU S N PROLOGACION LA C AL OF 000 P000150101                                                       0000000000000000000000000000</t>
  </si>
  <si>
    <t>1910000191000009478423A00050505050GOBIERNO                      00040404040MERINO   TAVARA                                             JOEL 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</si>
  <si>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1910000191000009478424A00050505050GOBIERNO                      00040404040GALESSE  SANCHEZ                                            CINDY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</si>
  <si>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1910000191000009478425A00050505050GOBIERNO                      00040404040SUAREZ   RIOS                                               MARIA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</si>
  <si>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1910000191000009478426A00050505050GOBIERNO                      00040404040TELLO    JIMENEZ                                            JUAN 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</si>
  <si>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1910000191000009478427A00050505050GOBIERNO                      00040404040WONG     LIU                                                MARIO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</si>
  <si>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1910000191000009478428A00050505050GOBIERNO                      00040404040VARGAS   MACHUCA                                            VANESSA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</si>
  <si>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1910000191000009478429A00050505050GOBIERNO                      00040404040MESA     PACORA                                             JESUS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</si>
  <si>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1910000191000009478430A00050505050GOBIERNO                      00040404040PANTOJA  ZARATE                                             JULIO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</si>
  <si>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1910000191000009478431A00050505050GOBIERNO                      00040404040RAVINES  DEL CARPIO                                         CARMEN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</si>
  <si>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1910000191000009478432A00050505050GOBIERNO                      00040404040MENDIOLA GARCIA                                             KATTY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</si>
  <si>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1910000191000009478433A00050505050GOBIERNO                      00040404040PAREDEZ  INGA                                               PABLO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</si>
  <si>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1910000191000009478434A00050505050GOBIERNO                      00040404040MILLAGUI SIU                                                PEDRO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</si>
  <si>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1910000191000009478477A00050505050GOBIERNO                      00040404040MERINO   TAVARA                                             JOEL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</si>
  <si>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1910000191000009478478A00050505050GOBIERNO                      00040404040GALESSE  SANCHEZ                                            CINDY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</si>
  <si>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1910000191000009478479A00050505050GOBIERNO                      00040404040SUAREZ   RIOS                                               MARIA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</si>
  <si>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1910000191000009478480A00050505050GOBIERNO                      00040404040TELLO    JIMENEZ                                            JUAN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</si>
  <si>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1910000191000009478481A00050505050GOBIERNO                      00040404040WONG     LIU                                                MARIO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</si>
  <si>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1910000191000009478482A00050505050GOBIERNO                      00040404040VARGAS   MACHUCA                                            VANESSA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</si>
  <si>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1910000191000009478483A00050505050GOBIERNO                      00040404040MESA     PACORA                                             JESUS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</si>
  <si>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1910000191000009478484A00050505050GOBIERNO                      00040404040PANTOJA  ZARATE                                             JULIO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</si>
  <si>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1910000191000009478485A00050505050GOBIERNO                      00040404040RAVINES  DEL CARPIO                                         CARMEN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</si>
  <si>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1910000191000009478486A00050505050GOBIERNO                      00040404040MENDIOLA GARCIA                                             KATTY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</si>
  <si>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1910000191000009478487A00050505050GOBIERNO                      00040404040PAREDEZ  INGA                                               PABLO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</si>
  <si>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1910000191000009478488A00050505050GOBIERNO                      00040404040MILLAGUI SIU                                                PEDRO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</si>
  <si>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1910000191000009478490A00050505050GOBIERNO                      00040404040MESANO   TIRADO                                             JOSE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</si>
  <si>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1910000191000009478491A00050505050GOBIERNO                      00040404040GALLARDO SANCHEZ                                            CRISTEL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</si>
  <si>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1910000191000009478492A00050505050GOBIERNO                      00040404040SUAREZ   REPES                                              MIRIAM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</si>
  <si>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1910000191000009478493A00050505050GOBIERNO                      00040404040PAZ      JIMENEZ                                            PABLO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</si>
  <si>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1910000191000009478495A00050505050GOBIERNO                      00040404040BARTRA   MEJIA                                              VIVIANA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</si>
  <si>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1910000191000009478496A00050505050GOBIERNO                      00040404040MENDEZ   MESA                                               JESUS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</si>
  <si>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1910000191000009478497A00050505050GOBIERNO                      00040404040PINTO    ZORRILLA                                           GIULIANO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</si>
  <si>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1910000191000009478498A00050505050GOBIERNO                      00040404040RUBIO    DELGADO                                            CARMELA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</si>
  <si>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1910000191000009478499A00050505050GOBIERNO                      00040404040MENDEZ   GARECA                                             PATTY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</si>
  <si>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1910000191000009478500A00050505050GOBIERNO                      00040404040PITA     INGARUCA                                           PITER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</si>
  <si>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1910000191000009478501A00050505050GOBIERNO                      00040404040MILLA    ESCANOA                                            PABLO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</si>
  <si>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1910000191000009478502A00050505050GOBIERNO                      00040404040MURGIA   TELLO                                              JUAN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</si>
  <si>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1910000191000009478503A00050505050GOBIERNO                      00040404040ZAPATA   PINTO                                              CAROLA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</si>
  <si>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1910000191000009478504A00050505050GOBIERNO                      00040404040SUCCA    REVOLLEDO                                          JULIA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</si>
  <si>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1910000191000009478505A00050505050GOBIERNO                      00040404040TORERO   JUPITER                                            SAUL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</si>
  <si>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1910000191000009478506A00050505050GOBIERNO                      00040404040WINTER   LOPEZ                                              MARLON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</si>
  <si>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1910000191000009478507A00050505050GOBIERNO                      00040404040VERGARA  MACHAS                                             MACARENA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</si>
  <si>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1910000191000009478508A00050505050GOBIERNO                      00040404040MESONES  PARIONA                                            JUDA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</si>
  <si>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1910000191000009478509A00050505050GOBIERNO                      00040404040ROJAS    ZARATE                                             SERAPIO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</si>
  <si>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1910000191000009478510A00050505050GOBIERNO                      00040404040RUBIO    DELGADO                                            CARMELA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</si>
  <si>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1910000191000009478511A00050505050GOBIERNO                      00040404040RAMIREZ  DEL CURRO                                          ESTEFANIA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</si>
  <si>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1910000191000009478512A00050505050GOBIERNO                      00040404040MENDIOLA GARATE                                             VIVIANA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</si>
  <si>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1910000191000009478513A00050505050GOBIERNO                      00040404040PANDURO  IGUANA                                             PITER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</si>
  <si>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1910000191000009478514A00050505050GOBIERNO                      00040404040RANCIO   SULCA                                              PAUL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</si>
  <si>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1910000191000009478515A00050505050GOBIERNO                      00040404040MERCURIO TAVARA                                             MAX 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</si>
  <si>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1910000191000009478516A00050505050GOBIERNO                      00040404040GALLEGOS SANCHEZ                                            URSULA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</si>
  <si>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1910000191000009478517A00050505050GOBIERNO                      00040404040SANCHEZ  RAMOS                                              MARIANA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</si>
  <si>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1910000191000009478518A00050505050GOBIERNO                      00040404040PILLA    JIMENEZ                                            JUAN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</si>
  <si>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1910000191000009478519A00050505050GOBIERNO                      00040404040WONG     LIU                                                MARGARITO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</si>
  <si>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1910000191000009478520A00050505050GOBIERNO                      00040404040VARGAS   MELCHOR                                            DINA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</si>
  <si>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1910000191000009478521A00050505050GOBIERNO                      00040404040MESA     PINATEA                                            JEREMIAS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</si>
  <si>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1910000191000009478522A00050505050GOBIERNO                      00040404040POMA     ZARATE                                             JESUS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</si>
  <si>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1910000191000009478523A00050505050GOBIERNO                      00040404040RAMOS    DURAND                                             ROSARIO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</si>
  <si>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1910000191000009478524A00050505050GOBIERNO                      00040404040MENDIOLA GARCIA                                             KATTY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</si>
  <si>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1910000191000009478525A00050505050GOBIERNO                      00040404040IANES    INGA                                               PERICO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</si>
  <si>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1910000191000009478526A00050505050GOBIERNO                      00040404040MILLAGUI SUECO                                              MALANIAS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</si>
  <si>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1910000191000009478527A00050505050GOBIERNO                      00040404040MERCURIO TANG                                               JUDA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</si>
  <si>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1910000191000009478528A00050505050GOBIERNO                      00040404040GAMMA    SANCHEZ                                            GISELA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</si>
  <si>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1910000191000009478529A00050505050GOBIERNO                      00040404040PEREZ    RIOS                                               MARIA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</si>
  <si>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1910000191000009478530A00050505050GOBIERNO                      00040404040MESA     JIMENEZ                                            RAMON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</si>
  <si>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1910000191000009478531A00050505050GOBIERNO                      00040404040PAREDEZ  LIU                                                LUCAS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</si>
  <si>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1910000191000009478532A00050505050GOBIERNO                      00040404040VIZCARRA MACHAS                                             ROCIO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</si>
  <si>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1910000191000009478533A00050505050GOBIERNO                      00040404040MATTOS   PARNA                                              JULIAN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</si>
  <si>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1910000191000009478534A00050505050GOBIERNO                      00040404040PANTOJA  ROA                                                WILMAR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</si>
  <si>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1910000191000009478535A00050505050GOBIERNO                      00040404040TELLO    DELGADO                                            CARMIN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</si>
  <si>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1910000191000009478536A00050505050GOBIERNO                      00040404040MENDEZ   GARRIDO                                            MIRIAM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</si>
  <si>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1910000191000009478537A00050505050GOBIERNO                      00040404040PAZ      ARAUJO                                             PEDRO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</si>
  <si>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1910000191000009478538A00050505050GOBIERNO                      00040404040MENDEZ   SIU                                                MARIANO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</si>
  <si>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1910000191000009478539A00050505050GOBIERNO                      00040404040MESA     TORNAOLA                                           PABLO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</si>
  <si>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1910000191000009478540A00050505050GOBIERNO                      00040404040PEREZ    SAVIA                                              LUCIANA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</si>
  <si>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1910000191000009478541A00050505050GOBIERNO                      00040404040PERALTA  RIOS                                               URSULA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</si>
  <si>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1910000191000009478542A00050505050GOBIERNO                      00040404040PERNO    TORO                                               MARCOS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</si>
  <si>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1910000191000009478543A00050505050GOBIERNO                      00040404040TORINO   LEE                                                MICHAEL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</si>
  <si>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1910000191000009478544A00050505050GOBIERNO                      00040404040VACA     MATOS                                              GRISELDA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</si>
  <si>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1910000191000009478545A00050505050GOBIERNO                      00040404040MESARINE PAZ                                                CESAR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</si>
  <si>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1910000191000009478546A00050505050GOBIERNO                      00040404040PANTOJA  VENTANILLA                                         JORGE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</si>
  <si>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1910000191000009478547A00050505050GOBIERNO                      00040404040RAVINES  ROSELL                                             KARINA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</si>
  <si>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1910000191000009478548A00050505050GOBIERNO                      00040404040MENDIOLA PITA                                               TEOFILA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</si>
  <si>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1910000191000009478549A00050505050GOBIERNO                      00040404040PEREZ    PIZARRO                                            LUIS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</si>
  <si>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1910000191000009478550A00050505050GOBIERNO                      00040404040SUAREZ   PERON                                              MARTIN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</si>
  <si>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1910000191000009478551A00050505050GOBIERNO                      00040404040FLOREZ   HUAMAN                                             RAUL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</si>
  <si>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1910000191000009478552A00050505050GOBIERNO                      00040404040GARCIA   VASQUEZ                                            CARMELA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</si>
  <si>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1910000191000009478553A00050505050GOBIERNO                      00040404040ROJAS    MAMANI                                             STEFANY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</si>
  <si>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1910000191000009478554A00050505050GOBIERNO                      00040404040DIAZ     GONZALEZ                                           ELIAS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</si>
  <si>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1910000191000009478555A00050505050GOBIERNO                      00040404040CHAVEZ   CASTILLO                                           LUCAS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</si>
  <si>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1910000191000009478556A00050505050GOBIERNO                      00040404040VARGAS   MACHUCA                                            VANESSA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</si>
  <si>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1910000191000009478557A00050505050GOBIERNO                      00040404040MESA     PACORA                                             JESUS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</si>
  <si>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1910000191000009478558A00050505050GOBIERNO                      00040404040PANTOJA  ZARATE                                             JULIO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</si>
  <si>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1910000191000009478559A00050505050GOBIERNO                      00040404040RAVINES  DEL CARPIO                                         CARMEN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</si>
  <si>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1910000191000009478560A00050505050GOBIERNO                      00040404040MENDIOLA GARCIA                                             KATTY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</si>
  <si>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1910000191000009478561A00050505050GOBIERNO                      00040404040PAREDEZ  INGA                                               PABLO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</si>
  <si>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1910000191000009478562A00050505050GOBIERNO                      00040404040MILLAGUI SIU                                                PEDRO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</si>
  <si>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1910000191000009478563A00050505050GOBIERNO                      00040404040GUARDIA  RIVADENEYRA                                        PIERO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</si>
  <si>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1910000191000009478564A00050505050GOBIERNO                      00040404040TARAZONA CASTILLO                                           MARIA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</si>
  <si>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1910000191000009478565A00050505050GOBIERNO                      00040404040CHAVEZ   RIOS                                               MARY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</si>
  <si>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1910000191000009478566A00050505050GOBIERNO                      00040404040TELLO    JIMENEZ                                            JUAN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</si>
  <si>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1910000191000009478567A00050505050GOBIERNO                      00040404040TALAVERA LLAMA                                              MIRKO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</si>
  <si>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1910000191000009478568A00050505050GOBIERNO                      00040404040ROSALES  MENA                                               VERENISE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</si>
  <si>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1910000191000009478569A00050505050GOBIERNO                      00040404040SIFUENTESPACORA                                             MARCELO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</si>
  <si>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1910000191000009478570A00050505050GOBIERNO                      00040404040PAZ      KUKURELLO                                          DUILIO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</si>
  <si>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1910000191000009478571A00050505050GOBIERNO                      00040404040PEREZ    LESCANO                                            MARTHA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</si>
  <si>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1910000191000009478572A00050505050GOBIERNO                      00040404040MERINO   SOCRATES                                           DINA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</si>
  <si>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1910000191000009478573A00050505050GOBIERNO                      00040404040RAVELLO  PAZ                                                FRANCISCO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</si>
  <si>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1910000191000009478574A00050505050GOBIERNO                      00040404040MINA     TELLO                                              PABLO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</si>
  <si>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1910000191000009478575A00050505050GOBIERNO                      00040404040BARAKUS  MERINO                                             MARIO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</si>
  <si>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1910000191000009478576A00050505050GOBIERNO                      00040404040QUISPE   PEREZ                                              CAROL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</si>
  <si>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1910000191000009478577A00050505050GOBIERNO                      00040404040TAPIA    RIOS                                               HILDA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</si>
  <si>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1910000191000009478578A00050505050GOBIERNO                      00040404040CARRILLO PAZ                                                CESAR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</si>
  <si>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1910000191000009478579A00050505050GOBIERNO                      00040404040WONG     PACORA                                             KENNETH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</si>
  <si>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1910000191000009478580A00050505050GOBIERNO                      00040404040VARILLAS ROSALES                                            ROMULO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</si>
  <si>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1910000191000009478581A00050505050GOBIERNO                      00040404040DESSA    DIAZ                                               TOMAS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</si>
  <si>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1910000191000009478582A00050505050GOBIERNO                      00040404040PINO     SALAS                                              JULIO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</si>
  <si>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1910000191000009478583A00050505050GOBIERNO                      00040404040MONTOYA  DEL NILO                                           JULIA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</si>
  <si>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1910000191000009478584A00050505050GOBIERNO                      00040404040MIRO     GARCIA                                             ROCIO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</si>
  <si>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1910000191000009478585A00050505050GOBIERNO                      00040404040PAYTA    INGA                                               JULIAN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</si>
  <si>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1910000191000009478586A00050505050GOBIERNO                      00040404040MILLAGUI REVOREDO                                           SANDRO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</si>
  <si>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1910000191000009478587A00050505050GOBIERNO                      00040404040CLEMENTE TAVARA                                             GEORGE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</si>
  <si>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1910000191000009478589A00050505050GOBIERNO                      00040404040JUAREZ   ROA                                                VANIA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</si>
  <si>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1910000191000009478590A00050505050GOBIERNO                      00040404040IBARRA   JIMENEZ                                            CHECHO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</si>
  <si>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1910000191000009478591A00050505050GOBIERNO                      00040404040LEE      CARBAJAL                                           DINO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</si>
  <si>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1910000191000009478592A00050505050GOBIERNO                      00040404040KOO      SIU                                                MARCIA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</si>
  <si>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1910000191000009478593A00050505050GOBIERNO                      00040404040MESA     KUKURELLO                                          IVAN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</si>
  <si>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1910000191000009478594A00050505050GOBIERNO                      00040404040RIVERA   LEE                                                DARIO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</si>
  <si>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1910000191000009478595A00050505050GOBIERNO                      00040404040RIOJA    DEL POZO                                           LUCIA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</si>
  <si>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1910000191000009478596A00050505050GOBIERNO                      00040404040MENA     TELLO                                              ROSARIO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</si>
  <si>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1910000191000009478597A00050505050GOBIERNO                      00040404040PERES    CHUNGA                                             PABLO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</si>
  <si>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1910000191000009478598A00050505050GOBIERNO                      00040404040MITO     DURAND                                             JOSUE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</si>
  <si>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1910000191000009478599A00050505050GOBIERNO                      00040404040CRUZ     CRUZ                                               IVAN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</si>
  <si>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1910000191000009478601A00050505050GOBIERNO                      00040404040PERALES  MESA                                               JOSE LUIS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</si>
  <si>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1910000191000009478602A00050505050GOBIERNO                      00040404040MERINO   PINZON                                             RAUL 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</si>
  <si>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1910000191000009478603A00050505050GOBIERNO                      00040404040GALENO   SANCHEZ                                            CARLA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</si>
  <si>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1910000191000009478604A00050505050GOBIERNO                      00040404040SAENZ    ROJAS                                              MARIA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</si>
  <si>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1910000191000009478605A00050505050GOBIERNO                      00040404040PAZ      JIMENEZ                                            PABLO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</si>
  <si>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1910000191000009478607A00050505050GOBIERNO                      00040404040BACA     MEJIA                                              VIVIANA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</si>
  <si>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1910000191000009478608A00050505050GOBIERNO                      00040404040MENDO    MESA                                               JESUS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</si>
  <si>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1910000191000009478609A00050505050GOBIERNO                      00040404040PINO     ZOGA                                               GIULIANO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</si>
  <si>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1910000191000009478610A00050505050GOBIERNO                      00040404040RUPA     DELGADO                                            CARMELA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</si>
  <si>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1910000191000009478611A00050505050GOBIERNO                      00040404040MESA     TAVARA                                             PATTY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</si>
  <si>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1910000191000009478612A00050505050GOBIERNO                      00040404040PITIN    MENA                                               PITER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</si>
  <si>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1910000191000009478613A00050505050GOBIERNO                      00040404040MILPA    ROSADO                                             PABLO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</si>
  <si>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1910000191000009478614A00050505050GOBIERNO                      00040404040MASO     TELLO                                              PEDRO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</si>
  <si>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1910000191000009478615A00050505050GOBIERNO                      00040404040ZACAPA   PINO                                               CAROLA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</si>
  <si>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1910000191000009478616A00050505050GOBIERNO                      00040404040SUMA     RAVELLO                                            JULIA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</si>
  <si>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1910000191000009478617A00050505050GOBIERNO                      00040404040SOTERO   HERRERA                                            SAUL 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</si>
  <si>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1910000191000009478618A00050505050GOBIERNO                      00040404040STUAR    LINO                                               MARLON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</si>
  <si>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1910000191000009478619A00050505050GOBIERNO                      00040404040VEGA     MENDO                                              MACARENA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</si>
  <si>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1910000191000009478620A00050505050GOBIERNO                      00040404040MIU      PARCO                                              JUDA 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</si>
  <si>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1910000191000009478621A00050505050GOBIERNO                      00040404040ROA      ZAENS                                              SERAPIO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</si>
  <si>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1910000191000009478622A00050505050GOBIERNO                      00040404040CASTRO   DELGADO                                            CARMELA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</si>
  <si>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1910000191000009478623A00050505050GOBIERNO                      00040404040PEREZ    PRADO                                              ESTEFANIA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</si>
  <si>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1910000191000009478624A00050505050GOBIERNO                      00040404040MINA     GUTIERRES                                          VIVIANA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</si>
  <si>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1910000191000009478625A00050505050GOBIERNO                      00040404040PANTOJA  GUERRERO                                           PITER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</si>
  <si>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1910000191000009478626A00050505050GOBIERNO                      00040404040MERINO   CASTRO                                             PAUL 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</si>
  <si>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1910000191000009478627A00050505050GOBIERNO                      00040404040MALTA    TAVARA                                             MAX  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</si>
  <si>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1910000191000009478628A00050505050GOBIERNO                      00040404040GALLEGOS MURO                                               URSULA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</si>
  <si>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1910000191000009478629A00050505050GOBIERNO                      00040404040SANCHO   RAMIREZ                                            MARIANA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</si>
  <si>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1910000191000009478630A00050505050GOBIERNO                      00040404040PINO     FUSTER                                             JUAN 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</si>
  <si>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1910000191000009478631A00050505050GOBIERNO                      00040404040SERVAT   LIU                                                MARGARITO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</si>
  <si>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1910000191000009478632A00050505050GOBIERNO                      00040404040TELLO    MESA                                               DINA 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</si>
  <si>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1910000191000009478633A00050505050GOBIERNO                      00040404040MICA     PINO                                               JEREMIAS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</si>
  <si>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1910000191000009478634A00050505050GOBIERNO                      00040404040PASOS    ZOSA                                               JESUS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</si>
  <si>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1910000191000009478635A00050505050GOBIERNO                      00040404040DENEGRI  DUAARTE                                            ROSARIO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</si>
  <si>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1910000191000009478636A00050505050GOBIERNO                      00040404040VACA     GARRIDO                                            KATTY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</si>
  <si>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1910000191000009478637A00050505050GOBIERNO                      00040404040ILLANES  SEGURA                                             PERICO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</si>
  <si>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1910000191000009478638A00050505050GOBIERNO                      00040404040MORENO   MUNOZ                                              MALANIAS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</si>
  <si>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1910000191000009478639A00050505050GOBIERNO                      00040404040PAZ      PAZ                                                JUDA 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</si>
  <si>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1910000191000009478640A00050505050GOBIERNO                      00040404040GARRIDO  LEDESMA                                            GISELA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</si>
  <si>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1910000191000009478641A00050505050GOBIERNO                      00040404040TORRES   CASTILLO                                           MARIA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</si>
  <si>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1910000191000009478642A00050505050GOBIERNO                      00040404040BLADES   DEL CARPIO                                         RAMON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</si>
  <si>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1910000191000009478643A00050505050GOBIERNO                      00040404040DANTE    WONG                                               LUCAS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</si>
  <si>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1910000191000009478644A00050505050GOBIERNO                      00040404040VIZO     BACA                                               ROCIO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</si>
  <si>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1910000191000009478645A00050505050GOBIERNO                      00040404040MANSILLA PERES                                              JULIAN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</si>
  <si>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1910000191000009478646A00050505050GOBIERNO                      00040404040ZUMARAN  REYNOSO                                            WILMAR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</si>
  <si>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1910000191000009478651A00050505050GOBIERNO                      00040404040MESA     PINZON                                             CARLOS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</si>
  <si>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1910000191000009478652A00050505050GOBIERNO                      00040404040GARZA    SANCHEZ                                            KARINA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</si>
  <si>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1910000191000009478653A00050505050GOBIERNO                      00040404040SANTOS   ROJAS                                              MARIELA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</si>
  <si>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1910000191000009478654A00050505050GOBIERNO                      00040404040POTRO    JIMENEZ                                            JUAN 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</si>
  <si>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1910000191000009478655A00050505050GOBIERNO                      00040404040SERPA    LEE                                                MARIANO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</si>
  <si>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1910000191000009478656A00050505050GOBIERNO                      00040404040SALAZAR  MEJIA                                              TATIANA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</si>
  <si>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1910000191000009478657A00050505050GOBIERNO                      00040404040MORENO   MESA                                               TOMAS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</si>
  <si>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1910000191000009478658A00050505050GOBIERNO                      00040404040PEREZ    ZOGA                                               JAVIER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</si>
  <si>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1910000191000009478659A00050505050GOBIERNO                      00040404040ROA      DELGADO                                            ANGELA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</si>
  <si>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1910000191000009478660A00050505050GOBIERNO                      00040404040NUA      TAVARA                                             PARIS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</si>
  <si>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1910000191000009478661A00050505050GOBIERNO                      00040404040POMA     MENA                                               MARCO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</si>
  <si>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1910000191000009478662A00050505050GOBIERNO                      00040404040MILLA    ROSADO                                             TOBIAS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</si>
  <si>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1910000191000009478663A00050505050GOBIERNO                      00040404040AQUINO   TELLO                                              JULIO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</si>
  <si>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1910000191000009478664A00050505050GOBIERNO                      00040404040ZADIAZ   PINO                                               KAREN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</si>
  <si>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1910000191000009478665A00050505050GOBIERNO                      00040404040SAENZ    RAVELLO                                            RINA 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</si>
  <si>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1910000191000009478666A00050505050GOBIERNO                      00040404040SOLORZANOHERRERA                                            SANTIAGO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</si>
  <si>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1910000191000009478667A00050505050GOBIERNO                      00040404040SILVA    LINO                                               MARIO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</si>
  <si>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1910000191000009478668A00050505050GOBIERNO                      00040404040SALAS    MENDO                                              MARINA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</si>
  <si>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1910000191000009478669A00050505050GOBIERNO                      00040404040PRADO    PAZ                                                JUAN 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</si>
  <si>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1910000191000009478670A00050505050GOBIERNO                      00040404040RODRIGUEZSALAS                                              TOMAS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</si>
  <si>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1910000191000009478671A00050505050GOBIERNO                      00040404040CASO     DELGADO                                            ANA  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</si>
  <si>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1910000191000009478672A00050505050GOBIERNO                      00040404040PINO     PRADO                                              ESTELA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</si>
  <si>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1910000191000009478673A00050505050GOBIERNO                      00040404040COPELLO  GUTIERRES                                          AMY  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</si>
  <si>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1910000191000009478674A00050505050GOBIERNO                      00040404040PINTO    GUERRERO                                           PAUL 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</si>
  <si>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1910000191000009478675A00050505050GOBIERNO                      00040404040MESA     CASTRO                                             JOEL 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</si>
  <si>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1910000191000009478676A00050505050GOBIERNO                      00040404040MASA     TAVARA                                             MAXIMILIANO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</si>
  <si>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1910000191000009478677A00050505050GOBIERNO                      00040404040GALENO   MURO                                               VALERIA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</si>
  <si>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1910000191000009478678A00050505050GOBIERNO                      00040404040SANTOS   RAMIREZ                                            MARIELLA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</si>
  <si>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1910000191000009478679A00050505050GOBIERNO                      00040404040PEREZ    FUSTER                                             JOEL 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</si>
  <si>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1910000191000009478680A00050505050GOBIERNO                      00040404040SENKO    LEE                                                DARIO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</si>
  <si>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1910000191000009478681A00050505050GOBIERNO                      00040404040TASSO    MURGIA                                             CARMEN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</si>
  <si>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1910000191000009478682A00050505050GOBIERNO                      00040404040TORO     PINO                                               JEFRI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</si>
  <si>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1910000191000009478683A00050505050GOBIERNO                      00040404040RIOS     ZOSA                                               JEREMIAS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</si>
  <si>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1910000191000009478684A00050505050GOBIERNO                      00040404040DESSA    DUAARTE                                            DANIELA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</si>
  <si>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1910000191000009478685A00050505050GOBIERNO                      00040404040SIU      GARAY                                              KAREN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</si>
  <si>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1910000191000009478686A00050505050GOBIERNO                      00040404040COLLADO  SEGURA                                             PEDRO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</si>
  <si>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1910000191000009478687A00050505050GOBIERNO                      00040404040MONROY   SOTO                                               JORGE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</si>
  <si>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1910000191000009478688A00050505050GOBIERNO                      00040404040POZO     PAZ                                                LUCIO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</si>
  <si>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1910000191000009478689A00050505050GOBIERNO                      00040404040TAVARA   LECCA                                              LUCIA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</si>
  <si>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1910000191000009478690A00050505050GOBIERNO                      00040404040CARPIO   CASTILLO                                           MERCEDES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</si>
  <si>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1910000191000009478691A00050505050GOBIERNO                      00040404040WARTHON  DELGADO                                            ALDO 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</si>
  <si>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1910000191000009478692A00050505050GOBIERNO                      00040404040DANTE    WONG                                               PEDRO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</si>
  <si>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1910000191000009478693A00050505050GOBIERNO                      00040404040VIZO     BACA                                               ROSMERY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</si>
  <si>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1910000191000009478694A00050505050GOBIERNO                      00040404040MANSILLA PERES                                              JULIO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</si>
  <si>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1910000191000009478695A00050505050GOBIERNO                      00040404040ZUMARAN  REYNOSO                                            WILLLIAM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</si>
  <si>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1910000191000009478696A00050505050GOBIERNO                      00040404040FERRO    DEZA                                               CARMEN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</si>
  <si>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1910000191000009478697A00050505050GOBIERNO                      00040404040ZARATE   BENDEZU                                            MARY 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</si>
  <si>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1910000191000009478698A00050505050GOBIERNO                      00040404040PERLA    ARAUJO                                             RODRIGO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</si>
  <si>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1910000191000009478699A00050505050GOBIERNO                      00040404040SOTO     SANCHEZ                                            MARIO 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</si>
  <si>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1910000191000009478918A00050505050GOBIERNO                      00040404040SANCHEZ  SANCHEZ                                            KARINA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</si>
  <si>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1910000191000009478920A00050505050GOBIERNO                      00040404040SANCHEZ  SUSANIBAR                                          CARLOS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</si>
  <si>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1910000191000009478921A00050505050GOBIERNO                      00040404040SANCHEZ  SANCHEZ                                            KARINA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</si>
  <si>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1910000191000009478922A00050505050GOBIERNO                      00040404040SANCHEZ  SUSANIBAR                                          CARLOS                        AV MOLINA 123 DPT 101 OF A00 PSO 020 MZ 03Q LT 0 INT 05A SEC.                     .  000110101CAL LECARABAYA 0000 DPT 01DE01 OF 1 OFI PSO 11000110101CASTILLO                                               0000000000000000000000000000</t>
  </si>
  <si>
    <t>1910000191000009678953A00050505050GOBIERNO                      00040404040GARCES                                                      ALAN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</si>
  <si>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1910000191000009678954A00050505050GOBIERNO                      00040404040SEGURA                                                      LUNA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</si>
  <si>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1910000191000009678955A00050505050GOBIERNO                      00040404040GUERRA                                                      EDUARDO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</si>
  <si>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1910000191000009678956A00050505050GOBIERNO                      00040404040LUNA                                                        MARCEL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</si>
  <si>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1910000191000009678957A00050505050GOBIERNO                      00040404040VASQUEZ                                                     VIOLETA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</si>
  <si>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1910000191000009678958A00050505050GOBIERNO                      00040404040MIRANDA                                                     LUIS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</si>
  <si>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1910000191000009678959A00050505050GOBIERNO                      00040404040TALLEDO                                                     JAVIER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</si>
  <si>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1910000191000009678960A00050505050GOBIERNO                      00040404040MORALES                                                     KATIA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</si>
  <si>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1910000191000009678961A00050505050GOBIERNO                      00040404040SANCHEZ                                                     EDSON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</si>
  <si>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1910000191000009678962A00050505050GOBIERNO                      00040404040LOPEZ                                                       PAUL                          AV MOLINA 123 DPT 101 OF A00 PSO 020 MZ 03Q LT 0 INT 05A SECICA                   I  000110101CAL LECARABAYA 0000 DPT 01DE01 OF 1 OFI PSO 11000110101CASTILLO                                               0000000000000000000000000000</t>
  </si>
  <si>
    <t>1910000191000010135089A00004444444MINISTERIO DE RELACIONES EXTER00014273860CHAFLOQUE QUIROZ                                            KARINA ROSA                   GONZALES PAVON 4 74 OF 000 PSO 000 MZ 000 LT 00             .                     .  000140114000 00JR LAMPA 535 LIMA OF 000 PSO 000 MZ 000 000010306                                                       0000000000000000000000000000</t>
  </si>
  <si>
    <t>1910000191000015743653A00004443333MINISTERIO DE RELACIONES EXTER00014273860NAKAMA BISSO                                                MARIO JESUS                   PROLG PASEO DE LA REPUBLI CA OF 000 PSO 000 MZ 000 LT 00    .                     .  000140130000 00JR LAMPA 535 LIMA OF 000 PSO 000 MZ 000 000010306                                                       0000000000000000000000000000</t>
  </si>
  <si>
    <t>1910000191000016727214A00009994444MINISTERIO DE RELACIONES EXTER00014273860BENEL ZAPATA                                                JORGE LUIS                    LOS VICUS 181 EDIF .D OF 000 PSO 000 MZ 000 LT 00           .                     .  000140130000 00JR LAMPA 535 LIMA OF 000 PSO 000 MZ 000 000010306                                                       0000000000000000000000000000</t>
  </si>
  <si>
    <t>1910000191000032483106A00001212121MEF ADMINISTRACION DE LA DEUDA00103115930ARANDA DE MONTALVO                                          ABIGAIL                       CASERIO HUALLH UA OF 000 PSO 000 MZ 000 LT 00               ACO                   A  000020902000 00AV. BOULEVARD S N OF 000 PSO 000 MZ 000 000090404                                                       0000000000000000000000000000</t>
  </si>
  <si>
    <t>1910000191000041525017A00932401409IZIPAY                        00000000000PRUEBA                                                      PRUEBA                        PRUEBA                        PRUEBA                        PRUEBA                L  000150101                                                                                                              0000000000000000000000000000</t>
  </si>
  <si>
    <t>1910000191000041525018A00932401409PRUEBA                        00000000000PRUEBA                                                      PRUEBA                        PRUEBA                        PRUEBA                        PRUEBA                   000150101                                                                                                              0000000000000000000000000000</t>
  </si>
  <si>
    <t>1910000191000070548130A00000143524MINISTERIO DE RELACIONES EXTER00104273860PERALTA DELGADO                                             WESLEY                        AV. FERNANDO BELAUNDE T. 307 U OF 000 PSO 000 MZ 000 LT 00  TRUJILLO              T  000130101000 00JR LAMPA 535 LIMA OF 000 PSO 000 MZ 000 000040506                                                       0000000000000000000000000000</t>
  </si>
  <si>
    <t>1920000191000041525017A00932401409IZIPAY                        00000000000PRUEBA                                                      PRUEBA                        PRUEBA                        PRUEBA                        PRUEBA                L  000150101                                                                                                              0000000000000000000000000000</t>
  </si>
  <si>
    <t>1920000191000041525018A00932401409PRUEBA                        00000000000PRUEBA                                                      PRUEBA                        PRUEBA                        PRUEBA                        PRUEBA                   000150101                                                                                                              0000000000000000000000000000</t>
  </si>
  <si>
    <t>KEY</t>
  </si>
  <si>
    <t>Tipo DNI</t>
  </si>
  <si>
    <t>1000009478679</t>
  </si>
  <si>
    <t xml:space="preserve">B031242200000820100001900053092701000006490225164031000851110000000000000032011700000N0000000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</si>
  <si>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19100100053092701000011360005309270100000077PPEDRO CHAFLOQUE RAMIREZ   2029022820240211N202410160000191000006009468CHAFLOQUE RAMIREZ             PEDRO PABLO                   0700000600946801         </t>
  </si>
  <si>
    <t>60419100053092701000007130010191000007601347001DEMETRIO MANDUJ0000191000007601347STD000000                    D RR0520241020202410202024102000000000000000000000000000000000000000000000000000000000000000002024102019441017202902280000000007000+0000000000000+0000000000000+000000000000000000000000000000000000000000000000000000000000000000000000000000000000000000000000000000000000000000000+0000000000000+0000000000000+0000000000000+0000000007000+0000000000000+0000000700000+00248001480000000000                   000000000000000000000000                    000000000000000000000000                    000000000000000000000000                    000000000000000000000000                    000000000000000000000000 000000000000000000000000000000000    00000000999999999999999990000000000000000000000000000000000000000000000000002024102120241029</t>
  </si>
  <si>
    <t>60419100053092701000000780010191000007601347001DEMETRIO MANDUJ0000191000007601347STD0000000000000000000000000PA0NN0720240211202410162024101600000000000000000000000020241020202410070000000020241019000000002024102219441017202902280000000900000+0000000000000+0000000000000+000000000000000000000000000000000000000000000000000000000000000000000000000000000000000000000000000000000000000094000+0000000899060+0000000027000+0000000078000+0000000899060+0000000094000+0000090000000+002480014800000000000005309270100001144202402112029022800000000T                   000000000000000000000000                    000000000000000000000000                    000000000000000000000000                    000000000000000000000000 000000000000000000000000000000000    00000000999999999999999990000000000000000000000000000000000000000000000000002024100120241031</t>
  </si>
  <si>
    <t>11900000000000000000000530927010000007600002024101901652000530927010000112800000000004100000000000000000000000000000000000REPEAT N-P DB                 1088000000000  999999999999990000000      000000000000000031310000 000000000       *</t>
  </si>
  <si>
    <t>6041910005309270300000442001003S002482024022700000000202410200000000000000000000000000000000000000+0000000173000+0000000000000+0000000173000+0000000000000000000000000000000000000000000000000000000000000000000000000000000000000000000000000000000000000000000000000000000000+00000000000000000000000000000000000000000000000000000000000000000000000000000000000000000000000000000000000000000000000000000000000000000173000+Z0000000000000000000000000000000000000000000000000000000000000000000000000000000000000000000000000000017300000000000000000000000000000000000000000000000000000000000000000000000000+STD000000000000000000+0000000000000+0000000000000+0000000000000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</si>
</sst>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"/>
    <numFmt numFmtId="165" formatCode="000"/>
  </numFmts>
  <fonts count="36" x14ac:knownFonts="1">
    <font>
      <sz val="12"/>
      <name val="Courier"/>
    </font>
    <font>
      <sz val="1"/>
      <color indexed="16"/>
      <name val="Courier"/>
      <family val="3"/>
    </font>
    <font>
      <b/>
      <sz val="1"/>
      <color indexed="16"/>
      <name val="Courier"/>
      <family val="3"/>
    </font>
    <font>
      <sz val="12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sz val="9"/>
      <name val="Tahoma"/>
      <family val="2"/>
    </font>
    <font>
      <b/>
      <sz val="9"/>
      <name val="Tahoma"/>
      <family val="2"/>
    </font>
    <font>
      <b/>
      <u/>
      <sz val="9"/>
      <name val="Tahoma"/>
      <family val="2"/>
    </font>
    <font>
      <sz val="8"/>
      <name val="Courier"/>
      <family val="3"/>
    </font>
    <font>
      <sz val="9"/>
      <name val="Courier New"/>
      <family val="3"/>
    </font>
    <font>
      <b/>
      <sz val="9"/>
      <name val="Courier New"/>
      <family val="3"/>
    </font>
    <font>
      <sz val="9"/>
      <color indexed="18"/>
      <name val="Tahoma"/>
      <family val="2"/>
    </font>
    <font>
      <b/>
      <u/>
      <sz val="9"/>
      <name val="Courier New"/>
      <family val="3"/>
    </font>
    <font>
      <sz val="12"/>
      <name val="Courier"/>
      <family val="3"/>
    </font>
    <font>
      <b/>
      <sz val="12"/>
      <name val="Arial"/>
      <family val="2"/>
    </font>
    <font>
      <sz val="10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  <font>
      <sz val="9"/>
      <color rgb="FFFF0000"/>
      <name val="Courier New"/>
      <family val="3"/>
    </font>
    <font>
      <b/>
      <sz val="10"/>
      <name val="Arial"/>
      <family val="2"/>
    </font>
    <font>
      <sz val="9"/>
      <color rgb="FFFF0000"/>
      <name val="Tahoma"/>
      <family val="2"/>
    </font>
    <font>
      <sz val="8"/>
      <name val="Courier New"/>
      <family val="3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Tahoma"/>
      <family val="2"/>
    </font>
    <font>
      <b/>
      <sz val="9"/>
      <color rgb="FFFF33CC"/>
      <name val="Courier New"/>
      <family val="3"/>
    </font>
    <font>
      <sz val="12"/>
      <name val="Courier New"/>
      <family val="3"/>
    </font>
    <font>
      <b/>
      <sz val="12"/>
      <color rgb="FFFF0000"/>
      <name val="Arial"/>
      <family val="2"/>
    </font>
    <font>
      <strike/>
      <sz val="8"/>
      <color rgb="FFFF0000"/>
      <name val="Arial"/>
      <family val="2"/>
    </font>
    <font>
      <sz val="12"/>
      <color rgb="FFFF0000"/>
      <name val="Arial"/>
      <family val="2"/>
    </font>
    <font>
      <b/>
      <sz val="9"/>
      <color rgb="FFFF000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33CC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11">
    <xf numFmtId="0" fontId="0" fillId="0" borderId="0"/>
    <xf numFmtId="164" fontId="1" fillId="0" borderId="0">
      <protection locked="0"/>
    </xf>
    <xf numFmtId="164" fontId="2" fillId="0" borderId="0">
      <protection locked="0"/>
    </xf>
    <xf numFmtId="164" fontId="2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64" fontId="1" fillId="0" borderId="1">
      <protection locked="0"/>
    </xf>
    <xf numFmtId="0" fontId="20" fillId="0" borderId="0"/>
    <xf numFmtId="0" fontId="4" fillId="0" borderId="0"/>
  </cellStyleXfs>
  <cellXfs count="564">
    <xf numFmtId="0" fontId="0" fillId="0" borderId="0" xfId="0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left"/>
    </xf>
    <xf numFmtId="0" fontId="3" fillId="0" borderId="0" xfId="0" quotePrefix="1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horizontal="right" wrapText="1"/>
    </xf>
    <xf numFmtId="0" fontId="3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right"/>
    </xf>
    <xf numFmtId="0" fontId="8" fillId="0" borderId="0" xfId="0" applyNumberFormat="1" applyFont="1" applyFill="1" applyBorder="1" applyAlignment="1" applyProtection="1">
      <alignment horizontal="left"/>
    </xf>
    <xf numFmtId="0" fontId="8" fillId="2" borderId="2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/>
    <xf numFmtId="0" fontId="8" fillId="2" borderId="4" xfId="0" applyNumberFormat="1" applyFont="1" applyFill="1" applyBorder="1" applyAlignment="1" applyProtection="1"/>
    <xf numFmtId="0" fontId="8" fillId="2" borderId="5" xfId="0" applyNumberFormat="1" applyFont="1" applyFill="1" applyBorder="1" applyAlignment="1" applyProtection="1"/>
    <xf numFmtId="0" fontId="8" fillId="2" borderId="5" xfId="0" applyNumberFormat="1" applyFont="1" applyFill="1" applyBorder="1" applyAlignment="1" applyProtection="1">
      <alignment horizontal="right"/>
    </xf>
    <xf numFmtId="0" fontId="8" fillId="2" borderId="6" xfId="0" applyNumberFormat="1" applyFont="1" applyFill="1" applyBorder="1" applyAlignment="1" applyProtection="1"/>
    <xf numFmtId="0" fontId="8" fillId="0" borderId="7" xfId="0" applyNumberFormat="1" applyFont="1" applyFill="1" applyBorder="1" applyAlignment="1" applyProtection="1"/>
    <xf numFmtId="0" fontId="8" fillId="0" borderId="7" xfId="0" applyNumberFormat="1" applyFont="1" applyFill="1" applyBorder="1" applyAlignment="1" applyProtection="1">
      <alignment horizontal="right"/>
    </xf>
    <xf numFmtId="0" fontId="8" fillId="0" borderId="0" xfId="0" quotePrefix="1" applyNumberFormat="1" applyFont="1" applyFill="1" applyBorder="1" applyAlignment="1" applyProtection="1">
      <alignment horizontal="right"/>
    </xf>
    <xf numFmtId="0" fontId="8" fillId="0" borderId="0" xfId="0" applyNumberFormat="1" applyFont="1" applyFill="1" applyBorder="1" applyAlignment="1" applyProtection="1">
      <alignment horizontal="right" wrapText="1"/>
    </xf>
    <xf numFmtId="0" fontId="8" fillId="0" borderId="0" xfId="0" applyNumberFormat="1" applyFont="1" applyFill="1" applyBorder="1" applyAlignment="1" applyProtection="1">
      <alignment wrapText="1"/>
    </xf>
    <xf numFmtId="0" fontId="8" fillId="2" borderId="5" xfId="0" applyNumberFormat="1" applyFont="1" applyFill="1" applyBorder="1" applyAlignment="1" applyProtection="1">
      <alignment wrapText="1"/>
    </xf>
    <xf numFmtId="0" fontId="8" fillId="2" borderId="5" xfId="0" applyNumberFormat="1" applyFont="1" applyFill="1" applyBorder="1" applyAlignment="1" applyProtection="1">
      <alignment horizontal="right" wrapText="1"/>
    </xf>
    <xf numFmtId="0" fontId="8" fillId="2" borderId="6" xfId="0" applyNumberFormat="1" applyFont="1" applyFill="1" applyBorder="1" applyAlignment="1" applyProtection="1">
      <alignment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9" fillId="0" borderId="0" xfId="0" applyFont="1"/>
    <xf numFmtId="0" fontId="8" fillId="0" borderId="3" xfId="0" applyNumberFormat="1" applyFont="1" applyFill="1" applyBorder="1" applyAlignment="1" applyProtection="1">
      <alignment wrapText="1"/>
    </xf>
    <xf numFmtId="0" fontId="8" fillId="2" borderId="4" xfId="0" applyNumberFormat="1" applyFont="1" applyFill="1" applyBorder="1" applyAlignment="1" applyProtection="1">
      <alignment wrapText="1"/>
    </xf>
    <xf numFmtId="0" fontId="9" fillId="0" borderId="0" xfId="0" applyFont="1" applyAlignment="1">
      <alignment wrapText="1"/>
    </xf>
    <xf numFmtId="0" fontId="8" fillId="0" borderId="0" xfId="0" quotePrefix="1" applyNumberFormat="1" applyFont="1" applyFill="1" applyBorder="1" applyAlignment="1" applyProtection="1"/>
    <xf numFmtId="0" fontId="9" fillId="0" borderId="0" xfId="0" quotePrefix="1" applyFont="1"/>
    <xf numFmtId="0" fontId="8" fillId="3" borderId="0" xfId="0" applyNumberFormat="1" applyFont="1" applyFill="1" applyBorder="1" applyAlignment="1" applyProtection="1"/>
    <xf numFmtId="0" fontId="8" fillId="3" borderId="0" xfId="0" applyNumberFormat="1" applyFont="1" applyFill="1" applyBorder="1" applyAlignment="1" applyProtection="1">
      <alignment wrapText="1"/>
    </xf>
    <xf numFmtId="0" fontId="8" fillId="0" borderId="0" xfId="0" applyNumberFormat="1" applyFont="1" applyFill="1" applyBorder="1" applyAlignment="1" applyProtection="1">
      <alignment horizontal="center"/>
    </xf>
    <xf numFmtId="0" fontId="8" fillId="2" borderId="4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wrapText="1"/>
    </xf>
    <xf numFmtId="0" fontId="8" fillId="0" borderId="0" xfId="0" quotePrefix="1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0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wrapText="1"/>
    </xf>
    <xf numFmtId="0" fontId="10" fillId="0" borderId="0" xfId="0" applyNumberFormat="1" applyFont="1" applyFill="1" applyBorder="1" applyAlignment="1" applyProtection="1">
      <alignment horizontal="right" wrapText="1"/>
    </xf>
    <xf numFmtId="0" fontId="10" fillId="0" borderId="0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left"/>
    </xf>
    <xf numFmtId="0" fontId="10" fillId="2" borderId="2" xfId="0" applyNumberFormat="1" applyFont="1" applyFill="1" applyBorder="1" applyAlignment="1" applyProtection="1"/>
    <xf numFmtId="0" fontId="10" fillId="0" borderId="3" xfId="0" applyNumberFormat="1" applyFont="1" applyFill="1" applyBorder="1" applyAlignment="1" applyProtection="1">
      <alignment wrapText="1"/>
    </xf>
    <xf numFmtId="0" fontId="10" fillId="0" borderId="7" xfId="0" applyNumberFormat="1" applyFont="1" applyFill="1" applyBorder="1" applyAlignment="1" applyProtection="1"/>
    <xf numFmtId="0" fontId="10" fillId="2" borderId="4" xfId="0" applyNumberFormat="1" applyFont="1" applyFill="1" applyBorder="1" applyAlignment="1" applyProtection="1"/>
    <xf numFmtId="0" fontId="10" fillId="2" borderId="5" xfId="0" applyNumberFormat="1" applyFont="1" applyFill="1" applyBorder="1" applyAlignment="1" applyProtection="1">
      <alignment wrapText="1"/>
    </xf>
    <xf numFmtId="0" fontId="10" fillId="2" borderId="5" xfId="0" applyNumberFormat="1" applyFont="1" applyFill="1" applyBorder="1" applyAlignment="1" applyProtection="1"/>
    <xf numFmtId="0" fontId="10" fillId="2" borderId="5" xfId="0" applyNumberFormat="1" applyFont="1" applyFill="1" applyBorder="1" applyAlignment="1" applyProtection="1">
      <alignment horizontal="right" wrapText="1"/>
    </xf>
    <xf numFmtId="0" fontId="10" fillId="2" borderId="6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left" wrapText="1"/>
    </xf>
    <xf numFmtId="0" fontId="10" fillId="0" borderId="0" xfId="0" applyNumberFormat="1" applyFont="1" applyFill="1" applyBorder="1" applyAlignment="1" applyProtection="1">
      <alignment horizontal="right"/>
    </xf>
    <xf numFmtId="0" fontId="10" fillId="0" borderId="0" xfId="0" applyFont="1" applyAlignment="1">
      <alignment horizontal="center"/>
    </xf>
    <xf numFmtId="0" fontId="16" fillId="0" borderId="0" xfId="0" applyFont="1"/>
    <xf numFmtId="0" fontId="11" fillId="0" borderId="0" xfId="0" applyFont="1" applyAlignment="1">
      <alignment horizontal="center"/>
    </xf>
    <xf numFmtId="0" fontId="8" fillId="0" borderId="0" xfId="0" quotePrefix="1" applyNumberFormat="1" applyFont="1" applyFill="1" applyBorder="1" applyAlignment="1" applyProtection="1">
      <alignment horizontal="center"/>
    </xf>
    <xf numFmtId="0" fontId="17" fillId="0" borderId="0" xfId="0" applyFont="1"/>
    <xf numFmtId="0" fontId="15" fillId="0" borderId="0" xfId="0" applyFont="1" applyAlignment="1">
      <alignment horizontal="center"/>
    </xf>
    <xf numFmtId="0" fontId="8" fillId="4" borderId="0" xfId="0" applyNumberFormat="1" applyFont="1" applyFill="1" applyBorder="1" applyAlignment="1" applyProtection="1">
      <alignment wrapText="1"/>
    </xf>
    <xf numFmtId="0" fontId="8" fillId="4" borderId="0" xfId="0" applyNumberFormat="1" applyFont="1" applyFill="1" applyBorder="1" applyAlignment="1" applyProtection="1">
      <alignment horizontal="right"/>
    </xf>
    <xf numFmtId="0" fontId="8" fillId="4" borderId="0" xfId="0" applyNumberFormat="1" applyFont="1" applyFill="1" applyBorder="1" applyAlignment="1" applyProtection="1">
      <alignment horizontal="right" wrapText="1"/>
    </xf>
    <xf numFmtId="0" fontId="8" fillId="4" borderId="0" xfId="0" applyNumberFormat="1" applyFont="1" applyFill="1" applyBorder="1" applyAlignment="1" applyProtection="1">
      <alignment horizontal="left"/>
    </xf>
    <xf numFmtId="0" fontId="8" fillId="4" borderId="0" xfId="0" applyNumberFormat="1" applyFont="1" applyFill="1" applyBorder="1" applyAlignment="1" applyProtection="1">
      <alignment horizontal="left" wrapText="1"/>
    </xf>
    <xf numFmtId="0" fontId="8" fillId="4" borderId="0" xfId="0" applyNumberFormat="1" applyFont="1" applyFill="1" applyBorder="1" applyAlignment="1" applyProtection="1"/>
    <xf numFmtId="0" fontId="9" fillId="4" borderId="0" xfId="0" applyFont="1" applyFill="1" applyAlignment="1">
      <alignment wrapText="1"/>
    </xf>
    <xf numFmtId="0" fontId="0" fillId="4" borderId="0" xfId="0" applyFill="1"/>
    <xf numFmtId="0" fontId="8" fillId="0" borderId="0" xfId="0" applyFont="1"/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8" fillId="0" borderId="0" xfId="0" applyFont="1" applyAlignment="1">
      <alignment horizontal="center"/>
    </xf>
    <xf numFmtId="0" fontId="8" fillId="0" borderId="0" xfId="0" applyFont="1" applyFill="1"/>
    <xf numFmtId="0" fontId="8" fillId="5" borderId="0" xfId="0" applyNumberFormat="1" applyFont="1" applyFill="1" applyBorder="1" applyAlignment="1" applyProtection="1">
      <alignment horizontal="left" wrapText="1"/>
    </xf>
    <xf numFmtId="0" fontId="19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wrapText="1" shrinkToFit="1"/>
    </xf>
    <xf numFmtId="0" fontId="3" fillId="5" borderId="2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>
      <alignment wrapText="1"/>
    </xf>
    <xf numFmtId="0" fontId="3" fillId="0" borderId="7" xfId="0" applyNumberFormat="1" applyFont="1" applyFill="1" applyBorder="1" applyAlignment="1" applyProtection="1"/>
    <xf numFmtId="0" fontId="3" fillId="0" borderId="8" xfId="0" applyNumberFormat="1" applyFont="1" applyFill="1" applyBorder="1" applyAlignment="1" applyProtection="1"/>
    <xf numFmtId="0" fontId="3" fillId="5" borderId="2" xfId="0" applyNumberFormat="1" applyFont="1" applyFill="1" applyBorder="1" applyAlignment="1" applyProtection="1">
      <alignment horizontal="center"/>
    </xf>
    <xf numFmtId="0" fontId="3" fillId="5" borderId="7" xfId="0" applyNumberFormat="1" applyFont="1" applyFill="1" applyBorder="1" applyAlignment="1" applyProtection="1">
      <alignment wrapText="1"/>
    </xf>
    <xf numFmtId="0" fontId="3" fillId="5" borderId="7" xfId="0" applyNumberFormat="1" applyFont="1" applyFill="1" applyBorder="1" applyAlignment="1" applyProtection="1"/>
    <xf numFmtId="0" fontId="3" fillId="5" borderId="7" xfId="0" applyNumberFormat="1" applyFont="1" applyFill="1" applyBorder="1" applyAlignment="1" applyProtection="1">
      <alignment wrapText="1" shrinkToFit="1"/>
    </xf>
    <xf numFmtId="0" fontId="3" fillId="5" borderId="5" xfId="0" applyNumberFormat="1" applyFont="1" applyFill="1" applyBorder="1" applyAlignment="1" applyProtection="1">
      <alignment wrapText="1"/>
    </xf>
    <xf numFmtId="0" fontId="3" fillId="5" borderId="9" xfId="0" applyNumberFormat="1" applyFont="1" applyFill="1" applyBorder="1" applyAlignment="1" applyProtection="1"/>
    <xf numFmtId="0" fontId="3" fillId="0" borderId="7" xfId="0" applyNumberFormat="1" applyFont="1" applyFill="1" applyBorder="1" applyAlignment="1" applyProtection="1">
      <alignment wrapText="1"/>
    </xf>
    <xf numFmtId="0" fontId="3" fillId="0" borderId="7" xfId="0" applyNumberFormat="1" applyFont="1" applyFill="1" applyBorder="1" applyAlignment="1" applyProtection="1">
      <alignment wrapText="1" shrinkToFit="1"/>
    </xf>
    <xf numFmtId="0" fontId="3" fillId="0" borderId="0" xfId="0" applyNumberFormat="1" applyFont="1" applyFill="1" applyBorder="1" applyAlignment="1" applyProtection="1">
      <alignment horizontal="left" wrapText="1" shrinkToFit="1"/>
    </xf>
    <xf numFmtId="0" fontId="3" fillId="5" borderId="4" xfId="0" applyNumberFormat="1" applyFont="1" applyFill="1" applyBorder="1" applyAlignment="1" applyProtection="1"/>
    <xf numFmtId="0" fontId="3" fillId="5" borderId="5" xfId="0" applyNumberFormat="1" applyFont="1" applyFill="1" applyBorder="1" applyAlignment="1" applyProtection="1"/>
    <xf numFmtId="0" fontId="3" fillId="5" borderId="5" xfId="0" applyNumberFormat="1" applyFont="1" applyFill="1" applyBorder="1" applyAlignment="1" applyProtection="1">
      <alignment wrapText="1" shrinkToFit="1"/>
    </xf>
    <xf numFmtId="0" fontId="3" fillId="1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10" xfId="0" applyNumberFormat="1" applyFont="1" applyFill="1" applyBorder="1" applyAlignment="1" applyProtection="1">
      <alignment wrapText="1"/>
    </xf>
    <xf numFmtId="0" fontId="3" fillId="2" borderId="2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/>
    <xf numFmtId="0" fontId="3" fillId="2" borderId="4" xfId="0" applyNumberFormat="1" applyFont="1" applyFill="1" applyBorder="1" applyAlignment="1" applyProtection="1"/>
    <xf numFmtId="0" fontId="3" fillId="2" borderId="5" xfId="0" applyNumberFormat="1" applyFont="1" applyFill="1" applyBorder="1" applyAlignment="1" applyProtection="1"/>
    <xf numFmtId="0" fontId="3" fillId="2" borderId="5" xfId="0" applyNumberFormat="1" applyFont="1" applyFill="1" applyBorder="1" applyAlignment="1" applyProtection="1">
      <alignment horizontal="right"/>
    </xf>
    <xf numFmtId="0" fontId="3" fillId="2" borderId="6" xfId="0" applyNumberFormat="1" applyFont="1" applyFill="1" applyBorder="1" applyAlignment="1" applyProtection="1"/>
    <xf numFmtId="0" fontId="3" fillId="0" borderId="7" xfId="0" applyNumberFormat="1" applyFont="1" applyFill="1" applyBorder="1" applyAlignment="1" applyProtection="1">
      <alignment horizontal="right"/>
    </xf>
    <xf numFmtId="0" fontId="3" fillId="0" borderId="0" xfId="9" applyFont="1"/>
    <xf numFmtId="0" fontId="3" fillId="0" borderId="0" xfId="9" applyNumberFormat="1" applyFont="1" applyFill="1" applyBorder="1" applyAlignment="1" applyProtection="1"/>
    <xf numFmtId="0" fontId="3" fillId="0" borderId="0" xfId="9" applyNumberFormat="1" applyFont="1" applyFill="1" applyBorder="1" applyAlignment="1" applyProtection="1">
      <alignment horizontal="center"/>
    </xf>
    <xf numFmtId="0" fontId="3" fillId="0" borderId="0" xfId="9" applyNumberFormat="1" applyFont="1" applyFill="1" applyBorder="1" applyAlignment="1" applyProtection="1">
      <alignment wrapText="1"/>
    </xf>
    <xf numFmtId="0" fontId="3" fillId="0" borderId="2" xfId="9" applyNumberFormat="1" applyFont="1" applyFill="1" applyBorder="1" applyAlignment="1" applyProtection="1"/>
    <xf numFmtId="0" fontId="3" fillId="0" borderId="3" xfId="9" applyNumberFormat="1" applyFont="1" applyFill="1" applyBorder="1" applyAlignment="1" applyProtection="1"/>
    <xf numFmtId="0" fontId="3" fillId="0" borderId="11" xfId="9" applyNumberFormat="1" applyFont="1" applyFill="1" applyBorder="1" applyAlignment="1" applyProtection="1">
      <alignment horizontal="center" wrapText="1"/>
    </xf>
    <xf numFmtId="0" fontId="3" fillId="0" borderId="5" xfId="9" applyFont="1" applyBorder="1" applyAlignment="1">
      <alignment horizontal="center" wrapText="1"/>
    </xf>
    <xf numFmtId="0" fontId="3" fillId="0" borderId="0" xfId="9" applyFont="1" applyAlignment="1">
      <alignment horizontal="center"/>
    </xf>
    <xf numFmtId="0" fontId="3" fillId="0" borderId="7" xfId="9" applyNumberFormat="1" applyFont="1" applyFill="1" applyBorder="1" applyAlignment="1" applyProtection="1"/>
    <xf numFmtId="0" fontId="3" fillId="0" borderId="7" xfId="9" applyNumberFormat="1" applyFont="1" applyFill="1" applyBorder="1" applyAlignment="1" applyProtection="1">
      <alignment horizontal="center"/>
    </xf>
    <xf numFmtId="0" fontId="3" fillId="5" borderId="0" xfId="9" applyNumberFormat="1" applyFont="1" applyFill="1" applyBorder="1" applyAlignment="1" applyProtection="1">
      <alignment horizontal="left"/>
    </xf>
    <xf numFmtId="0" fontId="3" fillId="0" borderId="0" xfId="9" quotePrefix="1" applyNumberFormat="1" applyFont="1" applyFill="1" applyBorder="1" applyAlignment="1" applyProtection="1">
      <alignment horizontal="center"/>
    </xf>
    <xf numFmtId="0" fontId="3" fillId="0" borderId="0" xfId="9" applyNumberFormat="1" applyFont="1" applyFill="1" applyBorder="1" applyAlignment="1" applyProtection="1">
      <alignment horizontal="left"/>
    </xf>
    <xf numFmtId="0" fontId="3" fillId="6" borderId="0" xfId="9" applyNumberFormat="1" applyFont="1" applyFill="1" applyBorder="1" applyAlignment="1" applyProtection="1">
      <alignment horizontal="left"/>
    </xf>
    <xf numFmtId="0" fontId="3" fillId="7" borderId="0" xfId="9" applyNumberFormat="1" applyFont="1" applyFill="1" applyBorder="1" applyAlignment="1" applyProtection="1">
      <alignment horizontal="left"/>
    </xf>
    <xf numFmtId="0" fontId="3" fillId="8" borderId="0" xfId="9" applyNumberFormat="1" applyFont="1" applyFill="1" applyBorder="1" applyAlignment="1" applyProtection="1">
      <alignment horizontal="left"/>
    </xf>
    <xf numFmtId="0" fontId="21" fillId="0" borderId="0" xfId="9" applyNumberFormat="1" applyFont="1" applyFill="1" applyBorder="1" applyAlignment="1" applyProtection="1"/>
    <xf numFmtId="0" fontId="21" fillId="0" borderId="0" xfId="9" applyNumberFormat="1" applyFont="1" applyFill="1" applyBorder="1" applyAlignment="1" applyProtection="1">
      <alignment horizontal="center"/>
    </xf>
    <xf numFmtId="0" fontId="22" fillId="0" borderId="0" xfId="9" applyNumberFormat="1" applyFont="1" applyFill="1" applyBorder="1" applyAlignment="1" applyProtection="1">
      <alignment wrapText="1"/>
    </xf>
    <xf numFmtId="0" fontId="21" fillId="0" borderId="0" xfId="9" applyFont="1" applyAlignment="1">
      <alignment horizontal="center"/>
    </xf>
    <xf numFmtId="0" fontId="3" fillId="3" borderId="0" xfId="9" applyNumberFormat="1" applyFont="1" applyFill="1" applyBorder="1" applyAlignment="1" applyProtection="1">
      <alignment horizontal="left"/>
    </xf>
    <xf numFmtId="0" fontId="3" fillId="9" borderId="0" xfId="9" applyNumberFormat="1" applyFont="1" applyFill="1" applyBorder="1" applyAlignment="1" applyProtection="1">
      <alignment horizontal="left"/>
    </xf>
    <xf numFmtId="0" fontId="3" fillId="10" borderId="0" xfId="9" applyNumberFormat="1" applyFont="1" applyFill="1" applyBorder="1" applyAlignment="1" applyProtection="1">
      <alignment horizontal="left"/>
    </xf>
    <xf numFmtId="0" fontId="3" fillId="11" borderId="0" xfId="9" applyNumberFormat="1" applyFont="1" applyFill="1" applyBorder="1" applyAlignment="1" applyProtection="1">
      <alignment horizontal="left"/>
    </xf>
    <xf numFmtId="0" fontId="3" fillId="12" borderId="0" xfId="9" applyNumberFormat="1" applyFont="1" applyFill="1" applyBorder="1" applyAlignment="1" applyProtection="1">
      <alignment horizontal="left"/>
    </xf>
    <xf numFmtId="0" fontId="3" fillId="13" borderId="0" xfId="9" applyNumberFormat="1" applyFont="1" applyFill="1" applyBorder="1" applyAlignment="1" applyProtection="1">
      <alignment horizontal="left"/>
    </xf>
    <xf numFmtId="0" fontId="3" fillId="14" borderId="0" xfId="9" applyNumberFormat="1" applyFont="1" applyFill="1" applyBorder="1" applyAlignment="1" applyProtection="1">
      <alignment horizontal="left"/>
    </xf>
    <xf numFmtId="0" fontId="3" fillId="0" borderId="0" xfId="9" applyFont="1" applyAlignment="1">
      <alignment wrapText="1"/>
    </xf>
    <xf numFmtId="0" fontId="3" fillId="0" borderId="12" xfId="9" applyNumberFormat="1" applyFont="1" applyFill="1" applyBorder="1" applyAlignment="1" applyProtection="1"/>
    <xf numFmtId="0" fontId="3" fillId="0" borderId="13" xfId="9" applyNumberFormat="1" applyFont="1" applyFill="1" applyBorder="1" applyAlignment="1" applyProtection="1"/>
    <xf numFmtId="0" fontId="3" fillId="0" borderId="14" xfId="9" applyNumberFormat="1" applyFont="1" applyFill="1" applyBorder="1" applyAlignment="1" applyProtection="1"/>
    <xf numFmtId="0" fontId="3" fillId="0" borderId="0" xfId="9" applyNumberFormat="1" applyFont="1" applyFill="1" applyBorder="1" applyAlignment="1" applyProtection="1">
      <alignment horizontal="right" wrapText="1"/>
    </xf>
    <xf numFmtId="0" fontId="3" fillId="12" borderId="0" xfId="9" applyNumberFormat="1" applyFont="1" applyFill="1" applyBorder="1" applyAlignment="1" applyProtection="1"/>
    <xf numFmtId="0" fontId="3" fillId="0" borderId="5" xfId="9" applyNumberFormat="1" applyFont="1" applyFill="1" applyBorder="1" applyAlignment="1" applyProtection="1"/>
    <xf numFmtId="0" fontId="3" fillId="0" borderId="6" xfId="9" applyNumberFormat="1" applyFont="1" applyFill="1" applyBorder="1" applyAlignment="1" applyProtection="1">
      <alignment wrapText="1"/>
    </xf>
    <xf numFmtId="0" fontId="3" fillId="0" borderId="7" xfId="9" applyNumberFormat="1" applyFont="1" applyFill="1" applyBorder="1" applyAlignment="1" applyProtection="1">
      <alignment wrapText="1"/>
    </xf>
    <xf numFmtId="0" fontId="3" fillId="0" borderId="0" xfId="9" applyNumberFormat="1" applyFont="1" applyFill="1" applyBorder="1" applyAlignment="1" applyProtection="1">
      <alignment horizontal="left" wrapText="1"/>
    </xf>
    <xf numFmtId="0" fontId="3" fillId="15" borderId="0" xfId="9" applyNumberFormat="1" applyFont="1" applyFill="1" applyBorder="1" applyAlignment="1" applyProtection="1">
      <alignment horizontal="left" wrapText="1"/>
    </xf>
    <xf numFmtId="0" fontId="3" fillId="0" borderId="10" xfId="9" applyNumberFormat="1" applyFont="1" applyFill="1" applyBorder="1" applyAlignment="1" applyProtection="1">
      <alignment wrapText="1"/>
    </xf>
    <xf numFmtId="0" fontId="3" fillId="15" borderId="0" xfId="9" applyNumberFormat="1" applyFont="1" applyFill="1" applyBorder="1" applyAlignment="1" applyProtection="1"/>
    <xf numFmtId="0" fontId="3" fillId="15" borderId="0" xfId="9" applyNumberFormat="1" applyFont="1" applyFill="1" applyBorder="1" applyAlignment="1" applyProtection="1">
      <alignment horizontal="center"/>
    </xf>
    <xf numFmtId="0" fontId="3" fillId="15" borderId="0" xfId="9" quotePrefix="1" applyNumberFormat="1" applyFont="1" applyFill="1" applyBorder="1" applyAlignment="1" applyProtection="1">
      <alignment horizontal="center"/>
    </xf>
    <xf numFmtId="0" fontId="8" fillId="0" borderId="0" xfId="9" applyNumberFormat="1" applyFont="1" applyFill="1" applyBorder="1" applyAlignment="1" applyProtection="1">
      <alignment horizontal="center"/>
    </xf>
    <xf numFmtId="0" fontId="3" fillId="0" borderId="3" xfId="9" applyNumberFormat="1" applyFont="1" applyFill="1" applyBorder="1" applyAlignment="1" applyProtection="1">
      <alignment wrapText="1"/>
    </xf>
    <xf numFmtId="0" fontId="3" fillId="0" borderId="0" xfId="9" applyFont="1" applyAlignment="1">
      <alignment horizontal="right"/>
    </xf>
    <xf numFmtId="0" fontId="3" fillId="0" borderId="0" xfId="9" applyNumberFormat="1" applyFont="1" applyFill="1" applyBorder="1" applyAlignment="1" applyProtection="1">
      <alignment horizontal="right"/>
    </xf>
    <xf numFmtId="0" fontId="3" fillId="0" borderId="4" xfId="9" applyNumberFormat="1" applyFont="1" applyFill="1" applyBorder="1" applyAlignment="1" applyProtection="1"/>
    <xf numFmtId="0" fontId="3" fillId="0" borderId="5" xfId="9" applyNumberFormat="1" applyFont="1" applyFill="1" applyBorder="1" applyAlignment="1" applyProtection="1">
      <alignment horizontal="center"/>
    </xf>
    <xf numFmtId="165" fontId="3" fillId="0" borderId="0" xfId="9" applyNumberFormat="1" applyFont="1" applyFill="1" applyBorder="1" applyAlignment="1" applyProtection="1">
      <alignment horizontal="right"/>
    </xf>
    <xf numFmtId="0" fontId="3" fillId="0" borderId="0" xfId="9" quotePrefix="1" applyNumberFormat="1" applyFont="1" applyFill="1" applyBorder="1" applyAlignment="1" applyProtection="1">
      <alignment horizontal="left" wrapText="1"/>
    </xf>
    <xf numFmtId="0" fontId="3" fillId="5" borderId="12" xfId="9" applyNumberFormat="1" applyFont="1" applyFill="1" applyBorder="1" applyAlignment="1" applyProtection="1">
      <alignment horizontal="center"/>
    </xf>
    <xf numFmtId="0" fontId="3" fillId="5" borderId="0" xfId="9" applyNumberFormat="1" applyFont="1" applyFill="1" applyBorder="1" applyAlignment="1" applyProtection="1">
      <alignment horizontal="center"/>
    </xf>
    <xf numFmtId="0" fontId="3" fillId="5" borderId="0" xfId="9" applyNumberFormat="1" applyFont="1" applyFill="1" applyBorder="1" applyAlignment="1" applyProtection="1">
      <alignment horizontal="right"/>
    </xf>
    <xf numFmtId="0" fontId="3" fillId="5" borderId="0" xfId="9" applyNumberFormat="1" applyFont="1" applyFill="1" applyBorder="1" applyAlignment="1" applyProtection="1"/>
    <xf numFmtId="0" fontId="3" fillId="5" borderId="0" xfId="9" applyNumberFormat="1" applyFont="1" applyFill="1" applyBorder="1" applyAlignment="1" applyProtection="1">
      <alignment horizontal="left" wrapText="1"/>
    </xf>
    <xf numFmtId="0" fontId="3" fillId="5" borderId="0" xfId="9" applyNumberFormat="1" applyFont="1" applyFill="1" applyBorder="1" applyAlignment="1" applyProtection="1">
      <alignment wrapText="1"/>
    </xf>
    <xf numFmtId="0" fontId="3" fillId="0" borderId="4" xfId="9" applyFont="1" applyFill="1" applyBorder="1" applyAlignment="1" applyProtection="1">
      <alignment horizontal="center"/>
    </xf>
    <xf numFmtId="0" fontId="3" fillId="0" borderId="5" xfId="9" applyFont="1" applyFill="1" applyBorder="1" applyAlignment="1" applyProtection="1">
      <alignment horizontal="center"/>
    </xf>
    <xf numFmtId="0" fontId="3" fillId="0" borderId="5" xfId="9" applyFont="1" applyFill="1" applyBorder="1"/>
    <xf numFmtId="0" fontId="3" fillId="0" borderId="5" xfId="9" applyFont="1" applyFill="1" applyBorder="1" applyAlignment="1">
      <alignment horizontal="center"/>
    </xf>
    <xf numFmtId="0" fontId="3" fillId="0" borderId="5" xfId="9" applyFont="1" applyFill="1" applyBorder="1" applyAlignment="1" applyProtection="1">
      <alignment horizontal="center" wrapText="1"/>
    </xf>
    <xf numFmtId="0" fontId="3" fillId="0" borderId="6" xfId="9" applyFont="1" applyFill="1" applyBorder="1" applyAlignment="1" applyProtection="1">
      <alignment horizontal="center"/>
    </xf>
    <xf numFmtId="0" fontId="18" fillId="0" borderId="0" xfId="9" applyFont="1" applyAlignment="1">
      <alignment horizontal="center"/>
    </xf>
    <xf numFmtId="0" fontId="3" fillId="0" borderId="0" xfId="9" applyFont="1" applyFill="1" applyAlignment="1" applyProtection="1">
      <alignment horizontal="center"/>
    </xf>
    <xf numFmtId="0" fontId="3" fillId="2" borderId="0" xfId="9" applyNumberFormat="1" applyFont="1" applyFill="1" applyBorder="1" applyAlignment="1" applyProtection="1"/>
    <xf numFmtId="0" fontId="18" fillId="0" borderId="0" xfId="9" applyFont="1" applyFill="1" applyAlignment="1">
      <alignment horizontal="center"/>
    </xf>
    <xf numFmtId="0" fontId="3" fillId="6" borderId="12" xfId="9" applyNumberFormat="1" applyFont="1" applyFill="1" applyBorder="1" applyAlignment="1" applyProtection="1">
      <alignment horizontal="center"/>
    </xf>
    <xf numFmtId="0" fontId="3" fillId="6" borderId="0" xfId="9" applyNumberFormat="1" applyFont="1" applyFill="1" applyBorder="1" applyAlignment="1" applyProtection="1">
      <alignment horizontal="center"/>
    </xf>
    <xf numFmtId="0" fontId="3" fillId="6" borderId="0" xfId="9" applyNumberFormat="1" applyFont="1" applyFill="1" applyBorder="1" applyAlignment="1" applyProtection="1">
      <alignment horizontal="left" wrapText="1"/>
    </xf>
    <xf numFmtId="0" fontId="3" fillId="6" borderId="0" xfId="9" applyNumberFormat="1" applyFont="1" applyFill="1" applyBorder="1" applyAlignment="1" applyProtection="1">
      <alignment horizontal="right"/>
    </xf>
    <xf numFmtId="0" fontId="3" fillId="6" borderId="0" xfId="9" applyNumberFormat="1" applyFont="1" applyFill="1" applyBorder="1" applyAlignment="1" applyProtection="1"/>
    <xf numFmtId="0" fontId="3" fillId="6" borderId="0" xfId="9" applyNumberFormat="1" applyFont="1" applyFill="1" applyBorder="1" applyAlignment="1" applyProtection="1">
      <alignment wrapText="1"/>
    </xf>
    <xf numFmtId="0" fontId="3" fillId="7" borderId="12" xfId="9" applyNumberFormat="1" applyFont="1" applyFill="1" applyBorder="1" applyAlignment="1" applyProtection="1">
      <alignment horizontal="center"/>
    </xf>
    <xf numFmtId="0" fontId="3" fillId="7" borderId="0" xfId="9" applyNumberFormat="1" applyFont="1" applyFill="1" applyBorder="1" applyAlignment="1" applyProtection="1">
      <alignment horizontal="center"/>
    </xf>
    <xf numFmtId="0" fontId="3" fillId="7" borderId="0" xfId="9" applyNumberFormat="1" applyFont="1" applyFill="1" applyBorder="1" applyAlignment="1" applyProtection="1">
      <alignment horizontal="right"/>
    </xf>
    <xf numFmtId="0" fontId="3" fillId="7" borderId="0" xfId="9" applyNumberFormat="1" applyFont="1" applyFill="1" applyBorder="1" applyAlignment="1" applyProtection="1"/>
    <xf numFmtId="0" fontId="3" fillId="7" borderId="0" xfId="9" applyNumberFormat="1" applyFont="1" applyFill="1" applyBorder="1" applyAlignment="1" applyProtection="1">
      <alignment horizontal="left" wrapText="1"/>
    </xf>
    <xf numFmtId="0" fontId="3" fillId="7" borderId="0" xfId="9" applyNumberFormat="1" applyFont="1" applyFill="1" applyBorder="1" applyAlignment="1" applyProtection="1">
      <alignment wrapText="1"/>
    </xf>
    <xf numFmtId="0" fontId="3" fillId="0" borderId="0" xfId="9" applyFont="1" applyFill="1" applyBorder="1" applyAlignment="1" applyProtection="1">
      <alignment horizontal="center"/>
    </xf>
    <xf numFmtId="0" fontId="3" fillId="0" borderId="0" xfId="9" applyFont="1" applyFill="1" applyBorder="1"/>
    <xf numFmtId="0" fontId="3" fillId="0" borderId="0" xfId="9" applyFont="1" applyFill="1" applyBorder="1" applyAlignment="1">
      <alignment horizontal="center"/>
    </xf>
    <xf numFmtId="0" fontId="3" fillId="0" borderId="0" xfId="9" applyFont="1" applyFill="1" applyBorder="1" applyAlignment="1" applyProtection="1">
      <alignment horizontal="center" wrapText="1"/>
    </xf>
    <xf numFmtId="1" fontId="3" fillId="0" borderId="0" xfId="9" applyNumberFormat="1" applyFont="1" applyFill="1" applyBorder="1" applyAlignment="1" applyProtection="1"/>
    <xf numFmtId="0" fontId="3" fillId="8" borderId="12" xfId="9" applyNumberFormat="1" applyFont="1" applyFill="1" applyBorder="1" applyAlignment="1" applyProtection="1">
      <alignment horizontal="center"/>
    </xf>
    <xf numFmtId="1" fontId="3" fillId="0" borderId="7" xfId="9" applyNumberFormat="1" applyFont="1" applyFill="1" applyBorder="1" applyAlignment="1" applyProtection="1">
      <alignment horizontal="center"/>
    </xf>
    <xf numFmtId="1" fontId="3" fillId="8" borderId="0" xfId="9" applyNumberFormat="1" applyFont="1" applyFill="1" applyBorder="1" applyAlignment="1" applyProtection="1">
      <alignment horizontal="center"/>
    </xf>
    <xf numFmtId="0" fontId="3" fillId="8" borderId="0" xfId="9" applyNumberFormat="1" applyFont="1" applyFill="1" applyBorder="1" applyAlignment="1" applyProtection="1">
      <alignment horizontal="right"/>
    </xf>
    <xf numFmtId="0" fontId="3" fillId="8" borderId="0" xfId="9" applyNumberFormat="1" applyFont="1" applyFill="1" applyBorder="1" applyAlignment="1" applyProtection="1"/>
    <xf numFmtId="0" fontId="3" fillId="8" borderId="0" xfId="9" applyNumberFormat="1" applyFont="1" applyFill="1" applyBorder="1" applyAlignment="1" applyProtection="1">
      <alignment horizontal="center"/>
    </xf>
    <xf numFmtId="0" fontId="3" fillId="8" borderId="0" xfId="9" applyNumberFormat="1" applyFont="1" applyFill="1" applyBorder="1" applyAlignment="1" applyProtection="1">
      <alignment horizontal="left" wrapText="1"/>
    </xf>
    <xf numFmtId="1" fontId="3" fillId="8" borderId="0" xfId="9" applyNumberFormat="1" applyFont="1" applyFill="1" applyBorder="1" applyAlignment="1" applyProtection="1"/>
    <xf numFmtId="0" fontId="3" fillId="8" borderId="0" xfId="9" applyNumberFormat="1" applyFont="1" applyFill="1" applyBorder="1" applyAlignment="1" applyProtection="1">
      <alignment wrapText="1"/>
    </xf>
    <xf numFmtId="1" fontId="3" fillId="0" borderId="4" xfId="9" applyNumberFormat="1" applyFont="1" applyFill="1" applyBorder="1" applyAlignment="1" applyProtection="1">
      <alignment horizontal="center"/>
    </xf>
    <xf numFmtId="1" fontId="3" fillId="0" borderId="7" xfId="9" applyNumberFormat="1" applyFont="1" applyFill="1" applyBorder="1" applyAlignment="1" applyProtection="1"/>
    <xf numFmtId="1" fontId="3" fillId="0" borderId="0" xfId="9" applyNumberFormat="1" applyFont="1" applyFill="1" applyBorder="1" applyAlignment="1" applyProtection="1">
      <alignment horizontal="left"/>
    </xf>
    <xf numFmtId="1" fontId="3" fillId="0" borderId="0" xfId="9" applyNumberFormat="1" applyFont="1" applyFill="1" applyBorder="1" applyAlignment="1" applyProtection="1">
      <alignment horizontal="center"/>
    </xf>
    <xf numFmtId="0" fontId="21" fillId="0" borderId="0" xfId="9" applyFont="1"/>
    <xf numFmtId="0" fontId="3" fillId="3" borderId="12" xfId="9" applyNumberFormat="1" applyFont="1" applyFill="1" applyBorder="1" applyAlignment="1" applyProtection="1">
      <alignment horizontal="center"/>
    </xf>
    <xf numFmtId="1" fontId="3" fillId="3" borderId="0" xfId="9" applyNumberFormat="1" applyFont="1" applyFill="1" applyBorder="1" applyAlignment="1" applyProtection="1">
      <alignment horizontal="center"/>
    </xf>
    <xf numFmtId="0" fontId="3" fillId="3" borderId="0" xfId="9" applyNumberFormat="1" applyFont="1" applyFill="1" applyBorder="1" applyAlignment="1" applyProtection="1">
      <alignment horizontal="right"/>
    </xf>
    <xf numFmtId="0" fontId="3" fillId="3" borderId="0" xfId="9" applyNumberFormat="1" applyFont="1" applyFill="1" applyBorder="1" applyAlignment="1" applyProtection="1"/>
    <xf numFmtId="0" fontId="3" fillId="3" borderId="0" xfId="9" applyNumberFormat="1" applyFont="1" applyFill="1" applyBorder="1" applyAlignment="1" applyProtection="1">
      <alignment horizontal="center"/>
    </xf>
    <xf numFmtId="0" fontId="3" fillId="3" borderId="0" xfId="9" applyNumberFormat="1" applyFont="1" applyFill="1" applyBorder="1" applyAlignment="1" applyProtection="1">
      <alignment horizontal="left" wrapText="1"/>
    </xf>
    <xf numFmtId="1" fontId="3" fillId="3" borderId="0" xfId="9" applyNumberFormat="1" applyFont="1" applyFill="1" applyBorder="1" applyAlignment="1" applyProtection="1"/>
    <xf numFmtId="0" fontId="3" fillId="3" borderId="0" xfId="9" applyNumberFormat="1" applyFont="1" applyFill="1" applyBorder="1" applyAlignment="1" applyProtection="1">
      <alignment wrapText="1"/>
    </xf>
    <xf numFmtId="1" fontId="21" fillId="0" borderId="0" xfId="9" applyNumberFormat="1" applyFont="1" applyFill="1" applyBorder="1" applyAlignment="1" applyProtection="1">
      <alignment horizontal="right"/>
    </xf>
    <xf numFmtId="1" fontId="21" fillId="0" borderId="0" xfId="9" applyNumberFormat="1" applyFont="1" applyFill="1" applyBorder="1" applyAlignment="1" applyProtection="1">
      <alignment horizontal="center"/>
    </xf>
    <xf numFmtId="0" fontId="21" fillId="0" borderId="0" xfId="9" applyNumberFormat="1" applyFont="1" applyFill="1" applyBorder="1" applyAlignment="1" applyProtection="1">
      <alignment horizontal="left" wrapText="1"/>
    </xf>
    <xf numFmtId="1" fontId="21" fillId="0" borderId="0" xfId="9" applyNumberFormat="1" applyFont="1" applyFill="1" applyBorder="1" applyAlignment="1" applyProtection="1"/>
    <xf numFmtId="0" fontId="3" fillId="9" borderId="12" xfId="9" applyNumberFormat="1" applyFont="1" applyFill="1" applyBorder="1" applyAlignment="1" applyProtection="1">
      <alignment horizontal="center"/>
    </xf>
    <xf numFmtId="0" fontId="3" fillId="9" borderId="0" xfId="9" applyNumberFormat="1" applyFont="1" applyFill="1" applyBorder="1" applyAlignment="1" applyProtection="1">
      <alignment horizontal="center"/>
    </xf>
    <xf numFmtId="0" fontId="3" fillId="9" borderId="0" xfId="9" applyNumberFormat="1" applyFont="1" applyFill="1" applyBorder="1" applyAlignment="1" applyProtection="1">
      <alignment horizontal="right"/>
    </xf>
    <xf numFmtId="0" fontId="3" fillId="9" borderId="0" xfId="9" applyNumberFormat="1" applyFont="1" applyFill="1" applyBorder="1" applyAlignment="1" applyProtection="1"/>
    <xf numFmtId="0" fontId="3" fillId="9" borderId="0" xfId="9" applyNumberFormat="1" applyFont="1" applyFill="1" applyBorder="1" applyAlignment="1" applyProtection="1">
      <alignment horizontal="left" wrapText="1"/>
    </xf>
    <xf numFmtId="0" fontId="3" fillId="9" borderId="0" xfId="9" applyNumberFormat="1" applyFont="1" applyFill="1" applyBorder="1" applyAlignment="1" applyProtection="1">
      <alignment wrapText="1"/>
    </xf>
    <xf numFmtId="0" fontId="3" fillId="10" borderId="12" xfId="9" applyNumberFormat="1" applyFont="1" applyFill="1" applyBorder="1" applyAlignment="1" applyProtection="1">
      <alignment horizontal="center"/>
    </xf>
    <xf numFmtId="1" fontId="3" fillId="10" borderId="0" xfId="9" applyNumberFormat="1" applyFont="1" applyFill="1" applyBorder="1" applyAlignment="1" applyProtection="1">
      <alignment horizontal="center"/>
    </xf>
    <xf numFmtId="0" fontId="3" fillId="10" borderId="0" xfId="9" applyNumberFormat="1" applyFont="1" applyFill="1" applyBorder="1" applyAlignment="1" applyProtection="1">
      <alignment horizontal="right"/>
    </xf>
    <xf numFmtId="0" fontId="3" fillId="10" borderId="0" xfId="9" applyNumberFormat="1" applyFont="1" applyFill="1" applyBorder="1" applyAlignment="1" applyProtection="1"/>
    <xf numFmtId="0" fontId="3" fillId="10" borderId="0" xfId="9" applyNumberFormat="1" applyFont="1" applyFill="1" applyBorder="1" applyAlignment="1" applyProtection="1">
      <alignment horizontal="center"/>
    </xf>
    <xf numFmtId="0" fontId="3" fillId="10" borderId="0" xfId="9" applyNumberFormat="1" applyFont="1" applyFill="1" applyBorder="1" applyAlignment="1" applyProtection="1">
      <alignment horizontal="left" wrapText="1"/>
    </xf>
    <xf numFmtId="1" fontId="3" fillId="10" borderId="0" xfId="9" applyNumberFormat="1" applyFont="1" applyFill="1" applyBorder="1" applyAlignment="1" applyProtection="1"/>
    <xf numFmtId="0" fontId="3" fillId="10" borderId="0" xfId="9" applyNumberFormat="1" applyFont="1" applyFill="1" applyBorder="1" applyAlignment="1" applyProtection="1">
      <alignment wrapText="1"/>
    </xf>
    <xf numFmtId="0" fontId="3" fillId="11" borderId="12" xfId="9" applyNumberFormat="1" applyFont="1" applyFill="1" applyBorder="1" applyAlignment="1" applyProtection="1">
      <alignment horizontal="center"/>
    </xf>
    <xf numFmtId="0" fontId="3" fillId="11" borderId="0" xfId="9" applyNumberFormat="1" applyFont="1" applyFill="1" applyBorder="1" applyAlignment="1" applyProtection="1">
      <alignment horizontal="center"/>
    </xf>
    <xf numFmtId="0" fontId="3" fillId="11" borderId="0" xfId="9" applyNumberFormat="1" applyFont="1" applyFill="1" applyBorder="1" applyAlignment="1" applyProtection="1">
      <alignment horizontal="right"/>
    </xf>
    <xf numFmtId="0" fontId="3" fillId="11" borderId="0" xfId="9" applyNumberFormat="1" applyFont="1" applyFill="1" applyBorder="1" applyAlignment="1" applyProtection="1"/>
    <xf numFmtId="0" fontId="3" fillId="11" borderId="0" xfId="9" applyNumberFormat="1" applyFont="1" applyFill="1" applyBorder="1" applyAlignment="1" applyProtection="1">
      <alignment horizontal="left" wrapText="1"/>
    </xf>
    <xf numFmtId="0" fontId="3" fillId="11" borderId="0" xfId="9" applyNumberFormat="1" applyFont="1" applyFill="1" applyBorder="1" applyAlignment="1" applyProtection="1">
      <alignment wrapText="1"/>
    </xf>
    <xf numFmtId="0" fontId="3" fillId="12" borderId="12" xfId="9" applyNumberFormat="1" applyFont="1" applyFill="1" applyBorder="1" applyAlignment="1" applyProtection="1">
      <alignment horizontal="center"/>
    </xf>
    <xf numFmtId="1" fontId="3" fillId="12" borderId="0" xfId="9" applyNumberFormat="1" applyFont="1" applyFill="1" applyBorder="1" applyAlignment="1" applyProtection="1">
      <alignment horizontal="center"/>
    </xf>
    <xf numFmtId="0" fontId="3" fillId="12" borderId="0" xfId="9" applyNumberFormat="1" applyFont="1" applyFill="1" applyBorder="1" applyAlignment="1" applyProtection="1">
      <alignment horizontal="right"/>
    </xf>
    <xf numFmtId="0" fontId="3" fillId="12" borderId="0" xfId="9" applyNumberFormat="1" applyFont="1" applyFill="1" applyBorder="1" applyAlignment="1" applyProtection="1">
      <alignment horizontal="center"/>
    </xf>
    <xf numFmtId="0" fontId="3" fillId="12" borderId="0" xfId="9" applyNumberFormat="1" applyFont="1" applyFill="1" applyBorder="1" applyAlignment="1" applyProtection="1">
      <alignment horizontal="left" wrapText="1"/>
    </xf>
    <xf numFmtId="1" fontId="3" fillId="12" borderId="0" xfId="9" applyNumberFormat="1" applyFont="1" applyFill="1" applyBorder="1" applyAlignment="1" applyProtection="1"/>
    <xf numFmtId="0" fontId="3" fillId="12" borderId="0" xfId="9" applyNumberFormat="1" applyFont="1" applyFill="1" applyBorder="1" applyAlignment="1" applyProtection="1">
      <alignment wrapText="1"/>
    </xf>
    <xf numFmtId="0" fontId="3" fillId="2" borderId="12" xfId="9" applyNumberFormat="1" applyFont="1" applyFill="1" applyBorder="1" applyAlignment="1" applyProtection="1">
      <alignment horizontal="center"/>
    </xf>
    <xf numFmtId="0" fontId="3" fillId="13" borderId="12" xfId="9" applyNumberFormat="1" applyFont="1" applyFill="1" applyBorder="1" applyAlignment="1" applyProtection="1">
      <alignment horizontal="center"/>
    </xf>
    <xf numFmtId="0" fontId="3" fillId="13" borderId="0" xfId="9" applyNumberFormat="1" applyFont="1" applyFill="1" applyBorder="1" applyAlignment="1" applyProtection="1">
      <alignment horizontal="center"/>
    </xf>
    <xf numFmtId="0" fontId="3" fillId="13" borderId="0" xfId="9" applyNumberFormat="1" applyFont="1" applyFill="1" applyBorder="1" applyAlignment="1" applyProtection="1">
      <alignment horizontal="right"/>
    </xf>
    <xf numFmtId="0" fontId="3" fillId="13" borderId="0" xfId="9" applyNumberFormat="1" applyFont="1" applyFill="1" applyBorder="1" applyAlignment="1" applyProtection="1"/>
    <xf numFmtId="0" fontId="3" fillId="13" borderId="0" xfId="9" applyNumberFormat="1" applyFont="1" applyFill="1" applyBorder="1" applyAlignment="1" applyProtection="1">
      <alignment horizontal="left" wrapText="1"/>
    </xf>
    <xf numFmtId="0" fontId="3" fillId="13" borderId="0" xfId="9" applyNumberFormat="1" applyFont="1" applyFill="1" applyBorder="1" applyAlignment="1" applyProtection="1">
      <alignment wrapText="1"/>
    </xf>
    <xf numFmtId="0" fontId="3" fillId="14" borderId="12" xfId="9" applyNumberFormat="1" applyFont="1" applyFill="1" applyBorder="1" applyAlignment="1" applyProtection="1">
      <alignment horizontal="center"/>
    </xf>
    <xf numFmtId="0" fontId="3" fillId="14" borderId="0" xfId="9" applyNumberFormat="1" applyFont="1" applyFill="1" applyBorder="1" applyAlignment="1" applyProtection="1">
      <alignment horizontal="center"/>
    </xf>
    <xf numFmtId="0" fontId="3" fillId="14" borderId="0" xfId="9" applyNumberFormat="1" applyFont="1" applyFill="1" applyBorder="1" applyAlignment="1" applyProtection="1">
      <alignment horizontal="right"/>
    </xf>
    <xf numFmtId="0" fontId="3" fillId="14" borderId="0" xfId="9" applyNumberFormat="1" applyFont="1" applyFill="1" applyBorder="1" applyAlignment="1" applyProtection="1"/>
    <xf numFmtId="0" fontId="3" fillId="14" borderId="0" xfId="9" applyNumberFormat="1" applyFont="1" applyFill="1" applyBorder="1" applyAlignment="1" applyProtection="1">
      <alignment horizontal="left" wrapText="1"/>
    </xf>
    <xf numFmtId="0" fontId="3" fillId="14" borderId="0" xfId="9" applyNumberFormat="1" applyFont="1" applyFill="1" applyBorder="1" applyAlignment="1" applyProtection="1">
      <alignment wrapText="1"/>
    </xf>
    <xf numFmtId="0" fontId="19" fillId="0" borderId="0" xfId="9" applyNumberFormat="1" applyFont="1" applyFill="1" applyBorder="1" applyAlignment="1" applyProtection="1"/>
    <xf numFmtId="0" fontId="3" fillId="0" borderId="5" xfId="9" applyFont="1" applyBorder="1"/>
    <xf numFmtId="0" fontId="21" fillId="0" borderId="0" xfId="9" applyNumberFormat="1" applyFont="1" applyFill="1" applyBorder="1" applyAlignment="1" applyProtection="1">
      <alignment wrapText="1"/>
    </xf>
    <xf numFmtId="0" fontId="3" fillId="0" borderId="0" xfId="9" quotePrefix="1" applyNumberFormat="1" applyFont="1" applyFill="1" applyBorder="1" applyAlignment="1" applyProtection="1"/>
    <xf numFmtId="0" fontId="3" fillId="0" borderId="0" xfId="9" quotePrefix="1" applyNumberFormat="1" applyFont="1" applyFill="1" applyBorder="1" applyAlignment="1" applyProtection="1">
      <alignment horizontal="left"/>
    </xf>
    <xf numFmtId="0" fontId="3" fillId="18" borderId="0" xfId="0" applyNumberFormat="1" applyFont="1" applyFill="1" applyBorder="1" applyAlignment="1" applyProtection="1">
      <alignment horizontal="left" wrapText="1"/>
    </xf>
    <xf numFmtId="0" fontId="3" fillId="16" borderId="0" xfId="0" applyNumberFormat="1" applyFont="1" applyFill="1" applyBorder="1" applyAlignment="1" applyProtection="1">
      <alignment horizontal="left" wrapText="1"/>
    </xf>
    <xf numFmtId="0" fontId="3" fillId="19" borderId="0" xfId="0" applyNumberFormat="1" applyFont="1" applyFill="1" applyBorder="1" applyAlignment="1" applyProtection="1">
      <alignment horizontal="left" wrapText="1"/>
    </xf>
    <xf numFmtId="0" fontId="3" fillId="22" borderId="0" xfId="0" applyNumberFormat="1" applyFont="1" applyFill="1" applyBorder="1" applyAlignment="1" applyProtection="1">
      <alignment horizontal="left" wrapText="1"/>
    </xf>
    <xf numFmtId="0" fontId="3" fillId="23" borderId="0" xfId="0" quotePrefix="1" applyNumberFormat="1" applyFont="1" applyFill="1" applyBorder="1" applyAlignment="1" applyProtection="1"/>
    <xf numFmtId="0" fontId="3" fillId="23" borderId="0" xfId="0" applyNumberFormat="1" applyFont="1" applyFill="1" applyBorder="1" applyAlignment="1" applyProtection="1"/>
    <xf numFmtId="0" fontId="8" fillId="24" borderId="0" xfId="0" applyFont="1" applyFill="1" applyAlignment="1">
      <alignment wrapText="1"/>
    </xf>
    <xf numFmtId="0" fontId="8" fillId="24" borderId="0" xfId="0" applyFont="1" applyFill="1"/>
    <xf numFmtId="0" fontId="8" fillId="25" borderId="0" xfId="0" applyFont="1" applyFill="1" applyAlignment="1">
      <alignment wrapText="1"/>
    </xf>
    <xf numFmtId="0" fontId="8" fillId="25" borderId="0" xfId="0" applyFont="1" applyFill="1"/>
    <xf numFmtId="0" fontId="8" fillId="26" borderId="0" xfId="0" applyFont="1" applyFill="1"/>
    <xf numFmtId="0" fontId="10" fillId="2" borderId="5" xfId="0" applyNumberFormat="1" applyFont="1" applyFill="1" applyBorder="1" applyAlignment="1" applyProtection="1">
      <alignment horizontal="left" wrapText="1"/>
    </xf>
    <xf numFmtId="0" fontId="10" fillId="0" borderId="0" xfId="0" applyFont="1" applyAlignment="1">
      <alignment horizontal="left"/>
    </xf>
    <xf numFmtId="0" fontId="8" fillId="21" borderId="0" xfId="0" applyFont="1" applyFill="1"/>
    <xf numFmtId="0" fontId="8" fillId="0" borderId="0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Border="1" applyAlignment="1" applyProtection="1">
      <alignment vertical="center" wrapText="1"/>
    </xf>
    <xf numFmtId="0" fontId="8" fillId="0" borderId="0" xfId="0" applyNumberFormat="1" applyFont="1" applyFill="1" applyBorder="1" applyAlignment="1" applyProtection="1">
      <alignment horizontal="left" vertical="center"/>
    </xf>
    <xf numFmtId="0" fontId="8" fillId="2" borderId="5" xfId="0" applyNumberFormat="1" applyFont="1" applyFill="1" applyBorder="1" applyAlignment="1" applyProtection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 wrapText="1"/>
    </xf>
    <xf numFmtId="0" fontId="8" fillId="2" borderId="2" xfId="0" applyNumberFormat="1" applyFont="1" applyFill="1" applyBorder="1" applyAlignment="1" applyProtection="1">
      <alignment horizontal="center" vertical="center"/>
    </xf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2" borderId="4" xfId="0" applyNumberFormat="1" applyFont="1" applyFill="1" applyBorder="1" applyAlignment="1" applyProtection="1">
      <alignment horizontal="center" vertical="center"/>
    </xf>
    <xf numFmtId="0" fontId="8" fillId="2" borderId="5" xfId="0" applyNumberFormat="1" applyFont="1" applyFill="1" applyBorder="1" applyAlignment="1" applyProtection="1">
      <alignment horizontal="center" vertical="center" wrapText="1"/>
    </xf>
    <xf numFmtId="0" fontId="8" fillId="2" borderId="5" xfId="0" applyNumberFormat="1" applyFont="1" applyFill="1" applyBorder="1" applyAlignment="1" applyProtection="1">
      <alignment horizontal="center" vertical="center"/>
    </xf>
    <xf numFmtId="0" fontId="8" fillId="4" borderId="0" xfId="0" applyNumberFormat="1" applyFont="1" applyFill="1" applyBorder="1" applyAlignment="1" applyProtection="1">
      <alignment horizontal="center" vertical="center"/>
    </xf>
    <xf numFmtId="0" fontId="8" fillId="4" borderId="0" xfId="0" applyNumberFormat="1" applyFont="1" applyFill="1" applyBorder="1" applyAlignment="1" applyProtection="1">
      <alignment horizontal="center" vertical="center" wrapText="1"/>
    </xf>
    <xf numFmtId="0" fontId="8" fillId="4" borderId="0" xfId="0" quotePrefix="1" applyNumberFormat="1" applyFont="1" applyFill="1" applyBorder="1" applyAlignment="1" applyProtection="1">
      <alignment horizontal="center" vertical="center"/>
    </xf>
    <xf numFmtId="0" fontId="8" fillId="0" borderId="0" xfId="0" quotePrefix="1" applyNumberFormat="1" applyFont="1" applyFill="1" applyBorder="1" applyAlignment="1" applyProtection="1">
      <alignment horizontal="center" vertical="center"/>
    </xf>
    <xf numFmtId="0" fontId="8" fillId="25" borderId="0" xfId="0" applyNumberFormat="1" applyFont="1" applyFill="1" applyBorder="1" applyAlignment="1" applyProtection="1">
      <alignment horizontal="center" vertical="center" wrapText="1"/>
    </xf>
    <xf numFmtId="0" fontId="8" fillId="25" borderId="0" xfId="0" applyNumberFormat="1" applyFont="1" applyFill="1" applyBorder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4" borderId="0" xfId="0" applyNumberFormat="1" applyFont="1" applyFill="1" applyBorder="1" applyAlignment="1" applyProtection="1">
      <alignment horizontal="left" vertical="center"/>
    </xf>
    <xf numFmtId="0" fontId="8" fillId="2" borderId="6" xfId="0" applyNumberFormat="1" applyFont="1" applyFill="1" applyBorder="1" applyAlignment="1" applyProtection="1">
      <alignment vertical="center" wrapText="1"/>
    </xf>
    <xf numFmtId="0" fontId="8" fillId="0" borderId="0" xfId="0" applyNumberFormat="1" applyFont="1" applyFill="1" applyBorder="1" applyAlignment="1" applyProtection="1">
      <alignment horizontal="left" vertical="center" wrapText="1"/>
    </xf>
    <xf numFmtId="0" fontId="8" fillId="18" borderId="0" xfId="0" applyNumberFormat="1" applyFont="1" applyFill="1" applyBorder="1" applyAlignment="1" applyProtection="1">
      <alignment horizontal="left" vertical="center" wrapText="1"/>
    </xf>
    <xf numFmtId="0" fontId="8" fillId="4" borderId="0" xfId="0" applyNumberFormat="1" applyFont="1" applyFill="1" applyBorder="1" applyAlignment="1" applyProtection="1">
      <alignment horizontal="left" vertical="center" wrapText="1"/>
    </xf>
    <xf numFmtId="0" fontId="8" fillId="16" borderId="0" xfId="0" applyNumberFormat="1" applyFont="1" applyFill="1" applyBorder="1" applyAlignment="1" applyProtection="1">
      <alignment horizontal="left" vertical="center" wrapText="1"/>
    </xf>
    <xf numFmtId="0" fontId="8" fillId="18" borderId="0" xfId="0" applyFont="1" applyFill="1"/>
    <xf numFmtId="0" fontId="8" fillId="16" borderId="0" xfId="0" applyNumberFormat="1" applyFont="1" applyFill="1" applyBorder="1" applyAlignment="1" applyProtection="1">
      <alignment wrapText="1"/>
    </xf>
    <xf numFmtId="0" fontId="8" fillId="16" borderId="0" xfId="0" applyFont="1" applyFill="1"/>
    <xf numFmtId="0" fontId="8" fillId="16" borderId="0" xfId="0" applyNumberFormat="1" applyFont="1" applyFill="1" applyBorder="1" applyAlignment="1" applyProtection="1">
      <alignment horizontal="right" wrapText="1"/>
    </xf>
    <xf numFmtId="0" fontId="8" fillId="16" borderId="0" xfId="0" applyNumberFormat="1" applyFont="1" applyFill="1" applyBorder="1" applyAlignment="1" applyProtection="1">
      <alignment horizontal="left"/>
    </xf>
    <xf numFmtId="0" fontId="8" fillId="16" borderId="0" xfId="0" applyFont="1" applyFill="1" applyAlignment="1">
      <alignment wrapText="1"/>
    </xf>
    <xf numFmtId="0" fontId="8" fillId="16" borderId="0" xfId="0" applyNumberFormat="1" applyFont="1" applyFill="1" applyBorder="1" applyAlignment="1" applyProtection="1">
      <alignment horizontal="left" wrapText="1"/>
    </xf>
    <xf numFmtId="0" fontId="3" fillId="16" borderId="0" xfId="9" applyNumberFormat="1" applyFont="1" applyFill="1" applyBorder="1" applyAlignment="1" applyProtection="1">
      <alignment horizontal="left"/>
    </xf>
    <xf numFmtId="0" fontId="3" fillId="16" borderId="0" xfId="9" applyNumberFormat="1" applyFont="1" applyFill="1" applyBorder="1" applyAlignment="1" applyProtection="1"/>
    <xf numFmtId="0" fontId="3" fillId="16" borderId="0" xfId="9" applyNumberFormat="1" applyFont="1" applyFill="1" applyBorder="1" applyAlignment="1" applyProtection="1">
      <alignment horizontal="center"/>
    </xf>
    <xf numFmtId="0" fontId="3" fillId="16" borderId="0" xfId="9" applyNumberFormat="1" applyFont="1" applyFill="1" applyBorder="1" applyAlignment="1" applyProtection="1">
      <alignment horizontal="left" wrapText="1"/>
    </xf>
    <xf numFmtId="0" fontId="3" fillId="16" borderId="0" xfId="9" applyNumberFormat="1" applyFont="1" applyFill="1" applyBorder="1" applyAlignment="1" applyProtection="1">
      <alignment wrapText="1"/>
    </xf>
    <xf numFmtId="0" fontId="3" fillId="0" borderId="0" xfId="9" applyNumberFormat="1" applyFont="1" applyFill="1" applyBorder="1" applyAlignment="1" applyProtection="1">
      <alignment horizontal="left" vertical="center"/>
    </xf>
    <xf numFmtId="0" fontId="21" fillId="0" borderId="0" xfId="9" applyNumberFormat="1" applyFont="1" applyFill="1" applyBorder="1" applyAlignment="1" applyProtection="1">
      <alignment horizontal="left" vertical="center"/>
    </xf>
    <xf numFmtId="0" fontId="3" fillId="0" borderId="0" xfId="9" applyFont="1" applyAlignment="1">
      <alignment horizontal="left" vertical="center"/>
    </xf>
    <xf numFmtId="0" fontId="3" fillId="0" borderId="3" xfId="9" applyNumberFormat="1" applyFont="1" applyFill="1" applyBorder="1" applyAlignment="1" applyProtection="1">
      <alignment horizontal="left" vertical="center"/>
    </xf>
    <xf numFmtId="0" fontId="3" fillId="0" borderId="7" xfId="9" applyNumberFormat="1" applyFont="1" applyFill="1" applyBorder="1" applyAlignment="1" applyProtection="1">
      <alignment horizontal="left" vertical="center"/>
    </xf>
    <xf numFmtId="0" fontId="3" fillId="15" borderId="0" xfId="9" applyNumberFormat="1" applyFont="1" applyFill="1" applyBorder="1" applyAlignment="1" applyProtection="1">
      <alignment horizontal="left" vertical="center"/>
    </xf>
    <xf numFmtId="0" fontId="3" fillId="0" borderId="2" xfId="9" applyNumberFormat="1" applyFont="1" applyFill="1" applyBorder="1" applyAlignment="1" applyProtection="1">
      <alignment horizontal="left" vertical="center"/>
    </xf>
    <xf numFmtId="0" fontId="3" fillId="0" borderId="0" xfId="9" quotePrefix="1" applyFont="1" applyAlignment="1">
      <alignment horizontal="left" vertical="center"/>
    </xf>
    <xf numFmtId="0" fontId="3" fillId="0" borderId="5" xfId="9" applyNumberFormat="1" applyFont="1" applyFill="1" applyBorder="1" applyAlignment="1" applyProtection="1">
      <alignment horizontal="left" vertical="center"/>
    </xf>
    <xf numFmtId="0" fontId="3" fillId="5" borderId="0" xfId="9" applyNumberFormat="1" applyFont="1" applyFill="1" applyBorder="1" applyAlignment="1" applyProtection="1">
      <alignment horizontal="left" vertical="center"/>
    </xf>
    <xf numFmtId="0" fontId="3" fillId="0" borderId="5" xfId="9" applyFont="1" applyFill="1" applyBorder="1" applyAlignment="1" applyProtection="1">
      <alignment horizontal="left" vertical="center"/>
    </xf>
    <xf numFmtId="0" fontId="3" fillId="16" borderId="0" xfId="9" applyNumberFormat="1" applyFont="1" applyFill="1" applyBorder="1" applyAlignment="1" applyProtection="1">
      <alignment horizontal="left" vertical="center"/>
    </xf>
    <xf numFmtId="0" fontId="3" fillId="6" borderId="0" xfId="9" applyNumberFormat="1" applyFont="1" applyFill="1" applyBorder="1" applyAlignment="1" applyProtection="1">
      <alignment horizontal="left" vertical="center"/>
    </xf>
    <xf numFmtId="0" fontId="3" fillId="7" borderId="0" xfId="9" applyNumberFormat="1" applyFont="1" applyFill="1" applyBorder="1" applyAlignment="1" applyProtection="1">
      <alignment horizontal="left" vertical="center"/>
    </xf>
    <xf numFmtId="0" fontId="3" fillId="0" borderId="0" xfId="9" applyFont="1" applyFill="1" applyBorder="1" applyAlignment="1" applyProtection="1">
      <alignment horizontal="left" vertical="center"/>
    </xf>
    <xf numFmtId="0" fontId="3" fillId="8" borderId="0" xfId="9" applyNumberFormat="1" applyFont="1" applyFill="1" applyBorder="1" applyAlignment="1" applyProtection="1">
      <alignment horizontal="left" vertical="center"/>
    </xf>
    <xf numFmtId="1" fontId="3" fillId="8" borderId="0" xfId="9" applyNumberFormat="1" applyFont="1" applyFill="1" applyBorder="1" applyAlignment="1" applyProtection="1">
      <alignment horizontal="left" vertical="center"/>
    </xf>
    <xf numFmtId="0" fontId="3" fillId="3" borderId="0" xfId="9" applyNumberFormat="1" applyFont="1" applyFill="1" applyBorder="1" applyAlignment="1" applyProtection="1">
      <alignment horizontal="left" vertical="center"/>
    </xf>
    <xf numFmtId="1" fontId="3" fillId="3" borderId="0" xfId="9" applyNumberFormat="1" applyFont="1" applyFill="1" applyBorder="1" applyAlignment="1" applyProtection="1">
      <alignment horizontal="left" vertical="center"/>
    </xf>
    <xf numFmtId="0" fontId="3" fillId="9" borderId="0" xfId="9" applyNumberFormat="1" applyFont="1" applyFill="1" applyBorder="1" applyAlignment="1" applyProtection="1">
      <alignment horizontal="left" vertical="center"/>
    </xf>
    <xf numFmtId="0" fontId="3" fillId="10" borderId="0" xfId="9" applyNumberFormat="1" applyFont="1" applyFill="1" applyBorder="1" applyAlignment="1" applyProtection="1">
      <alignment horizontal="left" vertical="center"/>
    </xf>
    <xf numFmtId="1" fontId="3" fillId="10" borderId="0" xfId="9" applyNumberFormat="1" applyFont="1" applyFill="1" applyBorder="1" applyAlignment="1" applyProtection="1">
      <alignment horizontal="left" vertical="center"/>
    </xf>
    <xf numFmtId="0" fontId="3" fillId="11" borderId="0" xfId="9" applyNumberFormat="1" applyFont="1" applyFill="1" applyBorder="1" applyAlignment="1" applyProtection="1">
      <alignment horizontal="left" vertical="center"/>
    </xf>
    <xf numFmtId="0" fontId="3" fillId="12" borderId="0" xfId="9" applyNumberFormat="1" applyFont="1" applyFill="1" applyBorder="1" applyAlignment="1" applyProtection="1">
      <alignment horizontal="left" vertical="center"/>
    </xf>
    <xf numFmtId="1" fontId="3" fillId="12" borderId="0" xfId="9" applyNumberFormat="1" applyFont="1" applyFill="1" applyBorder="1" applyAlignment="1" applyProtection="1">
      <alignment horizontal="left" vertical="center"/>
    </xf>
    <xf numFmtId="0" fontId="3" fillId="13" borderId="0" xfId="9" applyNumberFormat="1" applyFont="1" applyFill="1" applyBorder="1" applyAlignment="1" applyProtection="1">
      <alignment horizontal="left" vertical="center"/>
    </xf>
    <xf numFmtId="0" fontId="3" fillId="14" borderId="0" xfId="9" applyNumberFormat="1" applyFont="1" applyFill="1" applyBorder="1" applyAlignment="1" applyProtection="1">
      <alignment horizontal="left" vertical="center"/>
    </xf>
    <xf numFmtId="0" fontId="3" fillId="0" borderId="0" xfId="9" quotePrefix="1" applyNumberFormat="1" applyFont="1" applyFill="1" applyBorder="1" applyAlignment="1" applyProtection="1">
      <alignment horizontal="left" vertical="center"/>
    </xf>
    <xf numFmtId="0" fontId="3" fillId="0" borderId="5" xfId="9" applyFont="1" applyBorder="1" applyAlignment="1">
      <alignment horizontal="left" vertical="center" wrapText="1"/>
    </xf>
    <xf numFmtId="0" fontId="21" fillId="0" borderId="0" xfId="9" applyFont="1" applyAlignment="1">
      <alignment horizontal="left" vertical="center"/>
    </xf>
    <xf numFmtId="0" fontId="10" fillId="17" borderId="0" xfId="0" applyNumberFormat="1" applyFont="1" applyFill="1" applyBorder="1" applyAlignment="1" applyProtection="1">
      <alignment wrapText="1"/>
    </xf>
    <xf numFmtId="0" fontId="10" fillId="17" borderId="0" xfId="0" applyNumberFormat="1" applyFont="1" applyFill="1" applyBorder="1" applyAlignment="1" applyProtection="1"/>
    <xf numFmtId="0" fontId="10" fillId="17" borderId="0" xfId="0" applyNumberFormat="1" applyFont="1" applyFill="1" applyBorder="1" applyAlignment="1" applyProtection="1">
      <alignment horizontal="right" wrapText="1"/>
    </xf>
    <xf numFmtId="0" fontId="10" fillId="17" borderId="0" xfId="0" applyNumberFormat="1" applyFont="1" applyFill="1" applyBorder="1" applyAlignment="1" applyProtection="1">
      <alignment horizontal="left"/>
    </xf>
    <xf numFmtId="0" fontId="10" fillId="17" borderId="0" xfId="0" applyNumberFormat="1" applyFont="1" applyFill="1" applyBorder="1" applyAlignment="1" applyProtection="1">
      <alignment horizontal="center"/>
    </xf>
    <xf numFmtId="0" fontId="10" fillId="17" borderId="0" xfId="0" applyNumberFormat="1" applyFont="1" applyFill="1" applyBorder="1" applyAlignment="1" applyProtection="1">
      <alignment horizontal="left" wrapText="1"/>
    </xf>
    <xf numFmtId="0" fontId="11" fillId="16" borderId="0" xfId="0" applyNumberFormat="1" applyFont="1" applyFill="1" applyBorder="1" applyAlignment="1" applyProtection="1">
      <alignment wrapText="1"/>
    </xf>
    <xf numFmtId="0" fontId="11" fillId="16" borderId="0" xfId="0" applyNumberFormat="1" applyFont="1" applyFill="1" applyBorder="1" applyAlignment="1" applyProtection="1"/>
    <xf numFmtId="0" fontId="11" fillId="16" borderId="0" xfId="0" applyNumberFormat="1" applyFont="1" applyFill="1" applyBorder="1" applyAlignment="1" applyProtection="1">
      <alignment horizontal="right" wrapText="1"/>
    </xf>
    <xf numFmtId="0" fontId="11" fillId="16" borderId="0" xfId="0" applyNumberFormat="1" applyFont="1" applyFill="1" applyBorder="1" applyAlignment="1" applyProtection="1">
      <alignment horizontal="left"/>
    </xf>
    <xf numFmtId="0" fontId="11" fillId="16" borderId="0" xfId="0" applyNumberFormat="1" applyFont="1" applyFill="1" applyBorder="1" applyAlignment="1" applyProtection="1">
      <alignment horizontal="center"/>
    </xf>
    <xf numFmtId="0" fontId="11" fillId="16" borderId="0" xfId="0" applyNumberFormat="1" applyFont="1" applyFill="1" applyBorder="1" applyAlignment="1" applyProtection="1">
      <alignment horizontal="left" wrapText="1"/>
    </xf>
    <xf numFmtId="0" fontId="24" fillId="16" borderId="0" xfId="0" applyNumberFormat="1" applyFont="1" applyFill="1" applyBorder="1" applyAlignment="1" applyProtection="1">
      <alignment horizontal="left" wrapText="1"/>
    </xf>
    <xf numFmtId="0" fontId="8" fillId="0" borderId="0" xfId="0" quotePrefix="1" applyFont="1"/>
    <xf numFmtId="0" fontId="24" fillId="16" borderId="0" xfId="0" applyNumberFormat="1" applyFont="1" applyFill="1" applyBorder="1" applyAlignment="1" applyProtection="1">
      <alignment vertical="center" wrapText="1"/>
    </xf>
    <xf numFmtId="0" fontId="24" fillId="16" borderId="0" xfId="0" applyFont="1" applyFill="1" applyAlignment="1">
      <alignment vertical="center"/>
    </xf>
    <xf numFmtId="0" fontId="24" fillId="16" borderId="0" xfId="0" applyNumberFormat="1" applyFont="1" applyFill="1" applyBorder="1" applyAlignment="1" applyProtection="1">
      <alignment horizontal="right" vertical="center" wrapText="1"/>
    </xf>
    <xf numFmtId="0" fontId="24" fillId="16" borderId="0" xfId="0" applyNumberFormat="1" applyFont="1" applyFill="1" applyBorder="1" applyAlignment="1" applyProtection="1">
      <alignment horizontal="left" vertical="center"/>
    </xf>
    <xf numFmtId="0" fontId="24" fillId="16" borderId="0" xfId="0" applyFont="1" applyFill="1" applyAlignment="1">
      <alignment vertical="center" wrapText="1"/>
    </xf>
    <xf numFmtId="0" fontId="24" fillId="16" borderId="0" xfId="0" applyNumberFormat="1" applyFont="1" applyFill="1" applyBorder="1" applyAlignment="1" applyProtection="1"/>
    <xf numFmtId="0" fontId="24" fillId="16" borderId="0" xfId="0" applyNumberFormat="1" applyFont="1" applyFill="1" applyBorder="1" applyAlignment="1" applyProtection="1">
      <alignment vertical="center"/>
    </xf>
    <xf numFmtId="0" fontId="24" fillId="16" borderId="0" xfId="0" quotePrefix="1" applyNumberFormat="1" applyFont="1" applyFill="1" applyBorder="1" applyAlignment="1" applyProtection="1">
      <alignment horizontal="right" vertical="center"/>
    </xf>
    <xf numFmtId="0" fontId="8" fillId="16" borderId="0" xfId="0" applyNumberFormat="1" applyFont="1" applyFill="1" applyBorder="1" applyAlignment="1" applyProtection="1"/>
    <xf numFmtId="0" fontId="8" fillId="16" borderId="0" xfId="0" quotePrefix="1" applyNumberFormat="1" applyFont="1" applyFill="1" applyBorder="1" applyAlignment="1" applyProtection="1">
      <alignment horizontal="right"/>
    </xf>
    <xf numFmtId="0" fontId="8" fillId="16" borderId="0" xfId="0" applyNumberFormat="1" applyFont="1" applyFill="1" applyBorder="1" applyAlignment="1" applyProtection="1">
      <alignment horizontal="center"/>
    </xf>
    <xf numFmtId="0" fontId="8" fillId="16" borderId="0" xfId="0" quotePrefix="1" applyNumberFormat="1" applyFont="1" applyFill="1" applyBorder="1" applyAlignment="1" applyProtection="1">
      <alignment horizontal="center"/>
    </xf>
    <xf numFmtId="0" fontId="8" fillId="16" borderId="0" xfId="0" applyNumberFormat="1" applyFont="1" applyFill="1" applyBorder="1" applyAlignment="1" applyProtection="1">
      <alignment vertical="center"/>
    </xf>
    <xf numFmtId="0" fontId="8" fillId="26" borderId="0" xfId="0" applyNumberFormat="1" applyFont="1" applyFill="1" applyBorder="1" applyAlignment="1" applyProtection="1">
      <alignment horizontal="left"/>
    </xf>
    <xf numFmtId="0" fontId="8" fillId="26" borderId="0" xfId="0" applyNumberFormat="1" applyFont="1" applyFill="1" applyBorder="1" applyAlignment="1" applyProtection="1"/>
    <xf numFmtId="0" fontId="8" fillId="26" borderId="0" xfId="0" applyNumberFormat="1" applyFont="1" applyFill="1" applyBorder="1" applyAlignment="1" applyProtection="1">
      <alignment wrapText="1"/>
    </xf>
    <xf numFmtId="0" fontId="8" fillId="26" borderId="0" xfId="0" quotePrefix="1" applyNumberFormat="1" applyFont="1" applyFill="1" applyBorder="1" applyAlignment="1" applyProtection="1">
      <alignment horizontal="right"/>
    </xf>
    <xf numFmtId="0" fontId="8" fillId="26" borderId="0" xfId="0" applyNumberFormat="1" applyFont="1" applyFill="1" applyBorder="1" applyAlignment="1" applyProtection="1">
      <alignment horizontal="right" wrapText="1"/>
    </xf>
    <xf numFmtId="0" fontId="8" fillId="26" borderId="0" xfId="0" applyFont="1" applyFill="1" applyAlignment="1">
      <alignment wrapText="1"/>
    </xf>
    <xf numFmtId="0" fontId="8" fillId="16" borderId="0" xfId="0" applyNumberFormat="1" applyFont="1" applyFill="1" applyBorder="1" applyAlignment="1" applyProtection="1">
      <alignment horizontal="center" vertical="center"/>
    </xf>
    <xf numFmtId="0" fontId="8" fillId="16" borderId="0" xfId="0" applyNumberFormat="1" applyFont="1" applyFill="1" applyBorder="1" applyAlignment="1" applyProtection="1">
      <alignment horizontal="center" vertical="center" wrapText="1"/>
    </xf>
    <xf numFmtId="0" fontId="8" fillId="16" borderId="0" xfId="0" quotePrefix="1" applyNumberFormat="1" applyFont="1" applyFill="1" applyBorder="1" applyAlignment="1" applyProtection="1">
      <alignment horizontal="center" vertical="center"/>
    </xf>
    <xf numFmtId="0" fontId="8" fillId="16" borderId="0" xfId="0" applyNumberFormat="1" applyFont="1" applyFill="1" applyBorder="1" applyAlignment="1" applyProtection="1">
      <alignment horizontal="left" vertical="center"/>
    </xf>
    <xf numFmtId="0" fontId="8" fillId="25" borderId="0" xfId="0" applyNumberFormat="1" applyFont="1" applyFill="1" applyBorder="1" applyAlignment="1" applyProtection="1">
      <alignment horizontal="left" vertical="center"/>
    </xf>
    <xf numFmtId="0" fontId="8" fillId="25" borderId="0" xfId="0" applyNumberFormat="1" applyFont="1" applyFill="1" applyBorder="1" applyAlignment="1" applyProtection="1">
      <alignment horizontal="left" vertical="center" wrapText="1"/>
    </xf>
    <xf numFmtId="0" fontId="8" fillId="17" borderId="0" xfId="0" applyNumberFormat="1" applyFont="1" applyFill="1" applyBorder="1" applyAlignment="1" applyProtection="1">
      <alignment horizontal="center" vertical="center"/>
    </xf>
    <xf numFmtId="0" fontId="8" fillId="17" borderId="0" xfId="0" applyNumberFormat="1" applyFont="1" applyFill="1" applyBorder="1" applyAlignment="1" applyProtection="1">
      <alignment horizontal="center" vertical="center" wrapText="1"/>
    </xf>
    <xf numFmtId="0" fontId="8" fillId="17" borderId="0" xfId="0" applyFont="1" applyFill="1" applyAlignment="1">
      <alignment horizontal="center" vertical="center"/>
    </xf>
    <xf numFmtId="0" fontId="8" fillId="17" borderId="0" xfId="0" applyNumberFormat="1" applyFont="1" applyFill="1" applyBorder="1" applyAlignment="1" applyProtection="1">
      <alignment horizontal="left" vertical="center"/>
    </xf>
    <xf numFmtId="0" fontId="8" fillId="17" borderId="0" xfId="0" applyFont="1" applyFill="1" applyAlignment="1">
      <alignment wrapText="1"/>
    </xf>
    <xf numFmtId="0" fontId="8" fillId="17" borderId="0" xfId="0" applyNumberFormat="1" applyFont="1" applyFill="1" applyBorder="1" applyAlignment="1" applyProtection="1">
      <alignment horizontal="left" vertical="center" wrapText="1"/>
    </xf>
    <xf numFmtId="0" fontId="8" fillId="16" borderId="0" xfId="0" applyFont="1" applyFill="1" applyAlignment="1">
      <alignment horizontal="center" vertical="center"/>
    </xf>
    <xf numFmtId="0" fontId="8" fillId="29" borderId="0" xfId="0" applyFont="1" applyFill="1" applyAlignment="1">
      <alignment horizontal="center" vertical="center"/>
    </xf>
    <xf numFmtId="0" fontId="8" fillId="29" borderId="0" xfId="0" applyNumberFormat="1" applyFont="1" applyFill="1" applyBorder="1" applyAlignment="1" applyProtection="1">
      <alignment horizontal="center" vertical="center" wrapText="1"/>
    </xf>
    <xf numFmtId="0" fontId="8" fillId="29" borderId="0" xfId="0" applyNumberFormat="1" applyFont="1" applyFill="1" applyBorder="1" applyAlignment="1" applyProtection="1">
      <alignment horizontal="left" vertical="center"/>
    </xf>
    <xf numFmtId="0" fontId="8" fillId="29" borderId="0" xfId="0" applyFont="1" applyFill="1" applyAlignment="1">
      <alignment wrapText="1"/>
    </xf>
    <xf numFmtId="0" fontId="8" fillId="29" borderId="0" xfId="0" applyNumberFormat="1" applyFont="1" applyFill="1" applyBorder="1" applyAlignment="1" applyProtection="1">
      <alignment horizontal="left" vertical="center" wrapText="1"/>
    </xf>
    <xf numFmtId="0" fontId="26" fillId="0" borderId="0" xfId="0" applyNumberFormat="1" applyFont="1" applyFill="1" applyBorder="1" applyAlignment="1" applyProtection="1"/>
    <xf numFmtId="0" fontId="15" fillId="16" borderId="0" xfId="0" applyFont="1" applyFill="1"/>
    <xf numFmtId="0" fontId="14" fillId="16" borderId="0" xfId="0" applyFont="1" applyFill="1"/>
    <xf numFmtId="0" fontId="10" fillId="0" borderId="0" xfId="0" applyFont="1" applyFill="1"/>
    <xf numFmtId="0" fontId="10" fillId="24" borderId="0" xfId="0" applyNumberFormat="1" applyFont="1" applyFill="1" applyBorder="1" applyAlignment="1" applyProtection="1">
      <alignment wrapText="1"/>
    </xf>
    <xf numFmtId="0" fontId="10" fillId="24" borderId="0" xfId="0" applyNumberFormat="1" applyFont="1" applyFill="1" applyBorder="1" applyAlignment="1" applyProtection="1"/>
    <xf numFmtId="0" fontId="10" fillId="24" borderId="0" xfId="0" applyNumberFormat="1" applyFont="1" applyFill="1" applyBorder="1" applyAlignment="1" applyProtection="1">
      <alignment horizontal="right" wrapText="1"/>
    </xf>
    <xf numFmtId="0" fontId="10" fillId="24" borderId="0" xfId="0" applyNumberFormat="1" applyFont="1" applyFill="1" applyBorder="1" applyAlignment="1" applyProtection="1">
      <alignment horizontal="left"/>
    </xf>
    <xf numFmtId="0" fontId="10" fillId="24" borderId="0" xfId="0" applyNumberFormat="1" applyFont="1" applyFill="1" applyBorder="1" applyAlignment="1" applyProtection="1">
      <alignment horizontal="center"/>
    </xf>
    <xf numFmtId="0" fontId="10" fillId="24" borderId="0" xfId="0" applyNumberFormat="1" applyFont="1" applyFill="1" applyBorder="1" applyAlignment="1" applyProtection="1">
      <alignment horizontal="left" wrapText="1"/>
    </xf>
    <xf numFmtId="0" fontId="10" fillId="24" borderId="0" xfId="0" applyFont="1" applyFill="1"/>
    <xf numFmtId="0" fontId="10" fillId="0" borderId="0" xfId="0" applyFont="1" applyAlignment="1">
      <alignment vertical="center"/>
    </xf>
    <xf numFmtId="0" fontId="10" fillId="16" borderId="0" xfId="0" applyNumberFormat="1" applyFont="1" applyFill="1" applyBorder="1" applyAlignment="1" applyProtection="1">
      <alignment vertical="center" wrapText="1"/>
    </xf>
    <xf numFmtId="0" fontId="10" fillId="16" borderId="0" xfId="0" applyNumberFormat="1" applyFont="1" applyFill="1" applyBorder="1" applyAlignment="1" applyProtection="1">
      <alignment vertical="center"/>
    </xf>
    <xf numFmtId="0" fontId="10" fillId="16" borderId="0" xfId="0" applyNumberFormat="1" applyFont="1" applyFill="1" applyBorder="1" applyAlignment="1" applyProtection="1">
      <alignment horizontal="right" vertical="center" wrapText="1"/>
    </xf>
    <xf numFmtId="0" fontId="10" fillId="16" borderId="0" xfId="0" applyNumberFormat="1" applyFont="1" applyFill="1" applyBorder="1" applyAlignment="1" applyProtection="1">
      <alignment horizontal="left" vertical="center"/>
    </xf>
    <xf numFmtId="0" fontId="10" fillId="16" borderId="0" xfId="0" applyNumberFormat="1" applyFont="1" applyFill="1" applyBorder="1" applyAlignment="1" applyProtection="1">
      <alignment horizontal="center" vertical="center"/>
    </xf>
    <xf numFmtId="0" fontId="10" fillId="16" borderId="0" xfId="0" applyNumberFormat="1" applyFont="1" applyFill="1" applyBorder="1" applyAlignment="1" applyProtection="1">
      <alignment horizontal="left" vertical="center" wrapText="1"/>
    </xf>
    <xf numFmtId="0" fontId="23" fillId="0" borderId="0" xfId="0" applyFont="1"/>
    <xf numFmtId="0" fontId="27" fillId="0" borderId="0" xfId="10" applyNumberFormat="1" applyFont="1" applyFill="1" applyBorder="1" applyAlignment="1" applyProtection="1">
      <alignment horizontal="left" vertical="center"/>
    </xf>
    <xf numFmtId="0" fontId="10" fillId="30" borderId="0" xfId="0" applyNumberFormat="1" applyFont="1" applyFill="1" applyBorder="1" applyAlignment="1" applyProtection="1">
      <alignment wrapText="1"/>
    </xf>
    <xf numFmtId="0" fontId="10" fillId="30" borderId="0" xfId="0" applyNumberFormat="1" applyFont="1" applyFill="1" applyBorder="1" applyAlignment="1" applyProtection="1">
      <alignment horizontal="right" wrapText="1"/>
    </xf>
    <xf numFmtId="0" fontId="10" fillId="30" borderId="0" xfId="0" applyNumberFormat="1" applyFont="1" applyFill="1" applyBorder="1" applyAlignment="1" applyProtection="1">
      <alignment horizontal="left"/>
    </xf>
    <xf numFmtId="0" fontId="10" fillId="30" borderId="0" xfId="0" applyNumberFormat="1" applyFont="1" applyFill="1" applyBorder="1" applyAlignment="1" applyProtection="1">
      <alignment horizontal="left" wrapText="1"/>
    </xf>
    <xf numFmtId="49" fontId="28" fillId="0" borderId="0" xfId="10" applyNumberFormat="1" applyFont="1" applyBorder="1" applyAlignment="1">
      <alignment horizontal="right"/>
    </xf>
    <xf numFmtId="0" fontId="10" fillId="28" borderId="0" xfId="0" applyNumberFormat="1" applyFont="1" applyFill="1" applyBorder="1" applyAlignment="1" applyProtection="1">
      <alignment wrapText="1"/>
    </xf>
    <xf numFmtId="0" fontId="10" fillId="28" borderId="0" xfId="0" applyNumberFormat="1" applyFont="1" applyFill="1" applyBorder="1" applyAlignment="1" applyProtection="1">
      <alignment horizontal="right" wrapText="1"/>
    </xf>
    <xf numFmtId="0" fontId="10" fillId="28" borderId="0" xfId="0" applyNumberFormat="1" applyFont="1" applyFill="1" applyBorder="1" applyAlignment="1" applyProtection="1">
      <alignment horizontal="left"/>
    </xf>
    <xf numFmtId="0" fontId="10" fillId="28" borderId="0" xfId="0" applyNumberFormat="1" applyFont="1" applyFill="1" applyBorder="1" applyAlignment="1" applyProtection="1">
      <alignment horizontal="left" wrapText="1"/>
    </xf>
    <xf numFmtId="11" fontId="10" fillId="0" borderId="0" xfId="0" quotePrefix="1" applyNumberFormat="1" applyFont="1" applyFill="1" applyBorder="1" applyAlignment="1" applyProtection="1"/>
    <xf numFmtId="0" fontId="29" fillId="0" borderId="0" xfId="0" applyFont="1"/>
    <xf numFmtId="0" fontId="10" fillId="16" borderId="0" xfId="0" applyFont="1" applyFill="1" applyAlignment="1">
      <alignment horizontal="left" vertical="center"/>
    </xf>
    <xf numFmtId="0" fontId="10" fillId="16" borderId="0" xfId="0" applyFont="1" applyFill="1" applyAlignment="1">
      <alignment vertical="center"/>
    </xf>
    <xf numFmtId="0" fontId="29" fillId="16" borderId="0" xfId="0" applyFont="1" applyFill="1" applyAlignment="1">
      <alignment vertical="center"/>
    </xf>
    <xf numFmtId="0" fontId="10" fillId="28" borderId="0" xfId="0" applyFont="1" applyFill="1"/>
    <xf numFmtId="0" fontId="10" fillId="30" borderId="0" xfId="0" applyFont="1" applyFill="1" applyAlignment="1">
      <alignment horizontal="left"/>
    </xf>
    <xf numFmtId="0" fontId="10" fillId="30" borderId="0" xfId="0" applyFont="1" applyFill="1"/>
    <xf numFmtId="0" fontId="10" fillId="24" borderId="0" xfId="0" applyFont="1" applyFill="1" applyAlignment="1">
      <alignment horizontal="left"/>
    </xf>
    <xf numFmtId="0" fontId="8" fillId="19" borderId="0" xfId="0" applyFont="1" applyFill="1"/>
    <xf numFmtId="0" fontId="8" fillId="19" borderId="0" xfId="0" applyNumberFormat="1" applyFont="1" applyFill="1" applyBorder="1" applyAlignment="1" applyProtection="1">
      <alignment horizontal="right" wrapText="1"/>
    </xf>
    <xf numFmtId="0" fontId="8" fillId="19" borderId="0" xfId="0" applyNumberFormat="1" applyFont="1" applyFill="1" applyBorder="1" applyAlignment="1" applyProtection="1">
      <alignment horizontal="left"/>
    </xf>
    <xf numFmtId="0" fontId="8" fillId="19" borderId="0" xfId="0" applyNumberFormat="1" applyFont="1" applyFill="1" applyBorder="1" applyAlignment="1" applyProtection="1">
      <alignment wrapText="1"/>
    </xf>
    <xf numFmtId="0" fontId="23" fillId="16" borderId="0" xfId="0" applyFont="1" applyFill="1"/>
    <xf numFmtId="0" fontId="15" fillId="24" borderId="0" xfId="0" applyFont="1" applyFill="1"/>
    <xf numFmtId="0" fontId="15" fillId="19" borderId="0" xfId="0" applyFont="1" applyFill="1"/>
    <xf numFmtId="0" fontId="15" fillId="30" borderId="0" xfId="0" applyFont="1" applyFill="1"/>
    <xf numFmtId="0" fontId="30" fillId="30" borderId="0" xfId="0" applyFont="1" applyFill="1"/>
    <xf numFmtId="0" fontId="31" fillId="0" borderId="0" xfId="0" applyNumberFormat="1" applyFont="1" applyFill="1" applyBorder="1" applyAlignment="1" applyProtection="1"/>
    <xf numFmtId="0" fontId="31" fillId="0" borderId="0" xfId="0" applyFont="1"/>
    <xf numFmtId="0" fontId="26" fillId="0" borderId="0" xfId="0" applyFont="1"/>
    <xf numFmtId="0" fontId="8" fillId="31" borderId="0" xfId="0" applyNumberFormat="1" applyFont="1" applyFill="1" applyBorder="1" applyAlignment="1" applyProtection="1">
      <alignment wrapText="1"/>
    </xf>
    <xf numFmtId="0" fontId="8" fillId="31" borderId="0" xfId="0" applyNumberFormat="1" applyFont="1" applyFill="1" applyBorder="1" applyAlignment="1" applyProtection="1">
      <alignment horizontal="right"/>
    </xf>
    <xf numFmtId="0" fontId="8" fillId="31" borderId="0" xfId="0" applyNumberFormat="1" applyFont="1" applyFill="1" applyBorder="1" applyAlignment="1" applyProtection="1">
      <alignment horizontal="right" wrapText="1"/>
    </xf>
    <xf numFmtId="0" fontId="8" fillId="31" borderId="0" xfId="0" applyNumberFormat="1" applyFont="1" applyFill="1" applyBorder="1" applyAlignment="1" applyProtection="1">
      <alignment horizontal="left"/>
    </xf>
    <xf numFmtId="0" fontId="8" fillId="31" borderId="0" xfId="0" applyNumberFormat="1" applyFont="1" applyFill="1" applyBorder="1" applyAlignment="1" applyProtection="1">
      <alignment horizontal="left" wrapText="1"/>
    </xf>
    <xf numFmtId="0" fontId="8" fillId="32" borderId="0" xfId="0" applyNumberFormat="1" applyFont="1" applyFill="1" applyBorder="1" applyAlignment="1" applyProtection="1">
      <alignment wrapText="1"/>
    </xf>
    <xf numFmtId="0" fontId="8" fillId="32" borderId="0" xfId="0" applyNumberFormat="1" applyFont="1" applyFill="1" applyBorder="1" applyAlignment="1" applyProtection="1">
      <alignment horizontal="right"/>
    </xf>
    <xf numFmtId="0" fontId="8" fillId="32" borderId="0" xfId="0" applyNumberFormat="1" applyFont="1" applyFill="1" applyBorder="1" applyAlignment="1" applyProtection="1">
      <alignment horizontal="right" wrapText="1"/>
    </xf>
    <xf numFmtId="0" fontId="8" fillId="32" borderId="0" xfId="0" applyNumberFormat="1" applyFont="1" applyFill="1" applyBorder="1" applyAlignment="1" applyProtection="1">
      <alignment horizontal="left"/>
    </xf>
    <xf numFmtId="0" fontId="8" fillId="32" borderId="0" xfId="0" applyNumberFormat="1" applyFont="1" applyFill="1" applyBorder="1" applyAlignment="1" applyProtection="1">
      <alignment horizontal="left" wrapText="1"/>
    </xf>
    <xf numFmtId="0" fontId="8" fillId="33" borderId="0" xfId="0" applyNumberFormat="1" applyFont="1" applyFill="1" applyBorder="1" applyAlignment="1" applyProtection="1">
      <alignment wrapText="1"/>
    </xf>
    <xf numFmtId="0" fontId="8" fillId="33" borderId="0" xfId="0" applyNumberFormat="1" applyFont="1" applyFill="1" applyBorder="1" applyAlignment="1" applyProtection="1">
      <alignment horizontal="right"/>
    </xf>
    <xf numFmtId="0" fontId="8" fillId="33" borderId="0" xfId="0" applyNumberFormat="1" applyFont="1" applyFill="1" applyBorder="1" applyAlignment="1" applyProtection="1">
      <alignment horizontal="right" wrapText="1"/>
    </xf>
    <xf numFmtId="0" fontId="8" fillId="33" borderId="0" xfId="0" applyNumberFormat="1" applyFont="1" applyFill="1" applyBorder="1" applyAlignment="1" applyProtection="1">
      <alignment horizontal="left"/>
    </xf>
    <xf numFmtId="0" fontId="8" fillId="33" borderId="0" xfId="0" applyNumberFormat="1" applyFont="1" applyFill="1" applyBorder="1" applyAlignment="1" applyProtection="1">
      <alignment horizontal="left" wrapText="1"/>
    </xf>
    <xf numFmtId="0" fontId="8" fillId="33" borderId="0" xfId="0" applyNumberFormat="1" applyFont="1" applyFill="1" applyBorder="1" applyAlignment="1" applyProtection="1"/>
    <xf numFmtId="0" fontId="8" fillId="19" borderId="0" xfId="0" applyFont="1" applyFill="1" applyAlignment="1">
      <alignment wrapText="1"/>
    </xf>
    <xf numFmtId="0" fontId="8" fillId="16" borderId="0" xfId="9" applyFont="1" applyFill="1"/>
    <xf numFmtId="0" fontId="8" fillId="16" borderId="0" xfId="9" applyFont="1" applyFill="1" applyAlignment="1">
      <alignment wrapText="1"/>
    </xf>
    <xf numFmtId="0" fontId="8" fillId="2" borderId="0" xfId="0" applyNumberFormat="1" applyFont="1" applyFill="1" applyBorder="1" applyAlignment="1" applyProtection="1"/>
    <xf numFmtId="0" fontId="8" fillId="34" borderId="0" xfId="0" applyFont="1" applyFill="1"/>
    <xf numFmtId="0" fontId="10" fillId="2" borderId="0" xfId="0" applyNumberFormat="1" applyFont="1" applyFill="1" applyBorder="1" applyAlignment="1" applyProtection="1"/>
    <xf numFmtId="0" fontId="10" fillId="34" borderId="0" xfId="0" applyFont="1" applyFill="1"/>
    <xf numFmtId="0" fontId="25" fillId="34" borderId="0" xfId="0" applyFont="1" applyFill="1"/>
    <xf numFmtId="0" fontId="8" fillId="0" borderId="0" xfId="0" applyFont="1" applyAlignment="1">
      <alignment vertical="top" wrapText="1"/>
    </xf>
    <xf numFmtId="0" fontId="8" fillId="27" borderId="0" xfId="0" applyFont="1" applyFill="1" applyAlignment="1">
      <alignment vertical="top" wrapText="1"/>
    </xf>
    <xf numFmtId="0" fontId="8" fillId="27" borderId="0" xfId="0" applyNumberFormat="1" applyFont="1" applyFill="1" applyBorder="1" applyAlignment="1" applyProtection="1">
      <alignment vertical="top"/>
    </xf>
    <xf numFmtId="0" fontId="8" fillId="27" borderId="0" xfId="0" applyNumberFormat="1" applyFont="1" applyFill="1" applyBorder="1" applyAlignment="1" applyProtection="1">
      <alignment vertical="top" wrapText="1"/>
    </xf>
    <xf numFmtId="0" fontId="9" fillId="27" borderId="0" xfId="0" applyFont="1" applyFill="1" applyAlignment="1">
      <alignment vertical="top"/>
    </xf>
    <xf numFmtId="0" fontId="8" fillId="27" borderId="0" xfId="0" applyNumberFormat="1" applyFont="1" applyFill="1" applyBorder="1" applyAlignment="1" applyProtection="1">
      <alignment horizontal="right" vertical="top" wrapText="1"/>
    </xf>
    <xf numFmtId="0" fontId="8" fillId="27" borderId="0" xfId="0" applyNumberFormat="1" applyFont="1" applyFill="1" applyBorder="1" applyAlignment="1" applyProtection="1">
      <alignment horizontal="left" vertical="top"/>
    </xf>
    <xf numFmtId="0" fontId="26" fillId="0" borderId="0" xfId="0" applyNumberFormat="1" applyFont="1" applyFill="1" applyBorder="1" applyAlignment="1" applyProtection="1">
      <alignment vertical="top"/>
    </xf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0" fontId="25" fillId="0" borderId="0" xfId="0" applyFont="1" applyAlignment="1">
      <alignment vertical="top"/>
    </xf>
    <xf numFmtId="0" fontId="8" fillId="0" borderId="0" xfId="0" applyNumberFormat="1" applyFont="1" applyFill="1" applyBorder="1" applyAlignment="1" applyProtection="1">
      <alignment vertical="top"/>
    </xf>
    <xf numFmtId="0" fontId="8" fillId="0" borderId="0" xfId="0" applyNumberFormat="1" applyFont="1" applyFill="1" applyBorder="1" applyAlignment="1" applyProtection="1">
      <alignment vertical="top" wrapText="1"/>
    </xf>
    <xf numFmtId="0" fontId="8" fillId="0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8" fillId="0" borderId="0" xfId="0" applyNumberFormat="1" applyFont="1" applyFill="1" applyBorder="1" applyAlignment="1" applyProtection="1">
      <alignment horizontal="left" vertical="top"/>
    </xf>
    <xf numFmtId="0" fontId="8" fillId="2" borderId="2" xfId="0" applyNumberFormat="1" applyFont="1" applyFill="1" applyBorder="1" applyAlignment="1" applyProtection="1">
      <alignment vertical="top"/>
    </xf>
    <xf numFmtId="0" fontId="8" fillId="0" borderId="3" xfId="0" applyNumberFormat="1" applyFont="1" applyFill="1" applyBorder="1" applyAlignment="1" applyProtection="1">
      <alignment vertical="top" wrapText="1"/>
    </xf>
    <xf numFmtId="0" fontId="8" fillId="0" borderId="7" xfId="0" applyNumberFormat="1" applyFont="1" applyFill="1" applyBorder="1" applyAlignment="1" applyProtection="1">
      <alignment vertical="top"/>
    </xf>
    <xf numFmtId="0" fontId="8" fillId="2" borderId="4" xfId="0" applyNumberFormat="1" applyFont="1" applyFill="1" applyBorder="1" applyAlignment="1" applyProtection="1">
      <alignment vertical="top"/>
    </xf>
    <xf numFmtId="0" fontId="8" fillId="2" borderId="5" xfId="0" applyNumberFormat="1" applyFont="1" applyFill="1" applyBorder="1" applyAlignment="1" applyProtection="1">
      <alignment vertical="top" wrapText="1"/>
    </xf>
    <xf numFmtId="0" fontId="8" fillId="2" borderId="5" xfId="0" applyNumberFormat="1" applyFont="1" applyFill="1" applyBorder="1" applyAlignment="1" applyProtection="1">
      <alignment vertical="top"/>
    </xf>
    <xf numFmtId="0" fontId="8" fillId="2" borderId="5" xfId="0" applyNumberFormat="1" applyFont="1" applyFill="1" applyBorder="1" applyAlignment="1" applyProtection="1">
      <alignment horizontal="right" vertical="top" wrapText="1"/>
    </xf>
    <xf numFmtId="0" fontId="8" fillId="2" borderId="6" xfId="0" applyNumberFormat="1" applyFont="1" applyFill="1" applyBorder="1" applyAlignment="1" applyProtection="1">
      <alignment vertical="top" wrapText="1"/>
    </xf>
    <xf numFmtId="0" fontId="8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Alignment="1">
      <alignment vertical="top" wrapText="1"/>
    </xf>
    <xf numFmtId="0" fontId="8" fillId="2" borderId="4" xfId="0" applyNumberFormat="1" applyFont="1" applyFill="1" applyBorder="1" applyAlignment="1" applyProtection="1">
      <alignment vertical="top" wrapText="1"/>
    </xf>
    <xf numFmtId="0" fontId="8" fillId="0" borderId="0" xfId="0" quotePrefix="1" applyNumberFormat="1" applyFont="1" applyFill="1" applyBorder="1" applyAlignment="1" applyProtection="1">
      <alignment horizontal="right" vertical="top"/>
    </xf>
    <xf numFmtId="0" fontId="8" fillId="16" borderId="0" xfId="0" applyNumberFormat="1" applyFont="1" applyFill="1" applyBorder="1" applyAlignment="1" applyProtection="1">
      <alignment vertical="top"/>
    </xf>
    <xf numFmtId="0" fontId="8" fillId="16" borderId="0" xfId="0" applyNumberFormat="1" applyFont="1" applyFill="1" applyBorder="1" applyAlignment="1" applyProtection="1">
      <alignment vertical="top" wrapText="1"/>
    </xf>
    <xf numFmtId="0" fontId="8" fillId="16" borderId="0" xfId="0" quotePrefix="1" applyNumberFormat="1" applyFont="1" applyFill="1" applyBorder="1" applyAlignment="1" applyProtection="1">
      <alignment horizontal="right" vertical="top"/>
    </xf>
    <xf numFmtId="0" fontId="8" fillId="16" borderId="0" xfId="0" applyNumberFormat="1" applyFont="1" applyFill="1" applyBorder="1" applyAlignment="1" applyProtection="1">
      <alignment horizontal="right" vertical="top" wrapText="1"/>
    </xf>
    <xf numFmtId="0" fontId="8" fillId="16" borderId="0" xfId="0" applyNumberFormat="1" applyFont="1" applyFill="1" applyBorder="1" applyAlignment="1" applyProtection="1">
      <alignment horizontal="left" vertical="top"/>
    </xf>
    <xf numFmtId="0" fontId="8" fillId="16" borderId="0" xfId="0" applyNumberFormat="1" applyFont="1" applyFill="1" applyBorder="1" applyAlignment="1" applyProtection="1">
      <alignment horizontal="left" vertical="top" wrapText="1"/>
    </xf>
    <xf numFmtId="0" fontId="8" fillId="16" borderId="0" xfId="0" applyFont="1" applyFill="1" applyAlignment="1">
      <alignment vertical="top" wrapText="1"/>
    </xf>
    <xf numFmtId="0" fontId="8" fillId="27" borderId="0" xfId="0" quotePrefix="1" applyNumberFormat="1" applyFont="1" applyFill="1" applyBorder="1" applyAlignment="1" applyProtection="1">
      <alignment horizontal="right" vertical="top"/>
    </xf>
    <xf numFmtId="0" fontId="8" fillId="27" borderId="0" xfId="0" applyNumberFormat="1" applyFont="1" applyFill="1" applyBorder="1" applyAlignment="1" applyProtection="1">
      <alignment horizontal="left" vertical="top" wrapText="1"/>
    </xf>
    <xf numFmtId="0" fontId="8" fillId="28" borderId="0" xfId="0" applyNumberFormat="1" applyFont="1" applyFill="1" applyBorder="1" applyAlignment="1" applyProtection="1">
      <alignment vertical="top"/>
    </xf>
    <xf numFmtId="0" fontId="8" fillId="28" borderId="0" xfId="0" applyNumberFormat="1" applyFont="1" applyFill="1" applyBorder="1" applyAlignment="1" applyProtection="1">
      <alignment vertical="top" wrapText="1"/>
    </xf>
    <xf numFmtId="0" fontId="8" fillId="28" borderId="0" xfId="0" quotePrefix="1" applyNumberFormat="1" applyFont="1" applyFill="1" applyBorder="1" applyAlignment="1" applyProtection="1">
      <alignment horizontal="right" vertical="top"/>
    </xf>
    <xf numFmtId="0" fontId="8" fillId="28" borderId="0" xfId="0" applyNumberFormat="1" applyFont="1" applyFill="1" applyBorder="1" applyAlignment="1" applyProtection="1">
      <alignment horizontal="right" vertical="top" wrapText="1"/>
    </xf>
    <xf numFmtId="0" fontId="8" fillId="28" borderId="0" xfId="0" applyNumberFormat="1" applyFont="1" applyFill="1" applyBorder="1" applyAlignment="1" applyProtection="1">
      <alignment horizontal="left" vertical="top"/>
    </xf>
    <xf numFmtId="0" fontId="8" fillId="28" borderId="0" xfId="0" applyFont="1" applyFill="1" applyAlignment="1">
      <alignment vertical="top" wrapText="1"/>
    </xf>
    <xf numFmtId="0" fontId="8" fillId="28" borderId="0" xfId="0" applyNumberFormat="1" applyFont="1" applyFill="1" applyBorder="1" applyAlignment="1" applyProtection="1">
      <alignment horizontal="left" vertical="top" wrapText="1"/>
    </xf>
    <xf numFmtId="0" fontId="9" fillId="0" borderId="0" xfId="0" applyFont="1" applyAlignment="1">
      <alignment vertical="top"/>
    </xf>
    <xf numFmtId="0" fontId="8" fillId="20" borderId="0" xfId="0" applyFont="1" applyFill="1" applyAlignment="1">
      <alignment vertical="top" wrapText="1"/>
    </xf>
    <xf numFmtId="0" fontId="9" fillId="16" borderId="0" xfId="0" applyFont="1" applyFill="1" applyAlignment="1">
      <alignment vertical="top"/>
    </xf>
    <xf numFmtId="0" fontId="8" fillId="18" borderId="0" xfId="0" applyNumberFormat="1" applyFont="1" applyFill="1" applyBorder="1" applyAlignment="1" applyProtection="1">
      <alignment vertical="top"/>
    </xf>
    <xf numFmtId="0" fontId="8" fillId="18" borderId="0" xfId="0" applyNumberFormat="1" applyFont="1" applyFill="1" applyBorder="1" applyAlignment="1" applyProtection="1">
      <alignment vertical="top" wrapText="1"/>
    </xf>
    <xf numFmtId="0" fontId="9" fillId="18" borderId="0" xfId="0" applyFont="1" applyFill="1" applyAlignment="1">
      <alignment vertical="top"/>
    </xf>
    <xf numFmtId="0" fontId="8" fillId="18" borderId="0" xfId="0" applyNumberFormat="1" applyFont="1" applyFill="1" applyBorder="1" applyAlignment="1" applyProtection="1">
      <alignment horizontal="right" vertical="top" wrapText="1"/>
    </xf>
    <xf numFmtId="0" fontId="8" fillId="18" borderId="0" xfId="0" applyNumberFormat="1" applyFont="1" applyFill="1" applyBorder="1" applyAlignment="1" applyProtection="1">
      <alignment horizontal="left" vertical="top"/>
    </xf>
    <xf numFmtId="0" fontId="8" fillId="18" borderId="0" xfId="0" applyFont="1" applyFill="1" applyAlignment="1">
      <alignment vertical="top" wrapText="1"/>
    </xf>
    <xf numFmtId="0" fontId="8" fillId="19" borderId="0" xfId="0" applyNumberFormat="1" applyFont="1" applyFill="1" applyBorder="1" applyAlignment="1" applyProtection="1">
      <alignment horizontal="left" vertical="top" wrapText="1"/>
    </xf>
    <xf numFmtId="0" fontId="8" fillId="19" borderId="0" xfId="0" applyFont="1" applyFill="1" applyAlignment="1">
      <alignment vertical="top" wrapText="1"/>
    </xf>
    <xf numFmtId="0" fontId="9" fillId="16" borderId="0" xfId="0" applyFont="1" applyFill="1" applyAlignment="1">
      <alignment vertical="top" wrapText="1"/>
    </xf>
    <xf numFmtId="0" fontId="32" fillId="16" borderId="0" xfId="0" applyNumberFormat="1" applyFont="1" applyFill="1" applyBorder="1" applyAlignment="1" applyProtection="1">
      <alignment horizontal="right" vertical="top" wrapText="1"/>
    </xf>
    <xf numFmtId="0" fontId="33" fillId="0" borderId="0" xfId="0" applyNumberFormat="1" applyFont="1" applyFill="1" applyBorder="1" applyAlignment="1" applyProtection="1">
      <alignment vertical="top"/>
    </xf>
    <xf numFmtId="0" fontId="3" fillId="16" borderId="0" xfId="0" applyNumberFormat="1" applyFont="1" applyFill="1" applyBorder="1" applyAlignment="1" applyProtection="1">
      <alignment wrapText="1"/>
    </xf>
    <xf numFmtId="0" fontId="3" fillId="16" borderId="0" xfId="0" quotePrefix="1" applyNumberFormat="1" applyFont="1" applyFill="1" applyBorder="1" applyAlignment="1" applyProtection="1">
      <alignment horizontal="right"/>
    </xf>
    <xf numFmtId="0" fontId="3" fillId="16" borderId="0" xfId="0" applyNumberFormat="1" applyFont="1" applyFill="1" applyBorder="1" applyAlignment="1" applyProtection="1">
      <alignment horizontal="left"/>
    </xf>
    <xf numFmtId="0" fontId="3" fillId="16" borderId="0" xfId="0" applyNumberFormat="1" applyFont="1" applyFill="1" applyBorder="1" applyAlignment="1" applyProtection="1">
      <alignment horizontal="left" wrapText="1" shrinkToFit="1"/>
    </xf>
    <xf numFmtId="0" fontId="10" fillId="16" borderId="0" xfId="0" applyNumberFormat="1" applyFont="1" applyFill="1" applyBorder="1" applyAlignment="1" applyProtection="1">
      <alignment wrapText="1"/>
    </xf>
    <xf numFmtId="0" fontId="10" fillId="16" borderId="0" xfId="0" applyNumberFormat="1" applyFont="1" applyFill="1" applyBorder="1" applyAlignment="1" applyProtection="1">
      <alignment horizontal="right" wrapText="1"/>
    </xf>
    <xf numFmtId="0" fontId="10" fillId="16" borderId="0" xfId="0" applyNumberFormat="1" applyFont="1" applyFill="1" applyBorder="1" applyAlignment="1" applyProtection="1">
      <alignment horizontal="left"/>
    </xf>
    <xf numFmtId="0" fontId="10" fillId="16" borderId="0" xfId="0" applyNumberFormat="1" applyFont="1" applyFill="1" applyBorder="1" applyAlignment="1" applyProtection="1">
      <alignment horizontal="left" wrapText="1"/>
    </xf>
    <xf numFmtId="0" fontId="8" fillId="35" borderId="0" xfId="0" applyNumberFormat="1" applyFont="1" applyFill="1" applyBorder="1" applyAlignment="1" applyProtection="1">
      <alignment vertical="top"/>
    </xf>
    <xf numFmtId="0" fontId="8" fillId="35" borderId="0" xfId="0" applyNumberFormat="1" applyFont="1" applyFill="1" applyBorder="1" applyAlignment="1" applyProtection="1">
      <alignment vertical="top" wrapText="1"/>
    </xf>
    <xf numFmtId="0" fontId="9" fillId="35" borderId="0" xfId="0" applyFont="1" applyFill="1" applyAlignment="1">
      <alignment vertical="top"/>
    </xf>
    <xf numFmtId="0" fontId="8" fillId="35" borderId="0" xfId="0" applyNumberFormat="1" applyFont="1" applyFill="1" applyBorder="1" applyAlignment="1" applyProtection="1">
      <alignment horizontal="right" vertical="top" wrapText="1"/>
    </xf>
    <xf numFmtId="0" fontId="8" fillId="35" borderId="0" xfId="0" applyNumberFormat="1" applyFont="1" applyFill="1" applyBorder="1" applyAlignment="1" applyProtection="1">
      <alignment horizontal="left" vertical="top"/>
    </xf>
    <xf numFmtId="0" fontId="8" fillId="35" borderId="0" xfId="0" applyFont="1" applyFill="1" applyAlignment="1">
      <alignment vertical="top" wrapText="1"/>
    </xf>
    <xf numFmtId="0" fontId="8" fillId="36" borderId="0" xfId="0" applyNumberFormat="1" applyFont="1" applyFill="1" applyBorder="1" applyAlignment="1" applyProtection="1">
      <alignment horizontal="center" vertical="center"/>
    </xf>
    <xf numFmtId="0" fontId="8" fillId="36" borderId="0" xfId="0" applyNumberFormat="1" applyFont="1" applyFill="1" applyBorder="1" applyAlignment="1" applyProtection="1">
      <alignment horizontal="center" vertical="center" wrapText="1"/>
    </xf>
    <xf numFmtId="0" fontId="8" fillId="36" borderId="0" xfId="0" applyNumberFormat="1" applyFont="1" applyFill="1" applyBorder="1" applyAlignment="1" applyProtection="1">
      <alignment horizontal="left" vertical="center"/>
    </xf>
    <xf numFmtId="0" fontId="8" fillId="36" borderId="0" xfId="0" applyFont="1" applyFill="1" applyAlignment="1">
      <alignment wrapText="1"/>
    </xf>
    <xf numFmtId="0" fontId="8" fillId="36" borderId="0" xfId="0" applyNumberFormat="1" applyFont="1" applyFill="1" applyBorder="1" applyAlignment="1" applyProtection="1">
      <alignment horizontal="left" vertical="center" wrapText="1"/>
    </xf>
    <xf numFmtId="0" fontId="34" fillId="16" borderId="0" xfId="0" applyNumberFormat="1" applyFont="1" applyFill="1" applyBorder="1" applyAlignment="1" applyProtection="1">
      <alignment wrapText="1"/>
    </xf>
    <xf numFmtId="0" fontId="34" fillId="16" borderId="0" xfId="0" quotePrefix="1" applyNumberFormat="1" applyFont="1" applyFill="1" applyBorder="1" applyAlignment="1" applyProtection="1">
      <alignment horizontal="right"/>
    </xf>
    <xf numFmtId="0" fontId="34" fillId="16" borderId="0" xfId="0" applyNumberFormat="1" applyFont="1" applyFill="1" applyBorder="1" applyAlignment="1" applyProtection="1">
      <alignment horizontal="left"/>
    </xf>
    <xf numFmtId="0" fontId="34" fillId="16" borderId="0" xfId="0" applyNumberFormat="1" applyFont="1" applyFill="1" applyBorder="1" applyAlignment="1" applyProtection="1">
      <alignment horizontal="left" wrapText="1" shrinkToFit="1"/>
    </xf>
    <xf numFmtId="0" fontId="34" fillId="16" borderId="0" xfId="0" applyNumberFormat="1" applyFont="1" applyFill="1" applyBorder="1" applyAlignment="1" applyProtection="1">
      <alignment horizontal="left" wrapText="1"/>
    </xf>
    <xf numFmtId="0" fontId="8" fillId="0" borderId="0" xfId="0" quotePrefix="1" applyFont="1" applyFill="1" applyAlignment="1">
      <alignment wrapText="1"/>
    </xf>
    <xf numFmtId="0" fontId="3" fillId="35" borderId="0" xfId="0" applyNumberFormat="1" applyFont="1" applyFill="1" applyBorder="1" applyAlignment="1" applyProtection="1"/>
    <xf numFmtId="0" fontId="3" fillId="35" borderId="0" xfId="0" applyNumberFormat="1" applyFont="1" applyFill="1" applyBorder="1" applyAlignment="1" applyProtection="1">
      <alignment wrapText="1"/>
    </xf>
    <xf numFmtId="0" fontId="3" fillId="35" borderId="0" xfId="0" quotePrefix="1" applyNumberFormat="1" applyFont="1" applyFill="1" applyBorder="1" applyAlignment="1" applyProtection="1">
      <alignment horizontal="right"/>
    </xf>
    <xf numFmtId="0" fontId="3" fillId="35" borderId="0" xfId="0" applyNumberFormat="1" applyFont="1" applyFill="1" applyBorder="1" applyAlignment="1" applyProtection="1">
      <alignment horizontal="left"/>
    </xf>
    <xf numFmtId="0" fontId="3" fillId="35" borderId="0" xfId="0" applyNumberFormat="1" applyFont="1" applyFill="1" applyBorder="1" applyAlignment="1" applyProtection="1">
      <alignment horizontal="left" wrapText="1" shrinkToFit="1"/>
    </xf>
    <xf numFmtId="0" fontId="3" fillId="35" borderId="0" xfId="0" applyNumberFormat="1" applyFont="1" applyFill="1" applyBorder="1" applyAlignment="1" applyProtection="1">
      <alignment horizontal="left" wrapText="1"/>
    </xf>
    <xf numFmtId="0" fontId="3" fillId="37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center"/>
    </xf>
  </cellXfs>
  <cellStyles count="11">
    <cellStyle name="Dia" xfId="1"/>
    <cellStyle name="Encabez1" xfId="2"/>
    <cellStyle name="Encabez2" xfId="3"/>
    <cellStyle name="Fijo" xfId="4"/>
    <cellStyle name="Financiero" xfId="5"/>
    <cellStyle name="Monetario" xfId="6"/>
    <cellStyle name="Normal" xfId="0" builtinId="0"/>
    <cellStyle name="Normal 2" xfId="9"/>
    <cellStyle name="Normal 3" xfId="10"/>
    <cellStyle name="Porcentaje" xfId="7"/>
    <cellStyle name="Total" xfId="8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33CC"/>
      <color rgb="FF66FF33"/>
      <color rgb="FFFFFFCC"/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28575</xdr:colOff>
      <xdr:row>3</xdr:row>
      <xdr:rowOff>0</xdr:rowOff>
    </xdr:to>
    <xdr:pic>
      <xdr:nvPicPr>
        <xdr:cNvPr id="1740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5735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1</xdr:row>
          <xdr:rowOff>171450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990600</xdr:colOff>
          <xdr:row>1</xdr:row>
          <xdr:rowOff>171450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0</xdr:rowOff>
        </xdr:from>
        <xdr:to>
          <xdr:col>1</xdr:col>
          <xdr:colOff>9525</xdr:colOff>
          <xdr:row>1</xdr:row>
          <xdr:rowOff>171450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1</xdr:row>
          <xdr:rowOff>171450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695325</xdr:colOff>
          <xdr:row>1</xdr:row>
          <xdr:rowOff>171450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13313" name="Object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180975</xdr:colOff>
          <xdr:row>0</xdr:row>
          <xdr:rowOff>28575</xdr:rowOff>
        </xdr:from>
        <xdr:to>
          <xdr:col>0</xdr:col>
          <xdr:colOff>1362075</xdr:colOff>
          <xdr:row>2</xdr:row>
          <xdr:rowOff>0</xdr:rowOff>
        </xdr:to>
        <xdr:sp macro="" textlink="">
          <xdr:nvSpPr>
            <xdr:cNvPr id="20481" name="Object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990600</xdr:colOff>
          <xdr:row>1</xdr:row>
          <xdr:rowOff>171450</xdr:rowOff>
        </xdr:to>
        <xdr:sp macro="" textlink="">
          <xdr:nvSpPr>
            <xdr:cNvPr id="14338" name="Object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28575</xdr:colOff>
          <xdr:row>1</xdr:row>
          <xdr:rowOff>171450</xdr:rowOff>
        </xdr:to>
        <xdr:sp macro="" textlink="">
          <xdr:nvSpPr>
            <xdr:cNvPr id="21505" name="Object 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247650</xdr:colOff>
          <xdr:row>1</xdr:row>
          <xdr:rowOff>171450</xdr:rowOff>
        </xdr:to>
        <xdr:sp macro="" textlink="">
          <xdr:nvSpPr>
            <xdr:cNvPr id="22529" name="Object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mments" Target="../comments2.xml"/><Relationship Id="rId5" Type="http://schemas.openxmlformats.org/officeDocument/2006/relationships/image" Target="../media/image1.png"/><Relationship Id="rId4" Type="http://schemas.openxmlformats.org/officeDocument/2006/relationships/oleObject" Target="../embeddings/oleObject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1"/>
  <sheetViews>
    <sheetView topLeftCell="A7" zoomScale="85" zoomScaleNormal="85" workbookViewId="0">
      <selection activeCell="B19" sqref="B19:D19"/>
    </sheetView>
  </sheetViews>
  <sheetFormatPr baseColWidth="10" defaultColWidth="11.5546875" defaultRowHeight="12" x14ac:dyDescent="0.2"/>
  <cols>
    <col min="1" max="1" width="6.33203125" style="43" customWidth="1"/>
    <col min="2" max="2" width="9" style="40" bestFit="1" customWidth="1"/>
    <col min="3" max="3" width="8.21875" style="40" bestFit="1" customWidth="1"/>
    <col min="4" max="4" width="40.6640625" style="41" bestFit="1" customWidth="1"/>
    <col min="5" max="5" width="18" style="40" bestFit="1" customWidth="1"/>
    <col min="6" max="6" width="21.88671875" style="40" bestFit="1" customWidth="1"/>
    <col min="7" max="7" width="13.33203125" style="40" bestFit="1" customWidth="1"/>
    <col min="8" max="8" width="18" style="60" bestFit="1" customWidth="1"/>
    <col min="9" max="9" width="21.21875" style="40" bestFit="1" customWidth="1"/>
    <col min="10" max="10" width="3.5546875" style="40" bestFit="1" customWidth="1"/>
    <col min="11" max="16384" width="11.5546875" style="40"/>
  </cols>
  <sheetData>
    <row r="2" spans="1:10" ht="11.25" x14ac:dyDescent="0.15">
      <c r="A2" s="41" t="s">
        <v>436</v>
      </c>
    </row>
    <row r="3" spans="1:10" ht="11.25" x14ac:dyDescent="0.15">
      <c r="A3" s="40" t="s">
        <v>531</v>
      </c>
    </row>
    <row r="4" spans="1:10" ht="11.25" x14ac:dyDescent="0.15">
      <c r="A4" s="40"/>
    </row>
    <row r="5" spans="1:10" ht="11.25" x14ac:dyDescent="0.15">
      <c r="A5" s="40" t="s">
        <v>610</v>
      </c>
    </row>
    <row r="7" spans="1:10" x14ac:dyDescent="0.2">
      <c r="B7" s="42" t="s">
        <v>446</v>
      </c>
      <c r="C7" s="42"/>
    </row>
    <row r="8" spans="1:10" s="62" customFormat="1" ht="12.75" x14ac:dyDescent="0.25">
      <c r="A8" s="65"/>
      <c r="B8" s="62" t="s">
        <v>437</v>
      </c>
      <c r="C8" s="62" t="s">
        <v>494</v>
      </c>
      <c r="D8" s="62" t="s">
        <v>438</v>
      </c>
      <c r="E8" s="62" t="s">
        <v>439</v>
      </c>
      <c r="F8" s="62" t="s">
        <v>476</v>
      </c>
      <c r="G8" s="62" t="s">
        <v>476</v>
      </c>
      <c r="H8" s="62" t="s">
        <v>507</v>
      </c>
      <c r="I8" s="62" t="s">
        <v>506</v>
      </c>
    </row>
    <row r="9" spans="1:10" ht="12.75" x14ac:dyDescent="0.25">
      <c r="A9" s="43">
        <v>3</v>
      </c>
      <c r="B9" s="43" t="s">
        <v>549</v>
      </c>
      <c r="C9" s="43" t="s">
        <v>495</v>
      </c>
      <c r="D9" s="44" t="s">
        <v>546</v>
      </c>
      <c r="E9" s="43" t="s">
        <v>550</v>
      </c>
      <c r="F9" s="40" t="s">
        <v>1175</v>
      </c>
      <c r="G9" s="40" t="s">
        <v>551</v>
      </c>
      <c r="H9" s="43" t="s">
        <v>552</v>
      </c>
      <c r="I9" s="43" t="s">
        <v>553</v>
      </c>
    </row>
    <row r="10" spans="1:10" ht="12.75" x14ac:dyDescent="0.25">
      <c r="A10" s="43">
        <v>5</v>
      </c>
      <c r="B10" s="43" t="s">
        <v>532</v>
      </c>
      <c r="C10" s="43" t="s">
        <v>493</v>
      </c>
      <c r="D10" s="44" t="s">
        <v>483</v>
      </c>
      <c r="E10" s="43" t="s">
        <v>484</v>
      </c>
      <c r="F10" s="40" t="s">
        <v>1</v>
      </c>
      <c r="G10" s="40" t="s">
        <v>554</v>
      </c>
      <c r="H10" s="43" t="s">
        <v>508</v>
      </c>
      <c r="I10" s="43" t="s">
        <v>518</v>
      </c>
    </row>
    <row r="11" spans="1:10" x14ac:dyDescent="0.2">
      <c r="G11" s="40" t="s">
        <v>1</v>
      </c>
    </row>
    <row r="12" spans="1:10" x14ac:dyDescent="0.2">
      <c r="B12" s="42" t="s">
        <v>445</v>
      </c>
      <c r="C12" s="42"/>
    </row>
    <row r="13" spans="1:10" s="62" customFormat="1" ht="12.75" x14ac:dyDescent="0.25">
      <c r="A13" s="65"/>
      <c r="B13" s="62" t="s">
        <v>437</v>
      </c>
      <c r="C13" s="62" t="s">
        <v>494</v>
      </c>
      <c r="D13" s="62" t="s">
        <v>438</v>
      </c>
      <c r="E13" s="62" t="s">
        <v>439</v>
      </c>
      <c r="F13" s="62" t="s">
        <v>476</v>
      </c>
      <c r="G13" s="62" t="s">
        <v>476</v>
      </c>
      <c r="H13" s="62" t="s">
        <v>507</v>
      </c>
      <c r="I13" s="62" t="s">
        <v>506</v>
      </c>
      <c r="J13" s="62" t="s">
        <v>500</v>
      </c>
    </row>
    <row r="14" spans="1:10" ht="12.75" x14ac:dyDescent="0.25">
      <c r="A14" s="440">
        <v>1</v>
      </c>
      <c r="B14" s="400" t="s">
        <v>440</v>
      </c>
      <c r="C14" s="43" t="s">
        <v>495</v>
      </c>
      <c r="D14" s="441" t="s">
        <v>14</v>
      </c>
      <c r="E14" s="43" t="s">
        <v>1260</v>
      </c>
      <c r="H14" s="60" t="s">
        <v>503</v>
      </c>
      <c r="I14" s="60" t="s">
        <v>515</v>
      </c>
      <c r="J14" s="60" t="s">
        <v>501</v>
      </c>
    </row>
    <row r="15" spans="1:10" ht="12.75" x14ac:dyDescent="0.25">
      <c r="A15" s="440">
        <v>2</v>
      </c>
      <c r="B15" s="400" t="s">
        <v>533</v>
      </c>
      <c r="C15" s="43" t="s">
        <v>493</v>
      </c>
      <c r="D15" s="441" t="s">
        <v>1273</v>
      </c>
      <c r="E15" s="43" t="s">
        <v>1259</v>
      </c>
      <c r="H15" s="60" t="s">
        <v>503</v>
      </c>
      <c r="I15" s="60" t="s">
        <v>515</v>
      </c>
      <c r="J15" s="60" t="s">
        <v>501</v>
      </c>
    </row>
    <row r="16" spans="1:10" ht="12.75" x14ac:dyDescent="0.25">
      <c r="A16" s="440">
        <v>3</v>
      </c>
      <c r="B16" s="400" t="s">
        <v>534</v>
      </c>
      <c r="C16" s="43" t="s">
        <v>495</v>
      </c>
      <c r="D16" s="441" t="s">
        <v>43</v>
      </c>
      <c r="E16" s="43" t="s">
        <v>1258</v>
      </c>
      <c r="H16" s="60" t="s">
        <v>503</v>
      </c>
      <c r="I16" s="60" t="s">
        <v>515</v>
      </c>
      <c r="J16" s="60" t="s">
        <v>501</v>
      </c>
    </row>
    <row r="17" spans="1:10" ht="12.75" x14ac:dyDescent="0.25">
      <c r="A17" s="440">
        <v>4</v>
      </c>
      <c r="B17" s="400" t="s">
        <v>535</v>
      </c>
      <c r="C17" s="43" t="s">
        <v>495</v>
      </c>
      <c r="D17" s="399" t="s">
        <v>44</v>
      </c>
      <c r="E17" s="43" t="s">
        <v>1195</v>
      </c>
      <c r="F17" s="40" t="s">
        <v>1176</v>
      </c>
      <c r="G17" s="40" t="s">
        <v>1</v>
      </c>
      <c r="H17" s="60" t="s">
        <v>503</v>
      </c>
      <c r="I17" s="60" t="s">
        <v>515</v>
      </c>
      <c r="J17" s="60" t="s">
        <v>501</v>
      </c>
    </row>
    <row r="18" spans="1:10" ht="12.75" x14ac:dyDescent="0.25">
      <c r="A18" s="440">
        <v>5</v>
      </c>
      <c r="B18" s="400" t="s">
        <v>536</v>
      </c>
      <c r="C18" s="43" t="s">
        <v>495</v>
      </c>
      <c r="D18" s="399" t="s">
        <v>177</v>
      </c>
      <c r="E18" s="43" t="s">
        <v>1194</v>
      </c>
      <c r="H18" s="60" t="s">
        <v>503</v>
      </c>
      <c r="I18" s="60" t="s">
        <v>515</v>
      </c>
      <c r="J18" s="60" t="s">
        <v>501</v>
      </c>
    </row>
    <row r="19" spans="1:10" ht="12.75" x14ac:dyDescent="0.25">
      <c r="A19" s="440">
        <v>6</v>
      </c>
      <c r="B19" s="400" t="s">
        <v>537</v>
      </c>
      <c r="C19" s="43" t="s">
        <v>495</v>
      </c>
      <c r="D19" s="399" t="s">
        <v>169</v>
      </c>
      <c r="E19" s="43" t="s">
        <v>1193</v>
      </c>
      <c r="F19" s="40" t="s">
        <v>1177</v>
      </c>
      <c r="G19" s="40" t="s">
        <v>1</v>
      </c>
      <c r="H19" s="60" t="s">
        <v>503</v>
      </c>
      <c r="I19" s="60" t="s">
        <v>515</v>
      </c>
      <c r="J19" s="60" t="s">
        <v>501</v>
      </c>
    </row>
    <row r="20" spans="1:10" ht="12.75" x14ac:dyDescent="0.25">
      <c r="A20" s="440">
        <v>7</v>
      </c>
      <c r="B20" s="400" t="s">
        <v>538</v>
      </c>
      <c r="C20" s="43" t="s">
        <v>495</v>
      </c>
      <c r="D20" s="399" t="s">
        <v>441</v>
      </c>
      <c r="E20" s="43" t="s">
        <v>1192</v>
      </c>
      <c r="F20" s="40" t="s">
        <v>1178</v>
      </c>
      <c r="G20" s="40" t="s">
        <v>1</v>
      </c>
      <c r="H20" s="60" t="s">
        <v>503</v>
      </c>
      <c r="I20" s="60" t="s">
        <v>515</v>
      </c>
      <c r="J20" s="60" t="s">
        <v>501</v>
      </c>
    </row>
    <row r="21" spans="1:10" ht="12.75" x14ac:dyDescent="0.25">
      <c r="A21" s="400">
        <v>8</v>
      </c>
      <c r="B21" s="400" t="s">
        <v>539</v>
      </c>
      <c r="C21" s="43" t="s">
        <v>495</v>
      </c>
      <c r="D21" s="443" t="s">
        <v>92</v>
      </c>
      <c r="E21" s="43" t="s">
        <v>1257</v>
      </c>
      <c r="H21" s="60" t="s">
        <v>503</v>
      </c>
      <c r="I21" s="60" t="s">
        <v>515</v>
      </c>
      <c r="J21" s="60" t="s">
        <v>501</v>
      </c>
    </row>
    <row r="22" spans="1:10" ht="12.75" x14ac:dyDescent="0.25">
      <c r="A22" s="400">
        <v>9</v>
      </c>
      <c r="B22" s="400" t="s">
        <v>540</v>
      </c>
      <c r="C22" s="43" t="s">
        <v>495</v>
      </c>
      <c r="D22" s="443" t="s">
        <v>60</v>
      </c>
      <c r="E22" s="43" t="s">
        <v>1256</v>
      </c>
      <c r="H22" s="60" t="s">
        <v>503</v>
      </c>
      <c r="I22" s="60" t="s">
        <v>515</v>
      </c>
      <c r="J22" s="60" t="s">
        <v>501</v>
      </c>
    </row>
    <row r="23" spans="1:10" ht="12.75" x14ac:dyDescent="0.25">
      <c r="A23" s="400">
        <v>10</v>
      </c>
      <c r="B23" s="400" t="s">
        <v>541</v>
      </c>
      <c r="C23" s="43" t="s">
        <v>495</v>
      </c>
      <c r="D23" s="444" t="s">
        <v>58</v>
      </c>
      <c r="E23" s="43" t="s">
        <v>1255</v>
      </c>
      <c r="H23" s="60" t="s">
        <v>503</v>
      </c>
      <c r="I23" s="60" t="s">
        <v>515</v>
      </c>
      <c r="J23" s="60" t="s">
        <v>501</v>
      </c>
    </row>
    <row r="24" spans="1:10" ht="12.75" x14ac:dyDescent="0.25">
      <c r="A24" s="400">
        <v>11</v>
      </c>
      <c r="B24" s="400" t="s">
        <v>542</v>
      </c>
      <c r="C24" s="43" t="s">
        <v>493</v>
      </c>
      <c r="D24" s="443" t="s">
        <v>481</v>
      </c>
      <c r="E24" s="43" t="s">
        <v>1254</v>
      </c>
      <c r="H24" s="60" t="s">
        <v>503</v>
      </c>
      <c r="I24" s="60" t="s">
        <v>515</v>
      </c>
      <c r="J24" s="60" t="s">
        <v>501</v>
      </c>
    </row>
    <row r="25" spans="1:10" ht="12.75" x14ac:dyDescent="0.25">
      <c r="A25" s="440">
        <v>12</v>
      </c>
      <c r="B25" s="400" t="s">
        <v>543</v>
      </c>
      <c r="C25" s="43" t="s">
        <v>495</v>
      </c>
      <c r="D25" s="399" t="s">
        <v>444</v>
      </c>
      <c r="E25" s="43" t="s">
        <v>1196</v>
      </c>
      <c r="H25" s="60" t="s">
        <v>503</v>
      </c>
      <c r="I25" s="60" t="s">
        <v>515</v>
      </c>
      <c r="J25" s="60" t="s">
        <v>501</v>
      </c>
    </row>
    <row r="26" spans="1:10" ht="12.75" x14ac:dyDescent="0.25">
      <c r="A26" s="400">
        <v>13</v>
      </c>
      <c r="B26" s="400" t="s">
        <v>544</v>
      </c>
      <c r="C26" s="43" t="s">
        <v>495</v>
      </c>
      <c r="D26" s="444" t="s">
        <v>443</v>
      </c>
      <c r="E26" s="43" t="s">
        <v>1253</v>
      </c>
      <c r="H26" s="60" t="s">
        <v>503</v>
      </c>
      <c r="I26" s="60" t="s">
        <v>515</v>
      </c>
      <c r="J26" s="60" t="s">
        <v>501</v>
      </c>
    </row>
    <row r="27" spans="1:10" ht="12.75" x14ac:dyDescent="0.25">
      <c r="A27" s="440">
        <v>14</v>
      </c>
      <c r="B27" s="400" t="s">
        <v>555</v>
      </c>
      <c r="C27" s="43" t="s">
        <v>495</v>
      </c>
      <c r="D27" s="399" t="s">
        <v>556</v>
      </c>
      <c r="E27" s="416" t="s">
        <v>1242</v>
      </c>
      <c r="F27" s="40" t="s">
        <v>1179</v>
      </c>
      <c r="G27" s="40" t="s">
        <v>1</v>
      </c>
      <c r="H27" s="60" t="s">
        <v>503</v>
      </c>
      <c r="I27" s="60" t="s">
        <v>515</v>
      </c>
      <c r="J27" s="60" t="s">
        <v>501</v>
      </c>
    </row>
    <row r="28" spans="1:10" ht="12.75" x14ac:dyDescent="0.25">
      <c r="A28" s="43">
        <v>15</v>
      </c>
      <c r="B28" s="43" t="s">
        <v>545</v>
      </c>
      <c r="C28" s="43" t="s">
        <v>495</v>
      </c>
      <c r="D28" s="442" t="s">
        <v>442</v>
      </c>
      <c r="E28" s="43" t="s">
        <v>492</v>
      </c>
      <c r="H28" s="60" t="s">
        <v>504</v>
      </c>
      <c r="I28" s="60" t="s">
        <v>516</v>
      </c>
      <c r="J28" s="60" t="s">
        <v>502</v>
      </c>
    </row>
    <row r="29" spans="1:10" ht="12.75" x14ac:dyDescent="0.25">
      <c r="A29" s="43">
        <v>16</v>
      </c>
      <c r="B29" s="43"/>
      <c r="C29" s="43"/>
      <c r="D29" s="44" t="s">
        <v>505</v>
      </c>
      <c r="E29" s="43" t="s">
        <v>547</v>
      </c>
      <c r="H29" s="60" t="s">
        <v>548</v>
      </c>
      <c r="I29" s="60" t="s">
        <v>517</v>
      </c>
      <c r="J29" s="60" t="s">
        <v>502</v>
      </c>
    </row>
    <row r="30" spans="1:10" ht="12.75" x14ac:dyDescent="0.25">
      <c r="A30" s="43">
        <v>17</v>
      </c>
      <c r="B30" s="43"/>
      <c r="C30" s="43"/>
      <c r="D30" s="44"/>
      <c r="E30" s="43" t="s">
        <v>519</v>
      </c>
      <c r="H30" s="60" t="s">
        <v>523</v>
      </c>
      <c r="I30" s="60" t="s">
        <v>524</v>
      </c>
      <c r="J30" s="60" t="s">
        <v>502</v>
      </c>
    </row>
    <row r="31" spans="1:10" ht="12.75" x14ac:dyDescent="0.25">
      <c r="A31" s="43">
        <v>18</v>
      </c>
      <c r="B31" s="43"/>
      <c r="C31" s="43"/>
      <c r="D31" s="44"/>
      <c r="E31" s="43" t="s">
        <v>520</v>
      </c>
      <c r="H31" s="60" t="s">
        <v>523</v>
      </c>
      <c r="I31" s="60" t="s">
        <v>524</v>
      </c>
      <c r="J31" s="60" t="s">
        <v>502</v>
      </c>
    </row>
    <row r="32" spans="1:10" ht="12.75" x14ac:dyDescent="0.25">
      <c r="A32" s="43">
        <v>19</v>
      </c>
      <c r="B32" s="43"/>
      <c r="C32" s="43"/>
      <c r="D32" s="44"/>
      <c r="E32" s="43" t="s">
        <v>521</v>
      </c>
      <c r="H32" s="60" t="s">
        <v>523</v>
      </c>
      <c r="I32" s="60" t="s">
        <v>524</v>
      </c>
      <c r="J32" s="60" t="s">
        <v>502</v>
      </c>
    </row>
    <row r="33" spans="1:10" ht="12.75" x14ac:dyDescent="0.25">
      <c r="A33" s="43">
        <v>20</v>
      </c>
      <c r="B33" s="43"/>
      <c r="C33" s="43"/>
      <c r="D33" s="44"/>
      <c r="E33" s="43" t="s">
        <v>522</v>
      </c>
      <c r="H33" s="60" t="s">
        <v>523</v>
      </c>
      <c r="I33" s="60" t="s">
        <v>524</v>
      </c>
      <c r="J33" s="60" t="s">
        <v>502</v>
      </c>
    </row>
    <row r="34" spans="1:10" ht="12.75" x14ac:dyDescent="0.25">
      <c r="B34" s="43"/>
      <c r="C34" s="43"/>
      <c r="D34" s="44"/>
      <c r="E34" s="43"/>
    </row>
    <row r="35" spans="1:10" ht="12.75" x14ac:dyDescent="0.25">
      <c r="A35" s="64" t="s">
        <v>485</v>
      </c>
      <c r="B35" s="43"/>
      <c r="C35" s="43"/>
      <c r="D35" s="44"/>
      <c r="E35" s="43"/>
    </row>
    <row r="36" spans="1:10" ht="12.75" x14ac:dyDescent="0.25">
      <c r="A36" s="44" t="s">
        <v>486</v>
      </c>
      <c r="B36" s="43"/>
      <c r="C36" s="43"/>
      <c r="E36" s="43"/>
    </row>
    <row r="37" spans="1:10" ht="12.75" x14ac:dyDescent="0.25">
      <c r="A37" s="43" t="s">
        <v>489</v>
      </c>
      <c r="B37" s="43"/>
      <c r="C37" s="43"/>
      <c r="D37" s="44"/>
      <c r="E37" s="43"/>
    </row>
    <row r="38" spans="1:10" ht="12.75" x14ac:dyDescent="0.25">
      <c r="A38" s="43" t="s">
        <v>488</v>
      </c>
      <c r="B38" s="43"/>
      <c r="C38" s="43"/>
      <c r="D38" s="44"/>
      <c r="E38" s="43"/>
    </row>
    <row r="39" spans="1:10" ht="12.75" x14ac:dyDescent="0.25">
      <c r="A39" s="43" t="s">
        <v>487</v>
      </c>
      <c r="B39" s="43"/>
      <c r="C39" s="43"/>
      <c r="D39" s="44"/>
      <c r="E39" s="43"/>
    </row>
    <row r="40" spans="1:10" ht="12.75" x14ac:dyDescent="0.25">
      <c r="A40" s="43" t="s">
        <v>490</v>
      </c>
      <c r="B40" s="43"/>
      <c r="C40" s="43"/>
      <c r="D40" s="44"/>
      <c r="E40" s="43"/>
    </row>
    <row r="41" spans="1:10" ht="12.75" customHeight="1" x14ac:dyDescent="0.25">
      <c r="B41" s="43"/>
      <c r="C41" s="43"/>
      <c r="D41" s="44"/>
      <c r="E41" s="43"/>
    </row>
  </sheetData>
  <pageMargins left="0.75" right="0.75" top="1" bottom="1" header="0" footer="0"/>
  <pageSetup paperSize="256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"/>
  <sheetViews>
    <sheetView zoomScale="80" zoomScaleNormal="80" zoomScaleSheetLayoutView="50" workbookViewId="0">
      <selection activeCell="G16" sqref="G16"/>
    </sheetView>
  </sheetViews>
  <sheetFormatPr baseColWidth="10" defaultColWidth="7.44140625" defaultRowHeight="15" x14ac:dyDescent="0.2"/>
  <cols>
    <col min="1" max="1" width="8.21875" style="1" customWidth="1"/>
    <col min="2" max="2" width="10.77734375" style="1" customWidth="1"/>
    <col min="3" max="3" width="8.109375" style="1" customWidth="1"/>
    <col min="4" max="4" width="11.44140625" style="4" bestFit="1" customWidth="1"/>
    <col min="5" max="5" width="11.21875" style="1" bestFit="1" customWidth="1"/>
    <col min="6" max="6" width="4.21875" style="1" customWidth="1"/>
    <col min="7" max="7" width="41.21875" style="1" customWidth="1"/>
    <col min="8" max="8" width="30.88671875" style="398" customWidth="1"/>
    <col min="9" max="9" width="10.109375" style="1" hidden="1" customWidth="1"/>
    <col min="10" max="10" width="2.77734375" style="1" customWidth="1"/>
    <col min="11" max="16384" width="7.44140625" style="1"/>
  </cols>
  <sheetData>
    <row r="4" spans="1:8" x14ac:dyDescent="0.2">
      <c r="A4" s="10" t="s">
        <v>14</v>
      </c>
      <c r="B4" s="10"/>
      <c r="C4" s="10"/>
      <c r="D4" s="11"/>
      <c r="E4" s="10"/>
      <c r="F4" s="10"/>
      <c r="G4" s="10"/>
    </row>
    <row r="5" spans="1:8" x14ac:dyDescent="0.2">
      <c r="A5" s="10" t="s">
        <v>11</v>
      </c>
      <c r="B5" s="10"/>
      <c r="C5" s="10">
        <v>49</v>
      </c>
      <c r="D5" s="11"/>
      <c r="E5" s="10"/>
      <c r="F5" s="10"/>
      <c r="G5" s="10"/>
    </row>
    <row r="6" spans="1:8" x14ac:dyDescent="0.2">
      <c r="A6" s="10" t="s">
        <v>19</v>
      </c>
      <c r="B6" s="10"/>
      <c r="C6" s="10" t="s">
        <v>20</v>
      </c>
      <c r="D6" s="11"/>
      <c r="E6" s="10"/>
      <c r="F6" s="10"/>
      <c r="G6" s="10"/>
    </row>
    <row r="7" spans="1:8" x14ac:dyDescent="0.2">
      <c r="A7" s="10" t="s">
        <v>13</v>
      </c>
      <c r="B7" s="10"/>
      <c r="C7" s="10" t="s">
        <v>309</v>
      </c>
      <c r="D7" s="11"/>
      <c r="E7" s="10"/>
      <c r="F7" s="10"/>
      <c r="G7" s="10"/>
    </row>
    <row r="8" spans="1:8" x14ac:dyDescent="0.2">
      <c r="A8" s="12" t="s">
        <v>274</v>
      </c>
      <c r="B8" s="10"/>
      <c r="C8" s="10" t="s">
        <v>18</v>
      </c>
      <c r="D8" s="11"/>
      <c r="E8" s="10"/>
      <c r="F8" s="10"/>
      <c r="G8" s="10"/>
    </row>
    <row r="9" spans="1:8" x14ac:dyDescent="0.2">
      <c r="A9" s="12" t="s">
        <v>0</v>
      </c>
      <c r="B9" s="10"/>
      <c r="C9" s="10"/>
      <c r="D9" s="11"/>
      <c r="E9" s="10"/>
      <c r="F9" s="10"/>
      <c r="G9" s="10"/>
    </row>
    <row r="10" spans="1:8" x14ac:dyDescent="0.2">
      <c r="A10" s="10"/>
      <c r="B10" s="10"/>
      <c r="C10" s="10"/>
      <c r="D10" s="11"/>
      <c r="E10" s="10"/>
      <c r="F10" s="10"/>
      <c r="G10" s="10"/>
    </row>
    <row r="11" spans="1:8" x14ac:dyDescent="0.2">
      <c r="A11" s="13" t="s">
        <v>10</v>
      </c>
      <c r="B11" s="14"/>
      <c r="C11" s="12" t="s">
        <v>3</v>
      </c>
      <c r="D11" s="11">
        <v>49</v>
      </c>
      <c r="E11" s="12" t="s">
        <v>4</v>
      </c>
      <c r="F11" s="10"/>
      <c r="G11" s="10"/>
    </row>
    <row r="12" spans="1:8" x14ac:dyDescent="0.2">
      <c r="A12" s="19"/>
      <c r="B12" s="10"/>
      <c r="C12" s="10"/>
      <c r="D12" s="11"/>
      <c r="E12" s="10"/>
      <c r="F12" s="10"/>
      <c r="G12" s="10"/>
    </row>
    <row r="13" spans="1:8" x14ac:dyDescent="0.2">
      <c r="A13" s="15" t="s">
        <v>5</v>
      </c>
      <c r="B13" s="16" t="s">
        <v>12</v>
      </c>
      <c r="C13" s="16" t="s">
        <v>6</v>
      </c>
      <c r="D13" s="17" t="s">
        <v>217</v>
      </c>
      <c r="E13" s="16" t="s">
        <v>7</v>
      </c>
      <c r="F13" s="15"/>
      <c r="G13" s="18" t="s">
        <v>8</v>
      </c>
    </row>
    <row r="14" spans="1:8" x14ac:dyDescent="0.2">
      <c r="A14" s="19"/>
      <c r="B14" s="19" t="s">
        <v>1</v>
      </c>
      <c r="C14" s="19"/>
      <c r="D14" s="20"/>
      <c r="E14" s="19"/>
      <c r="F14" s="19"/>
      <c r="G14" s="19"/>
      <c r="H14" s="398" t="str">
        <f>CONCATENATE("01 AMAXCS-REG.")</f>
        <v>01 AMAXCS-REG.</v>
      </c>
    </row>
    <row r="15" spans="1:8" x14ac:dyDescent="0.2">
      <c r="A15" s="36">
        <v>1</v>
      </c>
      <c r="B15" s="36">
        <v>1</v>
      </c>
      <c r="C15" s="36">
        <v>3</v>
      </c>
      <c r="D15" s="36">
        <f>C15</f>
        <v>3</v>
      </c>
      <c r="E15" s="12" t="s">
        <v>330</v>
      </c>
      <c r="F15" s="10"/>
      <c r="G15" s="12" t="s">
        <v>513</v>
      </c>
      <c r="H15" s="398" t="str">
        <f>CONCATENATE("   02 AMAXCS-CODORG              PIC X(0",C15,").")</f>
        <v xml:space="preserve">   02 AMAXCS-CODORG              PIC X(03).</v>
      </c>
    </row>
    <row r="16" spans="1:8" x14ac:dyDescent="0.2">
      <c r="A16" s="371">
        <v>2</v>
      </c>
      <c r="B16" s="371">
        <f>D15+1</f>
        <v>4</v>
      </c>
      <c r="C16" s="372">
        <v>19</v>
      </c>
      <c r="D16" s="371">
        <f>D15+C16</f>
        <v>22</v>
      </c>
      <c r="E16" s="309" t="s">
        <v>330</v>
      </c>
      <c r="F16" s="369"/>
      <c r="G16" s="309" t="s">
        <v>220</v>
      </c>
      <c r="H16" s="398" t="str">
        <f>CONCATENATE("   02 AMAXCS-NUMCTA              PIC X(",C16,").")</f>
        <v xml:space="preserve">   02 AMAXCS-NUMCTA              PIC X(19).</v>
      </c>
    </row>
    <row r="17" spans="1:8" x14ac:dyDescent="0.2">
      <c r="A17" s="36">
        <v>3</v>
      </c>
      <c r="B17" s="36">
        <f>D16+1</f>
        <v>23</v>
      </c>
      <c r="C17" s="63">
        <v>3</v>
      </c>
      <c r="D17" s="36">
        <f>D16+C17</f>
        <v>25</v>
      </c>
      <c r="E17" s="12" t="s">
        <v>329</v>
      </c>
      <c r="F17" s="10"/>
      <c r="G17" s="12" t="s">
        <v>219</v>
      </c>
      <c r="H17" s="398" t="str">
        <f>CONCATENATE("   02 AMAXCS-CODORGEMI           PIC 9(0",C17,").")</f>
        <v xml:space="preserve">   02 AMAXCS-CODORGEMI           PIC 9(03).</v>
      </c>
    </row>
    <row r="18" spans="1:8" x14ac:dyDescent="0.2">
      <c r="A18" s="371">
        <v>3</v>
      </c>
      <c r="B18" s="371">
        <f>D17+1</f>
        <v>26</v>
      </c>
      <c r="C18" s="372">
        <v>19</v>
      </c>
      <c r="D18" s="371">
        <f>D17+C18</f>
        <v>44</v>
      </c>
      <c r="E18" s="309" t="s">
        <v>330</v>
      </c>
      <c r="F18" s="369"/>
      <c r="G18" s="309" t="s">
        <v>221</v>
      </c>
      <c r="H18" s="398" t="str">
        <f>CONCATENATE("   02 AMAXCS-NUMTAR              PIC X(",C18,").")</f>
        <v xml:space="preserve">   02 AMAXCS-NUMTAR              PIC X(19).</v>
      </c>
    </row>
    <row r="19" spans="1:8" x14ac:dyDescent="0.2">
      <c r="A19" s="36">
        <v>4</v>
      </c>
      <c r="B19" s="36">
        <f>D18+1</f>
        <v>45</v>
      </c>
      <c r="C19" s="63">
        <v>4</v>
      </c>
      <c r="D19" s="36">
        <f>D18+C19</f>
        <v>48</v>
      </c>
      <c r="E19" s="12" t="s">
        <v>329</v>
      </c>
      <c r="F19" s="10"/>
      <c r="G19" s="12" t="s">
        <v>15</v>
      </c>
      <c r="H19" s="398" t="str">
        <f>CONCATENATE("   02 AMAXCS-SECTAR              PIC 9(0",C19,").")</f>
        <v xml:space="preserve">   02 AMAXCS-SECTAR              PIC 9(04).</v>
      </c>
    </row>
    <row r="20" spans="1:8" x14ac:dyDescent="0.2">
      <c r="A20" s="36">
        <v>5</v>
      </c>
      <c r="B20" s="36">
        <f>D19+1</f>
        <v>49</v>
      </c>
      <c r="C20" s="63">
        <v>1</v>
      </c>
      <c r="D20" s="36">
        <f>D19+C20</f>
        <v>49</v>
      </c>
      <c r="E20" s="12" t="s">
        <v>330</v>
      </c>
      <c r="F20" s="10"/>
      <c r="G20" s="12" t="s">
        <v>16</v>
      </c>
      <c r="H20" s="398" t="str">
        <f>CONCATENATE("   02 AMAXCS-STATUS             PIC X(0",C20,").")</f>
        <v xml:space="preserve">   02 AMAXCS-STATUS             PIC X(01).</v>
      </c>
    </row>
    <row r="21" spans="1:8" x14ac:dyDescent="0.2">
      <c r="C21" s="3"/>
      <c r="E21" s="2"/>
      <c r="G21" s="2"/>
    </row>
    <row r="22" spans="1:8" x14ac:dyDescent="0.2">
      <c r="C22" s="3"/>
      <c r="E22" s="2"/>
      <c r="G22" s="2"/>
    </row>
  </sheetData>
  <phoneticPr fontId="5" type="noConversion"/>
  <pageMargins left="0" right="0" top="0.9055118110236221" bottom="0.19685039370078741" header="0.59055118110236227" footer="0"/>
  <pageSetup paperSize="256" orientation="landscape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H23"/>
  <sheetViews>
    <sheetView topLeftCell="A3" workbookViewId="0">
      <selection activeCell="E16" sqref="E16"/>
    </sheetView>
  </sheetViews>
  <sheetFormatPr baseColWidth="10" defaultRowHeight="15" x14ac:dyDescent="0.2"/>
  <cols>
    <col min="1" max="1" width="6.5546875" customWidth="1"/>
    <col min="2" max="2" width="6.109375" customWidth="1"/>
    <col min="3" max="3" width="8.44140625" customWidth="1"/>
    <col min="4" max="4" width="9.33203125" style="6" customWidth="1"/>
    <col min="6" max="6" width="10.33203125" style="6" customWidth="1"/>
    <col min="7" max="7" width="17.33203125" style="6" customWidth="1"/>
    <col min="8" max="8" width="31.6640625" customWidth="1"/>
  </cols>
  <sheetData>
    <row r="3" spans="1:8" x14ac:dyDescent="0.2">
      <c r="A3" s="10" t="s">
        <v>331</v>
      </c>
      <c r="B3" s="10"/>
      <c r="C3" s="10"/>
      <c r="D3" s="22"/>
      <c r="E3" s="10"/>
      <c r="F3" s="23"/>
      <c r="G3" s="23"/>
      <c r="H3" s="7"/>
    </row>
    <row r="4" spans="1:8" x14ac:dyDescent="0.2">
      <c r="A4" s="10" t="s">
        <v>11</v>
      </c>
      <c r="B4" s="10"/>
      <c r="C4" s="10">
        <v>154</v>
      </c>
      <c r="D4" s="22"/>
      <c r="E4" s="10"/>
      <c r="F4" s="23"/>
      <c r="G4" s="23"/>
      <c r="H4" s="7"/>
    </row>
    <row r="5" spans="1:8" x14ac:dyDescent="0.2">
      <c r="A5" s="10" t="s">
        <v>19</v>
      </c>
      <c r="B5" s="10"/>
      <c r="C5" s="10" t="s">
        <v>21</v>
      </c>
      <c r="D5" s="22"/>
      <c r="E5" s="10" t="s">
        <v>22</v>
      </c>
      <c r="F5" s="23"/>
      <c r="G5" s="23"/>
      <c r="H5" s="7"/>
    </row>
    <row r="6" spans="1:8" x14ac:dyDescent="0.2">
      <c r="A6" s="10" t="s">
        <v>13</v>
      </c>
      <c r="B6" s="10"/>
      <c r="C6" s="10" t="s">
        <v>309</v>
      </c>
      <c r="D6" s="22"/>
      <c r="E6" s="10"/>
      <c r="F6" s="23"/>
      <c r="G6" s="23"/>
      <c r="H6" s="7"/>
    </row>
    <row r="7" spans="1:8" x14ac:dyDescent="0.2">
      <c r="A7" s="12" t="s">
        <v>274</v>
      </c>
      <c r="B7" s="10"/>
      <c r="C7" s="10" t="s">
        <v>325</v>
      </c>
      <c r="D7" s="22"/>
      <c r="E7" s="10"/>
      <c r="F7" s="23"/>
      <c r="G7" s="23"/>
      <c r="H7" s="7"/>
    </row>
    <row r="8" spans="1:8" x14ac:dyDescent="0.2">
      <c r="A8" s="12" t="s">
        <v>0</v>
      </c>
      <c r="B8" s="10"/>
      <c r="C8" s="10"/>
      <c r="D8" s="22"/>
      <c r="E8" s="10"/>
      <c r="F8" s="23"/>
      <c r="G8" s="23"/>
      <c r="H8" s="7"/>
    </row>
    <row r="9" spans="1:8" x14ac:dyDescent="0.2">
      <c r="A9" s="10"/>
      <c r="B9" s="10"/>
      <c r="C9" s="10"/>
      <c r="D9" s="22"/>
      <c r="E9" s="10"/>
      <c r="F9" s="23"/>
      <c r="G9" s="23"/>
      <c r="H9" s="7"/>
    </row>
    <row r="10" spans="1:8" x14ac:dyDescent="0.2">
      <c r="A10" s="13" t="s">
        <v>10</v>
      </c>
      <c r="B10" s="14"/>
      <c r="C10" s="12" t="s">
        <v>3</v>
      </c>
      <c r="D10" s="22">
        <v>154</v>
      </c>
      <c r="E10" s="12" t="s">
        <v>4</v>
      </c>
      <c r="F10" s="23"/>
      <c r="G10" s="23"/>
      <c r="H10" s="7"/>
    </row>
    <row r="11" spans="1:8" x14ac:dyDescent="0.2">
      <c r="A11" s="19"/>
      <c r="B11" s="10"/>
      <c r="C11" s="10"/>
      <c r="D11" s="22"/>
      <c r="E11" s="10"/>
      <c r="F11" s="23"/>
      <c r="G11" s="23"/>
      <c r="H11" s="7"/>
    </row>
    <row r="12" spans="1:8" x14ac:dyDescent="0.2">
      <c r="A12" s="15" t="s">
        <v>5</v>
      </c>
      <c r="B12" s="16" t="s">
        <v>12</v>
      </c>
      <c r="C12" s="16" t="s">
        <v>6</v>
      </c>
      <c r="D12" s="25" t="s">
        <v>217</v>
      </c>
      <c r="E12" s="16" t="s">
        <v>7</v>
      </c>
      <c r="F12" s="30" t="s">
        <v>29</v>
      </c>
      <c r="G12" s="26" t="s">
        <v>8</v>
      </c>
      <c r="H12" s="398" t="str">
        <f>CONCATENATE("01 BNFS1005-REG.")</f>
        <v>01 BNFS1005-REG.</v>
      </c>
    </row>
    <row r="13" spans="1:8" x14ac:dyDescent="0.2">
      <c r="A13" s="10">
        <v>1</v>
      </c>
      <c r="B13" s="10">
        <v>1</v>
      </c>
      <c r="C13" s="10">
        <v>3</v>
      </c>
      <c r="D13" s="22">
        <f>C13</f>
        <v>3</v>
      </c>
      <c r="E13" s="12" t="s">
        <v>329</v>
      </c>
      <c r="F13" s="23"/>
      <c r="G13" s="27" t="s">
        <v>513</v>
      </c>
      <c r="H13" s="398" t="str">
        <f>CONCATENATE("   02 BNFS1005-CODORG            PIC X(0",C13,").")</f>
        <v xml:space="preserve">   02 BNFS1005-CODORG            PIC X(03).</v>
      </c>
    </row>
    <row r="14" spans="1:8" x14ac:dyDescent="0.2">
      <c r="A14" s="369">
        <f>A13+1</f>
        <v>2</v>
      </c>
      <c r="B14" s="369">
        <f>D13+1</f>
        <v>4</v>
      </c>
      <c r="C14" s="370">
        <v>19</v>
      </c>
      <c r="D14" s="308">
        <f>D13+C14</f>
        <v>22</v>
      </c>
      <c r="E14" s="309" t="s">
        <v>330</v>
      </c>
      <c r="F14" s="306"/>
      <c r="G14" s="311" t="s">
        <v>220</v>
      </c>
      <c r="H14" s="398" t="str">
        <f>CONCATENATE("   02 BNFS1005-NUMCTA            PIC X(",C14,").")</f>
        <v xml:space="preserve">   02 BNFS1005-NUMCTA            PIC X(19).</v>
      </c>
    </row>
    <row r="15" spans="1:8" ht="25.5" x14ac:dyDescent="0.2">
      <c r="A15" s="10">
        <f t="shared" ref="A15:A23" si="0">A14+1</f>
        <v>3</v>
      </c>
      <c r="B15" s="10">
        <f t="shared" ref="B15:B23" si="1">D14+1</f>
        <v>23</v>
      </c>
      <c r="C15" s="21">
        <v>17</v>
      </c>
      <c r="D15" s="22">
        <f t="shared" ref="D15:D23" si="2">D14+C15</f>
        <v>39</v>
      </c>
      <c r="E15" s="12" t="s">
        <v>329</v>
      </c>
      <c r="F15" s="23" t="s">
        <v>499</v>
      </c>
      <c r="G15" s="27" t="s">
        <v>222</v>
      </c>
      <c r="H15" s="398" t="str">
        <f>CONCATENATE("   02 BNFS1005-LINCREANT         PIC X(",C15,").")</f>
        <v xml:space="preserve">   02 BNFS1005-LINCREANT         PIC X(17).</v>
      </c>
    </row>
    <row r="16" spans="1:8" ht="25.5" x14ac:dyDescent="0.2">
      <c r="A16" s="10">
        <f t="shared" si="0"/>
        <v>4</v>
      </c>
      <c r="B16" s="10">
        <f t="shared" si="1"/>
        <v>40</v>
      </c>
      <c r="C16" s="21">
        <v>17</v>
      </c>
      <c r="D16" s="22">
        <f t="shared" si="2"/>
        <v>56</v>
      </c>
      <c r="E16" s="12" t="s">
        <v>329</v>
      </c>
      <c r="F16" s="23" t="s">
        <v>499</v>
      </c>
      <c r="G16" s="27" t="s">
        <v>223</v>
      </c>
      <c r="H16" s="398" t="str">
        <f>CONCATENATE("   02 BNFS1005-LINCREPOS         PIC X(",C16,").")</f>
        <v xml:space="preserve">   02 BNFS1005-LINCREPOS         PIC X(17).</v>
      </c>
    </row>
    <row r="17" spans="1:8" x14ac:dyDescent="0.2">
      <c r="A17" s="10">
        <f t="shared" si="0"/>
        <v>5</v>
      </c>
      <c r="B17" s="10">
        <f t="shared" si="1"/>
        <v>57</v>
      </c>
      <c r="C17" s="21">
        <v>10</v>
      </c>
      <c r="D17" s="22">
        <f t="shared" si="2"/>
        <v>66</v>
      </c>
      <c r="E17" s="12" t="s">
        <v>330</v>
      </c>
      <c r="F17" s="23"/>
      <c r="G17" s="27" t="s">
        <v>23</v>
      </c>
      <c r="H17" s="398" t="str">
        <f>CONCATENATE("   02 BNFS1005-USER-CHANGE      PIC X(",C17,").")</f>
        <v xml:space="preserve">   02 BNFS1005-USER-CHANGE      PIC X(10).</v>
      </c>
    </row>
    <row r="18" spans="1:8" x14ac:dyDescent="0.2">
      <c r="A18" s="10">
        <f t="shared" si="0"/>
        <v>6</v>
      </c>
      <c r="B18" s="10">
        <f t="shared" si="1"/>
        <v>67</v>
      </c>
      <c r="C18" s="21">
        <v>8</v>
      </c>
      <c r="D18" s="22">
        <f t="shared" si="2"/>
        <v>74</v>
      </c>
      <c r="E18" s="12" t="s">
        <v>329</v>
      </c>
      <c r="F18" s="23"/>
      <c r="G18" s="27" t="s">
        <v>24</v>
      </c>
      <c r="H18" s="398" t="str">
        <f>CONCATENATE("   02 BNFS1005-FEC-CHANGE      PIC X(0",C18,").")</f>
        <v xml:space="preserve">   02 BNFS1005-FEC-CHANGE      PIC X(08).</v>
      </c>
    </row>
    <row r="19" spans="1:8" x14ac:dyDescent="0.2">
      <c r="A19" s="10">
        <f t="shared" si="0"/>
        <v>7</v>
      </c>
      <c r="B19" s="10">
        <f t="shared" si="1"/>
        <v>75</v>
      </c>
      <c r="C19" s="11">
        <v>40</v>
      </c>
      <c r="D19" s="22">
        <f t="shared" si="2"/>
        <v>114</v>
      </c>
      <c r="E19" s="12" t="s">
        <v>330</v>
      </c>
      <c r="F19" s="31"/>
      <c r="G19" s="27" t="s">
        <v>224</v>
      </c>
      <c r="H19" s="398" t="str">
        <f>CONCATENATE("   02 BNFS1005-OBSERV            PIC X(",C19,").")</f>
        <v xml:space="preserve">   02 BNFS1005-OBSERV            PIC X(40).</v>
      </c>
    </row>
    <row r="20" spans="1:8" x14ac:dyDescent="0.2">
      <c r="A20" s="10">
        <f t="shared" si="0"/>
        <v>8</v>
      </c>
      <c r="B20" s="10">
        <f t="shared" si="1"/>
        <v>115</v>
      </c>
      <c r="C20" s="11">
        <v>8</v>
      </c>
      <c r="D20" s="22">
        <f t="shared" si="2"/>
        <v>122</v>
      </c>
      <c r="E20" s="12" t="s">
        <v>329</v>
      </c>
      <c r="F20" s="31"/>
      <c r="G20" s="27" t="s">
        <v>25</v>
      </c>
      <c r="H20" s="398" t="str">
        <f>CONCATENATE("   02 BNFS1005-FECPRO            PIC X(0",C20,").")</f>
        <v xml:space="preserve">   02 BNFS1005-FECPRO            PIC X(08).</v>
      </c>
    </row>
    <row r="21" spans="1:8" x14ac:dyDescent="0.2">
      <c r="A21" s="10">
        <f t="shared" si="0"/>
        <v>9</v>
      </c>
      <c r="B21" s="10">
        <f t="shared" si="1"/>
        <v>123</v>
      </c>
      <c r="C21" s="11">
        <v>6</v>
      </c>
      <c r="D21" s="22">
        <f t="shared" si="2"/>
        <v>128</v>
      </c>
      <c r="E21" s="12" t="s">
        <v>329</v>
      </c>
      <c r="F21" s="31"/>
      <c r="G21" s="27" t="s">
        <v>26</v>
      </c>
      <c r="H21" s="398" t="str">
        <f>CONCATENATE("   02 BNFS1005-HORPRO            PIC X(0",C21,").")</f>
        <v xml:space="preserve">   02 BNFS1005-HORPRO            PIC X(06).</v>
      </c>
    </row>
    <row r="22" spans="1:8" x14ac:dyDescent="0.2">
      <c r="A22" s="10">
        <f t="shared" si="0"/>
        <v>10</v>
      </c>
      <c r="B22" s="10">
        <f t="shared" si="1"/>
        <v>129</v>
      </c>
      <c r="C22" s="11">
        <v>25</v>
      </c>
      <c r="D22" s="22">
        <f t="shared" si="2"/>
        <v>153</v>
      </c>
      <c r="E22" s="12" t="s">
        <v>330</v>
      </c>
      <c r="F22" s="31"/>
      <c r="G22" s="27" t="s">
        <v>27</v>
      </c>
      <c r="H22" s="398" t="str">
        <f>CONCATENATE("   02 BNFS1005-NOMCLI            PIC X(",C22,").")</f>
        <v xml:space="preserve">   02 BNFS1005-NOMCLI            PIC X(25).</v>
      </c>
    </row>
    <row r="23" spans="1:8" x14ac:dyDescent="0.2">
      <c r="A23" s="10">
        <f t="shared" si="0"/>
        <v>11</v>
      </c>
      <c r="B23" s="10">
        <f t="shared" si="1"/>
        <v>154</v>
      </c>
      <c r="C23" s="11">
        <v>1</v>
      </c>
      <c r="D23" s="22">
        <f t="shared" si="2"/>
        <v>154</v>
      </c>
      <c r="E23" s="12" t="s">
        <v>330</v>
      </c>
      <c r="F23" s="31"/>
      <c r="G23" s="27" t="s">
        <v>28</v>
      </c>
      <c r="H23" s="398" t="str">
        <f>CONCATENATE("   02 BNFS1005-LIBRE            PIC X(0",C23,").")</f>
        <v xml:space="preserve">   02 BNFS1005-LIBRE            PIC X(01).</v>
      </c>
    </row>
  </sheetData>
  <phoneticPr fontId="5" type="noConversion"/>
  <pageMargins left="0.75" right="0.75" top="1" bottom="1" header="0" footer="0"/>
  <pageSetup paperSize="256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7169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0</xdr:colOff>
                <xdr:row>1</xdr:row>
                <xdr:rowOff>171450</xdr:rowOff>
              </to>
            </anchor>
          </objectPr>
        </oleObject>
      </mc:Choice>
      <mc:Fallback>
        <oleObject progId="MSPhotoEd.3" shapeId="7169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4:H47"/>
  <sheetViews>
    <sheetView topLeftCell="A16" zoomScale="90" zoomScaleNormal="90" workbookViewId="0">
      <selection activeCell="F40" sqref="F40"/>
    </sheetView>
  </sheetViews>
  <sheetFormatPr baseColWidth="10" defaultRowHeight="15" x14ac:dyDescent="0.2"/>
  <cols>
    <col min="2" max="2" width="9.109375" style="6" customWidth="1"/>
    <col min="3" max="3" width="9.33203125" customWidth="1"/>
    <col min="4" max="4" width="9.88671875" style="6" customWidth="1"/>
    <col min="5" max="5" width="10.33203125" customWidth="1"/>
    <col min="6" max="6" width="13.109375" style="6" customWidth="1"/>
    <col min="7" max="7" width="23.88671875" style="6" customWidth="1"/>
    <col min="8" max="8" width="17.5546875" customWidth="1"/>
  </cols>
  <sheetData>
    <row r="4" spans="1:8" x14ac:dyDescent="0.2">
      <c r="A4" s="10" t="s">
        <v>43</v>
      </c>
      <c r="B4" s="23"/>
      <c r="C4" s="10"/>
      <c r="D4" s="22"/>
      <c r="E4" s="10"/>
      <c r="F4" s="23"/>
      <c r="G4" s="23"/>
    </row>
    <row r="5" spans="1:8" x14ac:dyDescent="0.2">
      <c r="A5" s="10" t="s">
        <v>11</v>
      </c>
      <c r="B5" s="23"/>
      <c r="C5" s="10">
        <v>300</v>
      </c>
      <c r="D5" s="22"/>
      <c r="E5" s="10"/>
      <c r="F5" s="23"/>
      <c r="G5" s="23"/>
    </row>
    <row r="6" spans="1:8" x14ac:dyDescent="0.2">
      <c r="A6" s="10" t="s">
        <v>19</v>
      </c>
      <c r="B6" s="23"/>
      <c r="C6" s="10" t="s">
        <v>31</v>
      </c>
      <c r="D6" s="22"/>
      <c r="E6" s="10" t="s">
        <v>22</v>
      </c>
      <c r="F6" s="23"/>
      <c r="G6" s="23"/>
    </row>
    <row r="7" spans="1:8" x14ac:dyDescent="0.2">
      <c r="A7" s="10" t="s">
        <v>13</v>
      </c>
      <c r="B7" s="23"/>
      <c r="C7" s="10" t="s">
        <v>32</v>
      </c>
      <c r="D7" s="22"/>
      <c r="E7" s="10"/>
      <c r="F7" s="23"/>
      <c r="G7" s="23"/>
    </row>
    <row r="8" spans="1:8" x14ac:dyDescent="0.2">
      <c r="A8" s="12" t="s">
        <v>274</v>
      </c>
      <c r="B8" s="23"/>
      <c r="C8" s="10" t="s">
        <v>33</v>
      </c>
      <c r="D8" s="22"/>
      <c r="E8" s="10"/>
      <c r="F8" s="23"/>
      <c r="G8" s="23"/>
    </row>
    <row r="9" spans="1:8" x14ac:dyDescent="0.2">
      <c r="A9" s="12" t="s">
        <v>0</v>
      </c>
      <c r="B9" s="23"/>
      <c r="C9" s="10"/>
      <c r="D9" s="22"/>
      <c r="E9" s="10"/>
      <c r="F9" s="23"/>
      <c r="G9" s="23"/>
    </row>
    <row r="10" spans="1:8" x14ac:dyDescent="0.2">
      <c r="A10" s="13" t="s">
        <v>2</v>
      </c>
      <c r="B10" s="29" t="s">
        <v>1</v>
      </c>
      <c r="C10" s="12" t="s">
        <v>3</v>
      </c>
      <c r="D10" s="22">
        <v>300</v>
      </c>
      <c r="E10" s="12" t="s">
        <v>4</v>
      </c>
      <c r="F10" s="23"/>
      <c r="G10" s="23"/>
    </row>
    <row r="11" spans="1:8" x14ac:dyDescent="0.2">
      <c r="A11" s="19"/>
      <c r="B11" s="23"/>
      <c r="C11" s="10"/>
      <c r="D11" s="22"/>
      <c r="E11" s="10"/>
      <c r="F11" s="23"/>
      <c r="G11" s="23"/>
    </row>
    <row r="12" spans="1:8" ht="25.5" x14ac:dyDescent="0.2">
      <c r="A12" s="15" t="s">
        <v>5</v>
      </c>
      <c r="B12" s="24" t="s">
        <v>12</v>
      </c>
      <c r="C12" s="16" t="s">
        <v>6</v>
      </c>
      <c r="D12" s="25" t="s">
        <v>217</v>
      </c>
      <c r="E12" s="16" t="s">
        <v>7</v>
      </c>
      <c r="F12" s="24" t="s">
        <v>29</v>
      </c>
      <c r="G12" s="26" t="s">
        <v>8</v>
      </c>
      <c r="H12" s="398" t="str">
        <f>CONCATENATE("01   BNFW4055-CAB.")</f>
        <v>01   BNFW4055-CAB.</v>
      </c>
    </row>
    <row r="13" spans="1:8" x14ac:dyDescent="0.2">
      <c r="A13" s="10">
        <v>1</v>
      </c>
      <c r="B13" s="23">
        <v>1</v>
      </c>
      <c r="C13" s="10">
        <v>1</v>
      </c>
      <c r="D13" s="22">
        <v>1</v>
      </c>
      <c r="E13" s="12" t="s">
        <v>330</v>
      </c>
      <c r="F13" s="23"/>
      <c r="G13" s="27" t="s">
        <v>9</v>
      </c>
      <c r="H13" s="398" t="str">
        <f>CONCATENATE("   02 BNFW4055-CTIPREG            PIC X(0",C13,").")</f>
        <v xml:space="preserve">   02 BNFW4055-CTIPREG            PIC X(01).</v>
      </c>
    </row>
    <row r="14" spans="1:8" ht="25.5" x14ac:dyDescent="0.2">
      <c r="A14" s="10">
        <v>2</v>
      </c>
      <c r="B14" s="23">
        <v>2</v>
      </c>
      <c r="C14" s="10">
        <v>3</v>
      </c>
      <c r="D14" s="22">
        <f>D13+C14</f>
        <v>4</v>
      </c>
      <c r="E14" s="12" t="s">
        <v>329</v>
      </c>
      <c r="F14" s="23"/>
      <c r="G14" s="27" t="s">
        <v>511</v>
      </c>
      <c r="H14" s="398" t="str">
        <f>CONCATENATE("   02 BNFW4055-CCODEMI            PIC 9(0",C14,").")</f>
        <v xml:space="preserve">   02 BNFW4055-CCODEMI            PIC 9(03).</v>
      </c>
    </row>
    <row r="15" spans="1:8" x14ac:dyDescent="0.2">
      <c r="A15" s="10">
        <v>3</v>
      </c>
      <c r="B15" s="23">
        <v>5</v>
      </c>
      <c r="C15" s="10">
        <v>8</v>
      </c>
      <c r="D15" s="22">
        <f>D14+C15</f>
        <v>12</v>
      </c>
      <c r="E15" s="12" t="s">
        <v>329</v>
      </c>
      <c r="F15" s="23" t="s">
        <v>435</v>
      </c>
      <c r="G15" s="27" t="s">
        <v>218</v>
      </c>
      <c r="H15" s="398" t="str">
        <f>CONCATENATE("   02 BNFW4055-CFECCRE            PIC 9(0",C15,").")</f>
        <v xml:space="preserve">   02 BNFW4055-CFECCRE            PIC 9(08).</v>
      </c>
    </row>
    <row r="16" spans="1:8" x14ac:dyDescent="0.2">
      <c r="A16" s="10">
        <v>4</v>
      </c>
      <c r="B16" s="23">
        <f>D15+1</f>
        <v>13</v>
      </c>
      <c r="C16" s="10">
        <v>7</v>
      </c>
      <c r="D16" s="22">
        <f>D15+C16</f>
        <v>19</v>
      </c>
      <c r="E16" s="12" t="s">
        <v>329</v>
      </c>
      <c r="F16" s="23"/>
      <c r="G16" s="27" t="s">
        <v>349</v>
      </c>
      <c r="H16" s="398" t="str">
        <f>CONCATENATE("   02 BNFW4055-CNUMREG            PIC 9(0",C16,").")</f>
        <v xml:space="preserve">   02 BNFW4055-CNUMREG            PIC 9(07).</v>
      </c>
    </row>
    <row r="17" spans="1:8" x14ac:dyDescent="0.2">
      <c r="A17" s="10">
        <v>5</v>
      </c>
      <c r="B17" s="23">
        <f>D16+1</f>
        <v>20</v>
      </c>
      <c r="C17" s="10">
        <v>281</v>
      </c>
      <c r="D17" s="22">
        <f>D16+C17</f>
        <v>300</v>
      </c>
      <c r="E17" s="12"/>
      <c r="F17" s="23"/>
      <c r="G17" s="27" t="s">
        <v>352</v>
      </c>
      <c r="H17" s="398" t="str">
        <f>CONCATENATE("   02 BNFW4055-CLIBRE            PIC X(",C17,").")</f>
        <v xml:space="preserve">   02 BNFW4055-CLIBRE            PIC X(281).</v>
      </c>
    </row>
    <row r="18" spans="1:8" x14ac:dyDescent="0.2">
      <c r="A18" s="10"/>
      <c r="B18" s="23"/>
      <c r="C18" s="10"/>
      <c r="D18" s="22"/>
      <c r="E18" s="12"/>
      <c r="F18" s="23"/>
      <c r="G18" s="27"/>
    </row>
    <row r="19" spans="1:8" x14ac:dyDescent="0.2">
      <c r="A19" s="10"/>
      <c r="B19" s="23"/>
      <c r="C19" s="10"/>
      <c r="D19" s="22"/>
      <c r="E19" s="10"/>
      <c r="F19" s="23"/>
      <c r="G19" s="23"/>
    </row>
    <row r="20" spans="1:8" x14ac:dyDescent="0.2">
      <c r="A20" s="13" t="s">
        <v>10</v>
      </c>
      <c r="B20" s="29"/>
      <c r="C20" s="12" t="s">
        <v>3</v>
      </c>
      <c r="D20" s="22">
        <v>300</v>
      </c>
      <c r="E20" s="12" t="s">
        <v>4</v>
      </c>
      <c r="F20" s="23"/>
      <c r="G20" s="23"/>
    </row>
    <row r="21" spans="1:8" x14ac:dyDescent="0.2">
      <c r="A21" s="19"/>
      <c r="B21" s="23"/>
      <c r="C21" s="10"/>
      <c r="D21" s="22"/>
      <c r="E21" s="10"/>
      <c r="F21" s="23"/>
      <c r="G21" s="23"/>
    </row>
    <row r="22" spans="1:8" ht="25.5" x14ac:dyDescent="0.2">
      <c r="A22" s="15" t="s">
        <v>5</v>
      </c>
      <c r="B22" s="24" t="s">
        <v>12</v>
      </c>
      <c r="C22" s="16" t="s">
        <v>6</v>
      </c>
      <c r="D22" s="25" t="s">
        <v>217</v>
      </c>
      <c r="E22" s="16" t="s">
        <v>7</v>
      </c>
      <c r="F22" s="30" t="s">
        <v>29</v>
      </c>
      <c r="G22" s="26" t="s">
        <v>8</v>
      </c>
      <c r="H22" s="398" t="str">
        <f>CONCATENATE("01   BNFW4055-DAT.")</f>
        <v>01   BNFW4055-DAT.</v>
      </c>
    </row>
    <row r="23" spans="1:8" x14ac:dyDescent="0.2">
      <c r="A23" s="10">
        <v>1</v>
      </c>
      <c r="B23" s="23">
        <v>1</v>
      </c>
      <c r="C23" s="10">
        <v>1</v>
      </c>
      <c r="D23" s="22">
        <f>C23</f>
        <v>1</v>
      </c>
      <c r="E23" s="12" t="s">
        <v>330</v>
      </c>
      <c r="F23" s="23" t="s">
        <v>35</v>
      </c>
      <c r="G23" s="27" t="s">
        <v>34</v>
      </c>
      <c r="H23" s="398" t="str">
        <f>CONCATENATE("   02 BNFW4055-TIPREG            PIC X(0",C23,").")</f>
        <v xml:space="preserve">   02 BNFW4055-TIPREG            PIC X(01).</v>
      </c>
    </row>
    <row r="24" spans="1:8" x14ac:dyDescent="0.2">
      <c r="A24" s="10">
        <f>A23+1</f>
        <v>2</v>
      </c>
      <c r="B24" s="23">
        <f>D23+1</f>
        <v>2</v>
      </c>
      <c r="C24" s="21">
        <v>1</v>
      </c>
      <c r="D24" s="22">
        <f>D23+C24</f>
        <v>2</v>
      </c>
      <c r="E24" s="12" t="s">
        <v>330</v>
      </c>
      <c r="F24" s="23" t="s">
        <v>225</v>
      </c>
      <c r="G24" s="27" t="s">
        <v>36</v>
      </c>
      <c r="H24" s="398" t="str">
        <f>CONCATENATE("   02 BNFW4055-TIPMOV            PIC X(0",C24,").")</f>
        <v xml:space="preserve">   02 BNFW4055-TIPMOV            PIC X(01).</v>
      </c>
    </row>
    <row r="25" spans="1:8" x14ac:dyDescent="0.2">
      <c r="A25" s="369">
        <f t="shared" ref="A25:A40" si="0">A24+1</f>
        <v>3</v>
      </c>
      <c r="B25" s="306">
        <f t="shared" ref="B25:B40" si="1">D24+1</f>
        <v>3</v>
      </c>
      <c r="C25" s="370">
        <v>19</v>
      </c>
      <c r="D25" s="308">
        <f t="shared" ref="D25:D40" si="2">D24+C25</f>
        <v>21</v>
      </c>
      <c r="E25" s="309" t="s">
        <v>329</v>
      </c>
      <c r="F25" s="306"/>
      <c r="G25" s="311" t="s">
        <v>220</v>
      </c>
      <c r="H25" s="398" t="str">
        <f>CONCATENATE("   02 BNFW4055-NUMCTA            PIC X(",C25,").")</f>
        <v xml:space="preserve">   02 BNFW4055-NUMCTA            PIC X(19).</v>
      </c>
    </row>
    <row r="26" spans="1:8" x14ac:dyDescent="0.2">
      <c r="A26" s="369">
        <f t="shared" si="0"/>
        <v>4</v>
      </c>
      <c r="B26" s="306">
        <f t="shared" si="1"/>
        <v>22</v>
      </c>
      <c r="C26" s="370">
        <v>19</v>
      </c>
      <c r="D26" s="308">
        <f t="shared" si="2"/>
        <v>40</v>
      </c>
      <c r="E26" s="309" t="s">
        <v>329</v>
      </c>
      <c r="F26" s="306"/>
      <c r="G26" s="311" t="s">
        <v>221</v>
      </c>
      <c r="H26" s="398" t="str">
        <f>CONCATENATE("   02 BNFW4055-NUMTAR            PIC X(",C26,").")</f>
        <v xml:space="preserve">   02 BNFW4055-NUMTAR            PIC X(19).</v>
      </c>
    </row>
    <row r="27" spans="1:8" x14ac:dyDescent="0.2">
      <c r="A27" s="10">
        <f t="shared" si="0"/>
        <v>5</v>
      </c>
      <c r="B27" s="23">
        <f t="shared" si="1"/>
        <v>41</v>
      </c>
      <c r="C27" s="21">
        <v>5</v>
      </c>
      <c r="D27" s="22">
        <f t="shared" si="2"/>
        <v>45</v>
      </c>
      <c r="E27" s="12" t="s">
        <v>329</v>
      </c>
      <c r="F27" s="23"/>
      <c r="G27" s="27" t="s">
        <v>226</v>
      </c>
      <c r="H27" s="398" t="str">
        <f>CONCATENATE("   02 BNFW4055-CODPLA            PIC X(0",C27,").")</f>
        <v xml:space="preserve">   02 BNFW4055-CODPLA            PIC X(05).</v>
      </c>
    </row>
    <row r="28" spans="1:8" x14ac:dyDescent="0.2">
      <c r="A28" s="10">
        <f t="shared" si="0"/>
        <v>6</v>
      </c>
      <c r="B28" s="23">
        <f t="shared" si="1"/>
        <v>46</v>
      </c>
      <c r="C28" s="21">
        <v>4</v>
      </c>
      <c r="D28" s="22">
        <f t="shared" si="2"/>
        <v>49</v>
      </c>
      <c r="E28" s="12" t="s">
        <v>329</v>
      </c>
      <c r="F28" s="23"/>
      <c r="G28" s="27" t="s">
        <v>227</v>
      </c>
      <c r="H28" s="398" t="str">
        <f>CONCATENATE("   02 BNFW4055-CODTRA            PIC X(0",C28,").")</f>
        <v xml:space="preserve">   02 BNFW4055-CODTRA            PIC X(04).</v>
      </c>
    </row>
    <row r="29" spans="1:8" x14ac:dyDescent="0.2">
      <c r="A29" s="10">
        <f t="shared" si="0"/>
        <v>7</v>
      </c>
      <c r="B29" s="23">
        <f t="shared" si="1"/>
        <v>50</v>
      </c>
      <c r="C29" s="11">
        <v>40</v>
      </c>
      <c r="D29" s="22">
        <f t="shared" si="2"/>
        <v>89</v>
      </c>
      <c r="E29" s="12" t="s">
        <v>330</v>
      </c>
      <c r="F29" s="31"/>
      <c r="G29" s="27" t="s">
        <v>228</v>
      </c>
      <c r="H29" s="398" t="str">
        <f>CONCATENATE("   02 BNFW4055-DESTRA            PIC X(",C29,").")</f>
        <v xml:space="preserve">   02 BNFW4055-DESTRA            PIC X(40).</v>
      </c>
    </row>
    <row r="30" spans="1:8" ht="25.5" x14ac:dyDescent="0.2">
      <c r="A30" s="10">
        <f t="shared" si="0"/>
        <v>8</v>
      </c>
      <c r="B30" s="23">
        <f t="shared" si="1"/>
        <v>90</v>
      </c>
      <c r="C30" s="11">
        <v>3</v>
      </c>
      <c r="D30" s="22">
        <f t="shared" si="2"/>
        <v>92</v>
      </c>
      <c r="E30" s="12" t="s">
        <v>329</v>
      </c>
      <c r="F30" s="38" t="s">
        <v>229</v>
      </c>
      <c r="G30" s="27" t="s">
        <v>230</v>
      </c>
      <c r="H30" s="398" t="str">
        <f>CONCATENATE("   02 BNFW4055-CODMON            PIC X(0",C30,").")</f>
        <v xml:space="preserve">   02 BNFW4055-CODMON            PIC X(03).</v>
      </c>
    </row>
    <row r="31" spans="1:8" ht="25.5" x14ac:dyDescent="0.2">
      <c r="A31" s="10">
        <f t="shared" si="0"/>
        <v>9</v>
      </c>
      <c r="B31" s="23">
        <f t="shared" si="1"/>
        <v>93</v>
      </c>
      <c r="C31" s="11">
        <v>11</v>
      </c>
      <c r="D31" s="22">
        <f t="shared" si="2"/>
        <v>103</v>
      </c>
      <c r="E31" s="12" t="s">
        <v>329</v>
      </c>
      <c r="F31" s="38" t="s">
        <v>38</v>
      </c>
      <c r="G31" s="27" t="s">
        <v>37</v>
      </c>
      <c r="H31" s="398" t="str">
        <f>CONCATENATE("  02 BNFW4055-IMPTRA            PIC 9(",C31,").")</f>
        <v xml:space="preserve">  02 BNFW4055-IMPTRA            PIC 9(11).</v>
      </c>
    </row>
    <row r="32" spans="1:8" x14ac:dyDescent="0.2">
      <c r="A32" s="10">
        <f t="shared" si="0"/>
        <v>10</v>
      </c>
      <c r="B32" s="23">
        <f t="shared" si="1"/>
        <v>104</v>
      </c>
      <c r="C32" s="11">
        <v>8</v>
      </c>
      <c r="D32" s="22">
        <f t="shared" si="2"/>
        <v>111</v>
      </c>
      <c r="E32" s="12" t="s">
        <v>329</v>
      </c>
      <c r="F32" s="38" t="s">
        <v>435</v>
      </c>
      <c r="G32" s="27" t="s">
        <v>231</v>
      </c>
      <c r="H32" s="398" t="str">
        <f>CONCATENATE("  02 BNFW4055-FECTRA            PIC X(0",C32,").")</f>
        <v xml:space="preserve">  02 BNFW4055-FECTRA            PIC X(08).</v>
      </c>
    </row>
    <row r="33" spans="1:8" x14ac:dyDescent="0.2">
      <c r="A33" s="10">
        <f t="shared" si="0"/>
        <v>11</v>
      </c>
      <c r="B33" s="23">
        <f t="shared" si="1"/>
        <v>112</v>
      </c>
      <c r="C33" s="11">
        <v>8</v>
      </c>
      <c r="D33" s="22">
        <f t="shared" si="2"/>
        <v>119</v>
      </c>
      <c r="E33" s="12" t="s">
        <v>329</v>
      </c>
      <c r="F33" s="38" t="s">
        <v>435</v>
      </c>
      <c r="G33" s="27" t="s">
        <v>39</v>
      </c>
      <c r="H33" s="398" t="str">
        <f>CONCATENATE("  02 BNFW4055-FECPRO            PIC X(0",C33,").")</f>
        <v xml:space="preserve">  02 BNFW4055-FECPRO            PIC X(08).</v>
      </c>
    </row>
    <row r="34" spans="1:8" x14ac:dyDescent="0.2">
      <c r="A34" s="10">
        <f t="shared" si="0"/>
        <v>12</v>
      </c>
      <c r="B34" s="23">
        <f t="shared" si="1"/>
        <v>120</v>
      </c>
      <c r="C34" s="11">
        <v>15</v>
      </c>
      <c r="D34" s="22">
        <f t="shared" si="2"/>
        <v>134</v>
      </c>
      <c r="E34" s="12" t="s">
        <v>329</v>
      </c>
      <c r="F34" s="31"/>
      <c r="G34" s="27" t="s">
        <v>40</v>
      </c>
      <c r="H34" s="398" t="str">
        <f>CONCATENATE("  02 BNFW4055-RESEV           PIC X(",C34,").")</f>
        <v xml:space="preserve">  02 BNFW4055-RESEV           PIC X(15).</v>
      </c>
    </row>
    <row r="35" spans="1:8" ht="25.5" x14ac:dyDescent="0.2">
      <c r="A35" s="10">
        <f t="shared" si="0"/>
        <v>13</v>
      </c>
      <c r="B35" s="23">
        <f t="shared" si="1"/>
        <v>135</v>
      </c>
      <c r="C35" s="11">
        <v>2</v>
      </c>
      <c r="D35" s="22">
        <f t="shared" si="2"/>
        <v>136</v>
      </c>
      <c r="E35" s="12" t="s">
        <v>329</v>
      </c>
      <c r="F35" s="31"/>
      <c r="G35" s="27" t="s">
        <v>41</v>
      </c>
      <c r="H35" s="398" t="str">
        <f>CONCATENATE("  02 BNFW4055-IDEORI            PIC X(0",C35,").")</f>
        <v xml:space="preserve">  02 BNFW4055-IDEORI            PIC X(02).</v>
      </c>
    </row>
    <row r="36" spans="1:8" ht="25.5" x14ac:dyDescent="0.2">
      <c r="A36" s="10">
        <f t="shared" si="0"/>
        <v>14</v>
      </c>
      <c r="B36" s="23">
        <f t="shared" si="1"/>
        <v>137</v>
      </c>
      <c r="C36" s="11">
        <v>4</v>
      </c>
      <c r="D36" s="22">
        <f t="shared" si="2"/>
        <v>140</v>
      </c>
      <c r="E36" s="12" t="s">
        <v>329</v>
      </c>
      <c r="F36" s="31"/>
      <c r="G36" s="27" t="s">
        <v>42</v>
      </c>
      <c r="H36" s="398" t="str">
        <f>CONCATENATE("  02 BNFW4055-GIRNEG            PIC X(0",C36,").")</f>
        <v xml:space="preserve">  02 BNFW4055-GIRNEG            PIC X(04).</v>
      </c>
    </row>
    <row r="37" spans="1:8" ht="51" x14ac:dyDescent="0.2">
      <c r="A37" s="10">
        <f t="shared" si="0"/>
        <v>15</v>
      </c>
      <c r="B37" s="23">
        <f t="shared" si="1"/>
        <v>141</v>
      </c>
      <c r="C37" s="11">
        <v>15</v>
      </c>
      <c r="D37" s="22">
        <f t="shared" si="2"/>
        <v>155</v>
      </c>
      <c r="E37" s="12" t="s">
        <v>330</v>
      </c>
      <c r="F37" s="31"/>
      <c r="G37" s="27" t="s">
        <v>496</v>
      </c>
      <c r="H37" s="398" t="str">
        <f>CONCATENATE("  02 BNFW4055-CODCOM            PIC X(",C37,").")</f>
        <v xml:space="preserve">  02 BNFW4055-CODCOM            PIC X(15).</v>
      </c>
    </row>
    <row r="38" spans="1:8" x14ac:dyDescent="0.2">
      <c r="A38" s="10">
        <f t="shared" si="0"/>
        <v>16</v>
      </c>
      <c r="B38" s="23">
        <f t="shared" si="1"/>
        <v>156</v>
      </c>
      <c r="C38" s="11">
        <v>6</v>
      </c>
      <c r="D38" s="22">
        <f t="shared" si="2"/>
        <v>161</v>
      </c>
      <c r="E38" s="12" t="s">
        <v>330</v>
      </c>
      <c r="F38" s="31"/>
      <c r="G38" s="27" t="s">
        <v>232</v>
      </c>
      <c r="H38" s="398" t="str">
        <f>CONCATENATE("  02 BNFW4055-CODAUT            PIC X(0",C38,").")</f>
        <v xml:space="preserve">  02 BNFW4055-CODAUT            PIC X(06).</v>
      </c>
    </row>
    <row r="39" spans="1:8" s="73" customFormat="1" x14ac:dyDescent="0.2">
      <c r="A39" s="71">
        <f t="shared" si="0"/>
        <v>17</v>
      </c>
      <c r="B39" s="66">
        <f t="shared" si="1"/>
        <v>162</v>
      </c>
      <c r="C39" s="67">
        <v>3</v>
      </c>
      <c r="D39" s="68">
        <f t="shared" si="2"/>
        <v>164</v>
      </c>
      <c r="E39" s="69" t="s">
        <v>329</v>
      </c>
      <c r="F39" s="72"/>
      <c r="G39" s="70" t="s">
        <v>450</v>
      </c>
      <c r="H39" s="398" t="str">
        <f>CONCATENATE("  02 BNFW4055-CODORG            PIC X(0",C39,").")</f>
        <v xml:space="preserve">  02 BNFW4055-CODORG            PIC X(03).</v>
      </c>
    </row>
    <row r="40" spans="1:8" x14ac:dyDescent="0.2">
      <c r="A40" s="10">
        <f t="shared" si="0"/>
        <v>18</v>
      </c>
      <c r="B40" s="23">
        <f t="shared" si="1"/>
        <v>165</v>
      </c>
      <c r="C40" s="11">
        <v>136</v>
      </c>
      <c r="D40" s="22">
        <f t="shared" si="2"/>
        <v>300</v>
      </c>
      <c r="E40" s="12" t="s">
        <v>330</v>
      </c>
      <c r="F40" s="31"/>
      <c r="G40" s="27" t="s">
        <v>40</v>
      </c>
      <c r="H40" s="398" t="str">
        <f>CONCATENATE("  02 BNFW4055-RES002            PIC X(",C40,").")</f>
        <v xml:space="preserve">  02 BNFW4055-RES002            PIC X(136).</v>
      </c>
    </row>
    <row r="41" spans="1:8" x14ac:dyDescent="0.2">
      <c r="A41" s="28"/>
      <c r="B41" s="31"/>
      <c r="C41" s="28"/>
      <c r="D41" s="31"/>
      <c r="E41" s="28"/>
      <c r="F41" s="31"/>
      <c r="G41" s="31"/>
    </row>
    <row r="42" spans="1:8" x14ac:dyDescent="0.2">
      <c r="A42" s="13" t="s">
        <v>347</v>
      </c>
      <c r="B42" s="29" t="s">
        <v>1</v>
      </c>
      <c r="C42" s="12" t="s">
        <v>3</v>
      </c>
      <c r="D42" s="22">
        <v>300</v>
      </c>
      <c r="E42" s="12" t="s">
        <v>4</v>
      </c>
      <c r="F42" s="23"/>
      <c r="G42" s="23"/>
    </row>
    <row r="43" spans="1:8" x14ac:dyDescent="0.2">
      <c r="A43" s="19"/>
      <c r="B43" s="23"/>
      <c r="C43" s="10"/>
      <c r="D43" s="22"/>
      <c r="E43" s="10"/>
      <c r="F43" s="23"/>
      <c r="G43" s="23"/>
    </row>
    <row r="44" spans="1:8" ht="25.5" x14ac:dyDescent="0.2">
      <c r="A44" s="15" t="s">
        <v>5</v>
      </c>
      <c r="B44" s="24" t="s">
        <v>12</v>
      </c>
      <c r="C44" s="16" t="s">
        <v>6</v>
      </c>
      <c r="D44" s="25" t="s">
        <v>217</v>
      </c>
      <c r="E44" s="16" t="s">
        <v>7</v>
      </c>
      <c r="F44" s="24" t="s">
        <v>29</v>
      </c>
      <c r="G44" s="26" t="s">
        <v>8</v>
      </c>
      <c r="H44" s="398" t="str">
        <f>CONCATENATE("01   BNFW4055-ULT.")</f>
        <v>01   BNFW4055-ULT.</v>
      </c>
    </row>
    <row r="45" spans="1:8" x14ac:dyDescent="0.2">
      <c r="A45" s="10">
        <v>1</v>
      </c>
      <c r="B45" s="23">
        <v>1</v>
      </c>
      <c r="C45" s="10">
        <v>1</v>
      </c>
      <c r="D45" s="22">
        <v>1</v>
      </c>
      <c r="E45" s="12" t="s">
        <v>330</v>
      </c>
      <c r="F45" s="23"/>
      <c r="G45" s="27" t="s">
        <v>348</v>
      </c>
      <c r="H45" s="398" t="str">
        <f>CONCATENATE("  02 BNFW4055-UTIPREG            PIC X(0",C45,").")</f>
        <v xml:space="preserve">  02 BNFW4055-UTIPREG            PIC X(01).</v>
      </c>
    </row>
    <row r="46" spans="1:8" x14ac:dyDescent="0.2">
      <c r="A46" s="10">
        <v>2</v>
      </c>
      <c r="B46" s="23">
        <f>D45+1</f>
        <v>2</v>
      </c>
      <c r="C46" s="10">
        <v>7</v>
      </c>
      <c r="D46" s="22">
        <f>D45+C46</f>
        <v>8</v>
      </c>
      <c r="E46" s="12" t="s">
        <v>329</v>
      </c>
      <c r="F46" s="23"/>
      <c r="G46" s="27" t="s">
        <v>349</v>
      </c>
      <c r="H46" s="398" t="str">
        <f>CONCATENATE("  02 BNFW4055-UNUMREG            PIC X(0",C46,").")</f>
        <v xml:space="preserve">  02 BNFW4055-UNUMREG            PIC X(07).</v>
      </c>
    </row>
    <row r="47" spans="1:8" x14ac:dyDescent="0.2">
      <c r="A47" s="10">
        <v>3</v>
      </c>
      <c r="B47" s="23">
        <f>D46+1</f>
        <v>9</v>
      </c>
      <c r="C47" s="10">
        <v>292</v>
      </c>
      <c r="D47" s="22">
        <f>D46+C47</f>
        <v>300</v>
      </c>
      <c r="E47" s="12"/>
      <c r="F47" s="23"/>
      <c r="G47" s="27" t="s">
        <v>352</v>
      </c>
      <c r="H47" s="398" t="str">
        <f>CONCATENATE("  02 BNFW4055-ULIBRE         PIC X(0",C47,").")</f>
        <v xml:space="preserve">  02 BNFW4055-ULIBRE         PIC X(0292).</v>
      </c>
    </row>
  </sheetData>
  <phoneticPr fontId="5" type="noConversion"/>
  <pageMargins left="0.75" right="0.75" top="1" bottom="1" header="0" footer="0"/>
  <pageSetup paperSize="256" scale="77" fitToHeight="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8193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990600</xdr:colOff>
                <xdr:row>1</xdr:row>
                <xdr:rowOff>171450</xdr:rowOff>
              </to>
            </anchor>
          </objectPr>
        </oleObject>
      </mc:Choice>
      <mc:Fallback>
        <oleObject progId="MSPhotoEd.3" shapeId="8193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3:J94"/>
  <sheetViews>
    <sheetView topLeftCell="A40" workbookViewId="0">
      <selection activeCell="J22" sqref="J22"/>
    </sheetView>
  </sheetViews>
  <sheetFormatPr baseColWidth="10" defaultRowHeight="15" x14ac:dyDescent="0.2"/>
  <cols>
    <col min="1" max="1" width="4.44140625" style="481" customWidth="1"/>
    <col min="2" max="2" width="5.109375" style="498" customWidth="1"/>
    <col min="3" max="3" width="2.88671875" style="481" customWidth="1"/>
    <col min="4" max="4" width="6.21875" style="498" customWidth="1"/>
    <col min="5" max="5" width="9.33203125" style="481" customWidth="1"/>
    <col min="6" max="6" width="11" style="498" customWidth="1"/>
    <col min="7" max="7" width="25.21875" style="498" customWidth="1"/>
    <col min="8" max="8" width="14.88671875" style="498" customWidth="1"/>
    <col min="9" max="9" width="39" style="498" customWidth="1"/>
    <col min="10" max="16384" width="11.5546875" style="481"/>
  </cols>
  <sheetData>
    <row r="3" spans="1:10" x14ac:dyDescent="0.2">
      <c r="A3" s="483" t="s">
        <v>177</v>
      </c>
      <c r="B3" s="484"/>
      <c r="C3" s="483"/>
      <c r="D3" s="485"/>
      <c r="E3" s="483"/>
      <c r="F3" s="484"/>
      <c r="G3" s="484"/>
      <c r="H3" s="528" t="s">
        <v>1270</v>
      </c>
      <c r="I3" s="486"/>
      <c r="J3" s="487"/>
    </row>
    <row r="4" spans="1:10" x14ac:dyDescent="0.2">
      <c r="A4" s="483" t="s">
        <v>11</v>
      </c>
      <c r="B4" s="484"/>
      <c r="C4" s="530">
        <v>800</v>
      </c>
      <c r="D4" s="485"/>
      <c r="E4" s="483"/>
      <c r="F4" s="484"/>
      <c r="G4" s="484"/>
      <c r="H4" s="486"/>
      <c r="I4" s="486"/>
      <c r="J4" s="487"/>
    </row>
    <row r="5" spans="1:10" x14ac:dyDescent="0.2">
      <c r="A5" s="483" t="s">
        <v>19</v>
      </c>
      <c r="B5" s="484"/>
      <c r="C5" s="483" t="s">
        <v>178</v>
      </c>
      <c r="D5" s="485"/>
      <c r="E5" s="483" t="s">
        <v>22</v>
      </c>
      <c r="F5" s="484"/>
      <c r="G5" s="484"/>
      <c r="H5" s="486"/>
      <c r="I5" s="486"/>
      <c r="J5" s="487"/>
    </row>
    <row r="6" spans="1:10" x14ac:dyDescent="0.2">
      <c r="A6" s="483" t="s">
        <v>13</v>
      </c>
      <c r="B6" s="484"/>
      <c r="C6" s="483" t="s">
        <v>32</v>
      </c>
      <c r="D6" s="485"/>
      <c r="E6" s="483"/>
      <c r="F6" s="484"/>
      <c r="G6" s="484"/>
      <c r="H6" s="486"/>
      <c r="I6" s="486"/>
      <c r="J6" s="487"/>
    </row>
    <row r="7" spans="1:10" x14ac:dyDescent="0.2">
      <c r="A7" s="488" t="s">
        <v>274</v>
      </c>
      <c r="B7" s="484"/>
      <c r="C7" s="483" t="s">
        <v>333</v>
      </c>
      <c r="D7" s="485"/>
      <c r="E7" s="483"/>
      <c r="F7" s="484"/>
      <c r="G7" s="484"/>
      <c r="H7" s="486"/>
      <c r="I7" s="486"/>
      <c r="J7" s="487"/>
    </row>
    <row r="8" spans="1:10" x14ac:dyDescent="0.2">
      <c r="A8" s="488" t="s">
        <v>0</v>
      </c>
      <c r="B8" s="484"/>
      <c r="C8" s="483"/>
      <c r="D8" s="485"/>
      <c r="E8" s="483"/>
      <c r="F8" s="484"/>
      <c r="G8" s="484"/>
      <c r="H8" s="486"/>
      <c r="I8" s="486"/>
      <c r="J8" s="487"/>
    </row>
    <row r="9" spans="1:10" ht="15.75" x14ac:dyDescent="0.2">
      <c r="A9" s="489" t="s">
        <v>2</v>
      </c>
      <c r="B9" s="490" t="s">
        <v>1</v>
      </c>
      <c r="C9" s="505" t="s">
        <v>3</v>
      </c>
      <c r="D9" s="529">
        <v>660</v>
      </c>
      <c r="E9" s="505" t="s">
        <v>4</v>
      </c>
      <c r="F9" s="484"/>
      <c r="G9" s="484"/>
      <c r="H9" s="486"/>
      <c r="I9" s="486"/>
      <c r="J9" s="487"/>
    </row>
    <row r="10" spans="1:10" x14ac:dyDescent="0.2">
      <c r="A10" s="491"/>
      <c r="B10" s="484"/>
      <c r="C10" s="483"/>
      <c r="D10" s="485"/>
      <c r="E10" s="483"/>
      <c r="F10" s="484"/>
      <c r="G10" s="484"/>
      <c r="H10" s="486"/>
      <c r="I10" s="486"/>
      <c r="J10" s="487"/>
    </row>
    <row r="11" spans="1:10" ht="38.25" x14ac:dyDescent="0.2">
      <c r="A11" s="492" t="s">
        <v>5</v>
      </c>
      <c r="B11" s="493" t="s">
        <v>12</v>
      </c>
      <c r="C11" s="494" t="s">
        <v>6</v>
      </c>
      <c r="D11" s="495" t="s">
        <v>217</v>
      </c>
      <c r="E11" s="494" t="s">
        <v>7</v>
      </c>
      <c r="F11" s="493" t="s">
        <v>29</v>
      </c>
      <c r="G11" s="493" t="s">
        <v>8</v>
      </c>
      <c r="H11" s="496" t="s">
        <v>337</v>
      </c>
      <c r="I11" s="479" t="str">
        <f>CONCATENATE("01   XXFM5003-CAB.")</f>
        <v>01   XXFM5003-CAB.</v>
      </c>
      <c r="J11" s="487"/>
    </row>
    <row r="12" spans="1:10" x14ac:dyDescent="0.2">
      <c r="A12" s="483">
        <v>1</v>
      </c>
      <c r="B12" s="484">
        <v>1</v>
      </c>
      <c r="C12" s="483">
        <v>8</v>
      </c>
      <c r="D12" s="485">
        <v>8</v>
      </c>
      <c r="E12" s="488" t="s">
        <v>329</v>
      </c>
      <c r="F12" s="484" t="s">
        <v>30</v>
      </c>
      <c r="G12" s="497" t="s">
        <v>218</v>
      </c>
      <c r="I12" s="479" t="str">
        <f>CONCATENATE("   02 XXFM5003-CFECCRE            PIC X(0",C12,").")</f>
        <v xml:space="preserve">   02 XXFM5003-CFECCRE            PIC X(08).</v>
      </c>
    </row>
    <row r="13" spans="1:10" x14ac:dyDescent="0.2">
      <c r="A13" s="483">
        <v>2</v>
      </c>
      <c r="B13" s="484">
        <f>D12+1</f>
        <v>9</v>
      </c>
      <c r="C13" s="483">
        <v>6</v>
      </c>
      <c r="D13" s="485">
        <f>D12+C13</f>
        <v>14</v>
      </c>
      <c r="E13" s="488" t="s">
        <v>329</v>
      </c>
      <c r="F13" s="483" t="s">
        <v>47</v>
      </c>
      <c r="G13" s="497" t="s">
        <v>275</v>
      </c>
      <c r="I13" s="479" t="str">
        <f>CONCATENATE("   02 XXFM5003-CHORCRE            PIC X(0",C13,").")</f>
        <v xml:space="preserve">   02 XXFM5003-CHORCRE            PIC X(06).</v>
      </c>
    </row>
    <row r="14" spans="1:10" x14ac:dyDescent="0.2">
      <c r="A14" s="483">
        <v>3</v>
      </c>
      <c r="B14" s="484">
        <f>D13+1</f>
        <v>15</v>
      </c>
      <c r="C14" s="483">
        <v>15</v>
      </c>
      <c r="D14" s="485">
        <f>D13+C14</f>
        <v>29</v>
      </c>
      <c r="E14" s="488" t="s">
        <v>329</v>
      </c>
      <c r="F14" s="484"/>
      <c r="G14" s="497" t="s">
        <v>125</v>
      </c>
      <c r="I14" s="479" t="str">
        <f>CONCATENATE("   02 XXFM5003-CNUMREG            PIC X(",C14,").")</f>
        <v xml:space="preserve">   02 XXFM5003-CNUMREG            PIC X(15).</v>
      </c>
    </row>
    <row r="15" spans="1:10" x14ac:dyDescent="0.2">
      <c r="A15" s="483">
        <v>4</v>
      </c>
      <c r="B15" s="484">
        <f>D14+1</f>
        <v>30</v>
      </c>
      <c r="C15" s="483">
        <v>631</v>
      </c>
      <c r="D15" s="485">
        <f>D14+C15</f>
        <v>660</v>
      </c>
      <c r="E15" s="488"/>
      <c r="F15" s="483"/>
      <c r="G15" s="497" t="s">
        <v>352</v>
      </c>
      <c r="I15" s="479" t="str">
        <f>CONCATENATE("   02 XXFM5003-CLIBRE            PIC X(",C15,").")</f>
        <v xml:space="preserve">   02 XXFM5003-CLIBRE            PIC X(631).</v>
      </c>
    </row>
    <row r="16" spans="1:10" x14ac:dyDescent="0.2">
      <c r="A16" s="483"/>
      <c r="B16" s="484"/>
      <c r="C16" s="483"/>
      <c r="D16" s="485"/>
      <c r="E16" s="488"/>
      <c r="F16" s="484"/>
      <c r="G16" s="497"/>
      <c r="H16" s="486"/>
      <c r="I16" s="479" t="s">
        <v>1</v>
      </c>
      <c r="J16" s="487"/>
    </row>
    <row r="17" spans="1:10" x14ac:dyDescent="0.2">
      <c r="A17" s="483"/>
      <c r="B17" s="484"/>
      <c r="C17" s="483"/>
      <c r="D17" s="485"/>
      <c r="E17" s="488"/>
      <c r="F17" s="484"/>
      <c r="G17" s="497"/>
      <c r="H17" s="486"/>
      <c r="I17" s="486"/>
      <c r="J17" s="487"/>
    </row>
    <row r="18" spans="1:10" x14ac:dyDescent="0.2">
      <c r="A18" s="483"/>
      <c r="B18" s="484"/>
      <c r="C18" s="483"/>
      <c r="D18" s="485"/>
      <c r="E18" s="483"/>
      <c r="F18" s="484"/>
      <c r="G18" s="484"/>
      <c r="H18" s="486"/>
      <c r="I18" s="486"/>
      <c r="J18" s="487"/>
    </row>
    <row r="19" spans="1:10" x14ac:dyDescent="0.2">
      <c r="A19" s="489" t="s">
        <v>10</v>
      </c>
      <c r="B19" s="490"/>
      <c r="C19" s="488" t="s">
        <v>3</v>
      </c>
      <c r="D19" s="485">
        <v>660</v>
      </c>
      <c r="E19" s="488" t="s">
        <v>4</v>
      </c>
      <c r="F19" s="484"/>
      <c r="G19" s="484"/>
      <c r="H19" s="486"/>
      <c r="I19" s="486"/>
      <c r="J19" s="487"/>
    </row>
    <row r="20" spans="1:10" x14ac:dyDescent="0.2">
      <c r="A20" s="491"/>
      <c r="B20" s="484"/>
      <c r="C20" s="483"/>
      <c r="D20" s="485"/>
      <c r="E20" s="483"/>
      <c r="F20" s="484"/>
      <c r="G20" s="484"/>
      <c r="H20" s="486"/>
      <c r="I20" s="486"/>
      <c r="J20" s="487"/>
    </row>
    <row r="21" spans="1:10" ht="38.25" x14ac:dyDescent="0.2">
      <c r="A21" s="492" t="s">
        <v>5</v>
      </c>
      <c r="B21" s="493" t="s">
        <v>12</v>
      </c>
      <c r="C21" s="494" t="s">
        <v>6</v>
      </c>
      <c r="D21" s="495" t="s">
        <v>217</v>
      </c>
      <c r="E21" s="494" t="s">
        <v>7</v>
      </c>
      <c r="F21" s="499" t="s">
        <v>29</v>
      </c>
      <c r="G21" s="493" t="s">
        <v>8</v>
      </c>
      <c r="H21" s="496" t="s">
        <v>337</v>
      </c>
      <c r="I21" s="479" t="str">
        <f>CONCATENATE("01   XXFM5003-DAT.")</f>
        <v>01   XXFM5003-DAT.</v>
      </c>
      <c r="J21" s="487"/>
    </row>
    <row r="22" spans="1:10" ht="25.5" x14ac:dyDescent="0.2">
      <c r="A22" s="483">
        <v>1</v>
      </c>
      <c r="B22" s="484">
        <v>1</v>
      </c>
      <c r="C22" s="483">
        <v>3</v>
      </c>
      <c r="D22" s="485">
        <f>C22</f>
        <v>3</v>
      </c>
      <c r="E22" s="488" t="s">
        <v>329</v>
      </c>
      <c r="F22" s="484" t="s">
        <v>246</v>
      </c>
      <c r="G22" s="497" t="s">
        <v>99</v>
      </c>
      <c r="H22" s="472"/>
      <c r="I22" s="479" t="str">
        <f>CONCATENATE("   02 XXFM5003-CODMON            PIC X(0",C22,").")</f>
        <v xml:space="preserve">   02 XXFM5003-CODMON            PIC X(03).</v>
      </c>
      <c r="J22" s="480" t="str">
        <f>MID($B$94,B22,C22)</f>
        <v>604</v>
      </c>
    </row>
    <row r="23" spans="1:10" x14ac:dyDescent="0.2">
      <c r="A23" s="483">
        <f>A22+1</f>
        <v>2</v>
      </c>
      <c r="B23" s="484">
        <f>D22+1</f>
        <v>4</v>
      </c>
      <c r="C23" s="500">
        <v>3</v>
      </c>
      <c r="D23" s="485">
        <f>D22+C23</f>
        <v>6</v>
      </c>
      <c r="E23" s="488" t="s">
        <v>329</v>
      </c>
      <c r="F23" s="484"/>
      <c r="G23" s="497" t="s">
        <v>181</v>
      </c>
      <c r="H23" s="472"/>
      <c r="I23" s="479" t="str">
        <f>CONCATENATE("   02 XXFM5003-CODORG            PIC X(0",C23,").")</f>
        <v xml:space="preserve">   02 XXFM5003-CODORG            PIC X(03).</v>
      </c>
      <c r="J23" s="480" t="str">
        <f t="shared" ref="J23:J86" si="0">MID($B$94,B23,C23)</f>
        <v>191</v>
      </c>
    </row>
    <row r="24" spans="1:10" x14ac:dyDescent="0.2">
      <c r="A24" s="501">
        <f t="shared" ref="A24:A87" si="1">A23+1</f>
        <v>3</v>
      </c>
      <c r="B24" s="502">
        <f t="shared" ref="B24:B87" si="2">D23+1</f>
        <v>7</v>
      </c>
      <c r="C24" s="503">
        <v>19</v>
      </c>
      <c r="D24" s="504">
        <f t="shared" ref="D24:D87" si="3">D23+C24</f>
        <v>25</v>
      </c>
      <c r="E24" s="505" t="s">
        <v>330</v>
      </c>
      <c r="F24" s="502"/>
      <c r="G24" s="506" t="s">
        <v>49</v>
      </c>
      <c r="H24" s="472"/>
      <c r="I24" s="479" t="str">
        <f>CONCATENATE("   02 XXFM5003-NUNCTA            PIC X(",C24,").")</f>
        <v xml:space="preserve">   02 XXFM5003-NUNCTA            PIC X(19).</v>
      </c>
      <c r="J24" s="480" t="str">
        <f t="shared" si="0"/>
        <v>0005309270300000442</v>
      </c>
    </row>
    <row r="25" spans="1:10" x14ac:dyDescent="0.2">
      <c r="A25" s="483">
        <f t="shared" si="1"/>
        <v>4</v>
      </c>
      <c r="B25" s="484">
        <f t="shared" si="2"/>
        <v>26</v>
      </c>
      <c r="C25" s="500">
        <v>3</v>
      </c>
      <c r="D25" s="485">
        <f t="shared" si="3"/>
        <v>28</v>
      </c>
      <c r="E25" s="488" t="s">
        <v>329</v>
      </c>
      <c r="F25" s="484"/>
      <c r="G25" s="497" t="s">
        <v>182</v>
      </c>
      <c r="H25" s="472"/>
      <c r="I25" s="479" t="str">
        <f>CONCATENATE("   02 XXFM5003-SECPLA            PIC X(0",C25,").")</f>
        <v xml:space="preserve">   02 XXFM5003-SECPLA            PIC X(03).</v>
      </c>
      <c r="J25" s="480" t="str">
        <f t="shared" si="0"/>
        <v>001</v>
      </c>
    </row>
    <row r="26" spans="1:10" x14ac:dyDescent="0.2">
      <c r="A26" s="483">
        <f t="shared" si="1"/>
        <v>5</v>
      </c>
      <c r="B26" s="484">
        <f t="shared" si="2"/>
        <v>29</v>
      </c>
      <c r="C26" s="500">
        <v>3</v>
      </c>
      <c r="D26" s="485">
        <f t="shared" si="3"/>
        <v>31</v>
      </c>
      <c r="E26" s="488" t="s">
        <v>329</v>
      </c>
      <c r="F26" s="484"/>
      <c r="G26" s="506" t="s">
        <v>100</v>
      </c>
      <c r="H26" s="472"/>
      <c r="I26" s="479" t="str">
        <f>CONCATENATE("   02 XXFM5003-LOGO            PIC X(0",C26,").")</f>
        <v xml:space="preserve">   02 XXFM5003-LOGO            PIC X(03).</v>
      </c>
      <c r="J26" s="482" t="str">
        <f t="shared" si="0"/>
        <v>003</v>
      </c>
    </row>
    <row r="27" spans="1:10" ht="25.5" x14ac:dyDescent="0.2">
      <c r="A27" s="483">
        <f t="shared" si="1"/>
        <v>6</v>
      </c>
      <c r="B27" s="484">
        <f t="shared" si="2"/>
        <v>32</v>
      </c>
      <c r="C27" s="500">
        <v>1</v>
      </c>
      <c r="D27" s="485">
        <f t="shared" si="3"/>
        <v>32</v>
      </c>
      <c r="E27" s="488" t="s">
        <v>330</v>
      </c>
      <c r="F27" s="484" t="s">
        <v>184</v>
      </c>
      <c r="G27" s="497" t="s">
        <v>183</v>
      </c>
      <c r="H27" s="472"/>
      <c r="I27" s="479" t="str">
        <f>CONCATENATE("   02 XXFM5003-TIPPLA            PIC X(0",C27,").")</f>
        <v xml:space="preserve">   02 XXFM5003-TIPPLA            PIC X(01).</v>
      </c>
      <c r="J27" s="480" t="str">
        <f t="shared" si="0"/>
        <v>S</v>
      </c>
    </row>
    <row r="28" spans="1:10" x14ac:dyDescent="0.2">
      <c r="A28" s="501">
        <f t="shared" si="1"/>
        <v>7</v>
      </c>
      <c r="B28" s="502">
        <f t="shared" si="2"/>
        <v>33</v>
      </c>
      <c r="C28" s="503">
        <v>5</v>
      </c>
      <c r="D28" s="504">
        <f t="shared" si="3"/>
        <v>37</v>
      </c>
      <c r="E28" s="505" t="s">
        <v>329</v>
      </c>
      <c r="F28" s="507"/>
      <c r="G28" s="506" t="s">
        <v>185</v>
      </c>
      <c r="H28" s="472"/>
      <c r="I28" s="479" t="str">
        <f>CONCATENATE("   02 XXFM5003-NUMPLA            PIC X(0",C28,").")</f>
        <v xml:space="preserve">   02 XXFM5003-NUMPLA            PIC X(05).</v>
      </c>
      <c r="J28" s="480" t="str">
        <f t="shared" si="0"/>
        <v>00248</v>
      </c>
    </row>
    <row r="29" spans="1:10" x14ac:dyDescent="0.2">
      <c r="A29" s="483">
        <f t="shared" si="1"/>
        <v>8</v>
      </c>
      <c r="B29" s="484">
        <f t="shared" si="2"/>
        <v>38</v>
      </c>
      <c r="C29" s="500">
        <v>8</v>
      </c>
      <c r="D29" s="485">
        <f t="shared" si="3"/>
        <v>45</v>
      </c>
      <c r="E29" s="488" t="s">
        <v>329</v>
      </c>
      <c r="F29" s="472" t="s">
        <v>30</v>
      </c>
      <c r="G29" s="497" t="s">
        <v>186</v>
      </c>
      <c r="H29" s="472"/>
      <c r="I29" s="479" t="str">
        <f>CONCATENATE("   02 XXFM5003-FECAPEPLA            PIC x(",C29,").")</f>
        <v xml:space="preserve">   02 XXFM5003-FECAPEPLA            PIC x(8).</v>
      </c>
      <c r="J29" s="480" t="str">
        <f t="shared" si="0"/>
        <v>20240227</v>
      </c>
    </row>
    <row r="30" spans="1:10" x14ac:dyDescent="0.2">
      <c r="A30" s="483">
        <f t="shared" si="1"/>
        <v>9</v>
      </c>
      <c r="B30" s="484">
        <f t="shared" si="2"/>
        <v>46</v>
      </c>
      <c r="C30" s="500">
        <v>8</v>
      </c>
      <c r="D30" s="485">
        <f t="shared" si="3"/>
        <v>53</v>
      </c>
      <c r="E30" s="488" t="s">
        <v>329</v>
      </c>
      <c r="F30" s="472" t="s">
        <v>30</v>
      </c>
      <c r="G30" s="526" t="s">
        <v>247</v>
      </c>
      <c r="H30" s="472" t="s">
        <v>187</v>
      </c>
      <c r="I30" s="479" t="str">
        <f>CONCATENATE("   02 XXFM5003-FECINIPLA            PIC X(0",C30,").")</f>
        <v xml:space="preserve">   02 XXFM5003-FECINIPLA            PIC X(08).</v>
      </c>
      <c r="J30" s="480" t="str">
        <f t="shared" si="0"/>
        <v>00000000</v>
      </c>
    </row>
    <row r="31" spans="1:10" x14ac:dyDescent="0.2">
      <c r="A31" s="483">
        <f t="shared" si="1"/>
        <v>10</v>
      </c>
      <c r="B31" s="484">
        <f t="shared" si="2"/>
        <v>54</v>
      </c>
      <c r="C31" s="500">
        <v>8</v>
      </c>
      <c r="D31" s="485">
        <f t="shared" si="3"/>
        <v>61</v>
      </c>
      <c r="E31" s="488" t="s">
        <v>329</v>
      </c>
      <c r="F31" s="472" t="s">
        <v>30</v>
      </c>
      <c r="G31" s="526" t="s">
        <v>248</v>
      </c>
      <c r="H31" s="472"/>
      <c r="I31" s="479" t="str">
        <f>CONCATENATE("   02 XXFM5003-FECACUINT            PIC X(0",C31,").")</f>
        <v xml:space="preserve">   02 XXFM5003-FECACUINT            PIC X(08).</v>
      </c>
      <c r="J31" s="480" t="str">
        <f t="shared" si="0"/>
        <v>20241020</v>
      </c>
    </row>
    <row r="32" spans="1:10" x14ac:dyDescent="0.2">
      <c r="A32" s="483">
        <f t="shared" si="1"/>
        <v>11</v>
      </c>
      <c r="B32" s="484">
        <f t="shared" si="2"/>
        <v>62</v>
      </c>
      <c r="C32" s="500">
        <v>8</v>
      </c>
      <c r="D32" s="485">
        <f t="shared" si="3"/>
        <v>69</v>
      </c>
      <c r="E32" s="488" t="s">
        <v>329</v>
      </c>
      <c r="F32" s="472" t="s">
        <v>30</v>
      </c>
      <c r="G32" s="497" t="s">
        <v>339</v>
      </c>
      <c r="H32" s="472" t="s">
        <v>187</v>
      </c>
      <c r="I32" s="479" t="str">
        <f>CONCATENATE("   02 XXFM5003-FECRES1            PIC X(0",C32,").")</f>
        <v xml:space="preserve">   02 XXFM5003-FECRES1            PIC X(08).</v>
      </c>
      <c r="J32" s="480" t="str">
        <f t="shared" si="0"/>
        <v>00000000</v>
      </c>
    </row>
    <row r="33" spans="1:10" x14ac:dyDescent="0.2">
      <c r="A33" s="483">
        <f t="shared" si="1"/>
        <v>12</v>
      </c>
      <c r="B33" s="484">
        <f t="shared" si="2"/>
        <v>70</v>
      </c>
      <c r="C33" s="500">
        <v>8</v>
      </c>
      <c r="D33" s="485">
        <f t="shared" si="3"/>
        <v>77</v>
      </c>
      <c r="E33" s="488" t="s">
        <v>329</v>
      </c>
      <c r="F33" s="472" t="s">
        <v>30</v>
      </c>
      <c r="G33" s="497" t="s">
        <v>340</v>
      </c>
      <c r="H33" s="472" t="s">
        <v>187</v>
      </c>
      <c r="I33" s="479" t="str">
        <f>CONCATENATE("   02 XXFM5003-FECRES2            PIC X(0",C33,").")</f>
        <v xml:space="preserve">   02 XXFM5003-FECRES2            PIC X(08).</v>
      </c>
      <c r="J33" s="480" t="str">
        <f t="shared" si="0"/>
        <v>00000000</v>
      </c>
    </row>
    <row r="34" spans="1:10" x14ac:dyDescent="0.2">
      <c r="A34" s="483">
        <f t="shared" si="1"/>
        <v>13</v>
      </c>
      <c r="B34" s="484">
        <f t="shared" si="2"/>
        <v>78</v>
      </c>
      <c r="C34" s="500">
        <v>8</v>
      </c>
      <c r="D34" s="485">
        <f t="shared" si="3"/>
        <v>85</v>
      </c>
      <c r="E34" s="488" t="s">
        <v>329</v>
      </c>
      <c r="F34" s="472" t="s">
        <v>30</v>
      </c>
      <c r="G34" s="497" t="s">
        <v>338</v>
      </c>
      <c r="H34" s="472"/>
      <c r="I34" s="479" t="str">
        <f>CONCATENATE("   02 XXFM5003-FECULTPAGFUL          PIC X(0",C34,").")</f>
        <v xml:space="preserve">   02 XXFM5003-FECULTPAGFUL          PIC X(08).</v>
      </c>
      <c r="J34" s="480" t="str">
        <f t="shared" si="0"/>
        <v>00000000</v>
      </c>
    </row>
    <row r="35" spans="1:10" x14ac:dyDescent="0.2">
      <c r="A35" s="474">
        <f t="shared" si="1"/>
        <v>14</v>
      </c>
      <c r="B35" s="475">
        <f t="shared" si="2"/>
        <v>86</v>
      </c>
      <c r="C35" s="508">
        <v>13</v>
      </c>
      <c r="D35" s="477">
        <f t="shared" si="3"/>
        <v>98</v>
      </c>
      <c r="E35" s="478" t="s">
        <v>329</v>
      </c>
      <c r="F35" s="473" t="s">
        <v>215</v>
      </c>
      <c r="G35" s="509" t="s">
        <v>249</v>
      </c>
      <c r="H35" s="472"/>
      <c r="I35" s="479" t="str">
        <f>CONCATENATE("   02 XXFM5003-SALINIFAC            PIC 9(",C35-2,")V99).")</f>
        <v xml:space="preserve">   02 XXFM5003-SALINIFAC            PIC 9(11)V99).</v>
      </c>
      <c r="J35" s="482" t="str">
        <f t="shared" si="0"/>
        <v>0000000000000</v>
      </c>
    </row>
    <row r="36" spans="1:10" ht="25.5" x14ac:dyDescent="0.2">
      <c r="A36" s="474">
        <f t="shared" si="1"/>
        <v>15</v>
      </c>
      <c r="B36" s="475">
        <f t="shared" si="2"/>
        <v>99</v>
      </c>
      <c r="C36" s="508">
        <v>1</v>
      </c>
      <c r="D36" s="477">
        <f t="shared" si="3"/>
        <v>99</v>
      </c>
      <c r="E36" s="478" t="s">
        <v>330</v>
      </c>
      <c r="F36" s="473"/>
      <c r="G36" s="509" t="s">
        <v>250</v>
      </c>
      <c r="H36" s="472"/>
      <c r="I36" s="479" t="str">
        <f>CONCATENATE("   02 XXFM5003-SIGSALINIFAC            PIC X(0",C36,").")</f>
        <v xml:space="preserve">   02 XXFM5003-SIGSALINIFAC            PIC X(01).</v>
      </c>
      <c r="J36" s="480" t="str">
        <f t="shared" si="0"/>
        <v>+</v>
      </c>
    </row>
    <row r="37" spans="1:10" x14ac:dyDescent="0.2">
      <c r="A37" s="510">
        <f t="shared" si="1"/>
        <v>16</v>
      </c>
      <c r="B37" s="511">
        <f t="shared" si="2"/>
        <v>100</v>
      </c>
      <c r="C37" s="512">
        <v>13</v>
      </c>
      <c r="D37" s="513">
        <f t="shared" si="3"/>
        <v>112</v>
      </c>
      <c r="E37" s="514" t="s">
        <v>329</v>
      </c>
      <c r="F37" s="515" t="s">
        <v>215</v>
      </c>
      <c r="G37" s="516" t="s">
        <v>189</v>
      </c>
      <c r="H37" s="472"/>
      <c r="I37" s="479" t="str">
        <f>CONCATENATE("   02 XXFM5003-DEBPLA          PIC 9(",C35-2,")V99).")</f>
        <v xml:space="preserve">   02 XXFM5003-DEBPLA          PIC 9(11)V99).</v>
      </c>
      <c r="J37" s="480" t="str">
        <f t="shared" si="0"/>
        <v>0000000173000</v>
      </c>
    </row>
    <row r="38" spans="1:10" x14ac:dyDescent="0.2">
      <c r="A38" s="510">
        <f t="shared" si="1"/>
        <v>17</v>
      </c>
      <c r="B38" s="511">
        <f t="shared" si="2"/>
        <v>113</v>
      </c>
      <c r="C38" s="512">
        <v>1</v>
      </c>
      <c r="D38" s="513">
        <f t="shared" si="3"/>
        <v>113</v>
      </c>
      <c r="E38" s="514" t="s">
        <v>330</v>
      </c>
      <c r="F38" s="515"/>
      <c r="G38" s="516" t="s">
        <v>188</v>
      </c>
      <c r="H38" s="472"/>
      <c r="I38" s="479" t="str">
        <f>CONCATENATE("   02 XXFM5003-SIGDEBPLA            PIC X(0",C38,").")</f>
        <v xml:space="preserve">   02 XXFM5003-SIGDEBPLA            PIC X(01).</v>
      </c>
      <c r="J38" s="480" t="str">
        <f t="shared" si="0"/>
        <v>+</v>
      </c>
    </row>
    <row r="39" spans="1:10" x14ac:dyDescent="0.2">
      <c r="A39" s="510">
        <f t="shared" si="1"/>
        <v>18</v>
      </c>
      <c r="B39" s="511">
        <f t="shared" si="2"/>
        <v>114</v>
      </c>
      <c r="C39" s="512">
        <v>13</v>
      </c>
      <c r="D39" s="513">
        <f t="shared" si="3"/>
        <v>126</v>
      </c>
      <c r="E39" s="514" t="s">
        <v>329</v>
      </c>
      <c r="F39" s="515" t="s">
        <v>215</v>
      </c>
      <c r="G39" s="516" t="s">
        <v>251</v>
      </c>
      <c r="H39" s="472"/>
      <c r="I39" s="479" t="str">
        <f>CONCATENATE("   02 XXFM5003-CREPLA           PIC 9(",C35-2,")V99).")</f>
        <v xml:space="preserve">   02 XXFM5003-CREPLA           PIC 9(11)V99).</v>
      </c>
      <c r="J39" s="480" t="str">
        <f t="shared" si="0"/>
        <v>0000000000000</v>
      </c>
    </row>
    <row r="40" spans="1:10" x14ac:dyDescent="0.2">
      <c r="A40" s="510">
        <f t="shared" si="1"/>
        <v>19</v>
      </c>
      <c r="B40" s="511">
        <f t="shared" si="2"/>
        <v>127</v>
      </c>
      <c r="C40" s="512">
        <v>1</v>
      </c>
      <c r="D40" s="513">
        <f t="shared" si="3"/>
        <v>127</v>
      </c>
      <c r="E40" s="514" t="s">
        <v>330</v>
      </c>
      <c r="F40" s="515"/>
      <c r="G40" s="516" t="s">
        <v>252</v>
      </c>
      <c r="H40" s="472"/>
      <c r="I40" s="479" t="str">
        <f>CONCATENATE("   02 XXFM5003-SIGCREPLA            PIC X(0",C40,").")</f>
        <v xml:space="preserve">   02 XXFM5003-SIGCREPLA            PIC X(01).</v>
      </c>
      <c r="J40" s="480" t="str">
        <f t="shared" si="0"/>
        <v>+</v>
      </c>
    </row>
    <row r="41" spans="1:10" x14ac:dyDescent="0.2">
      <c r="A41" s="474">
        <f t="shared" si="1"/>
        <v>20</v>
      </c>
      <c r="B41" s="475">
        <f t="shared" si="2"/>
        <v>128</v>
      </c>
      <c r="C41" s="508">
        <v>13</v>
      </c>
      <c r="D41" s="477">
        <f t="shared" si="3"/>
        <v>140</v>
      </c>
      <c r="E41" s="478" t="s">
        <v>329</v>
      </c>
      <c r="F41" s="473" t="s">
        <v>215</v>
      </c>
      <c r="G41" s="509" t="s">
        <v>190</v>
      </c>
      <c r="H41" s="472"/>
      <c r="I41" s="479" t="str">
        <f>CONCATENATE("   02 XXFM5003-IMPCAP            PIC 9(",C35-2,")V99).")</f>
        <v xml:space="preserve">   02 XXFM5003-IMPCAP            PIC 9(11)V99).</v>
      </c>
      <c r="J41" s="482" t="str">
        <f t="shared" si="0"/>
        <v>0000000173000</v>
      </c>
    </row>
    <row r="42" spans="1:10" x14ac:dyDescent="0.2">
      <c r="A42" s="474">
        <f t="shared" si="1"/>
        <v>21</v>
      </c>
      <c r="B42" s="475">
        <f t="shared" si="2"/>
        <v>141</v>
      </c>
      <c r="C42" s="476">
        <v>1</v>
      </c>
      <c r="D42" s="477">
        <f t="shared" si="3"/>
        <v>141</v>
      </c>
      <c r="E42" s="478" t="s">
        <v>330</v>
      </c>
      <c r="F42" s="473"/>
      <c r="G42" s="473" t="s">
        <v>191</v>
      </c>
      <c r="H42" s="472"/>
      <c r="I42" s="479" t="str">
        <f>CONCATENATE("   02 XXFM5003-SIGIMPCAP            PIC X(0",C42,").")</f>
        <v xml:space="preserve">   02 XXFM5003-SIGIMPCAP            PIC X(01).</v>
      </c>
      <c r="J42" s="480" t="str">
        <f t="shared" si="0"/>
        <v>+</v>
      </c>
    </row>
    <row r="43" spans="1:10" ht="38.25" x14ac:dyDescent="0.2">
      <c r="A43" s="474">
        <f t="shared" si="1"/>
        <v>22</v>
      </c>
      <c r="B43" s="475">
        <f t="shared" si="2"/>
        <v>142</v>
      </c>
      <c r="C43" s="476">
        <v>13</v>
      </c>
      <c r="D43" s="477">
        <f t="shared" si="3"/>
        <v>154</v>
      </c>
      <c r="E43" s="478" t="s">
        <v>329</v>
      </c>
      <c r="F43" s="473" t="s">
        <v>215</v>
      </c>
      <c r="G43" s="527" t="s">
        <v>192</v>
      </c>
      <c r="H43" s="527" t="s">
        <v>526</v>
      </c>
      <c r="I43" s="479" t="str">
        <f>CONCATENATE("   02 XXFM5003-IMPINT           PIC 9(",C35-2,")V99).")</f>
        <v xml:space="preserve">   02 XXFM5003-IMPINT           PIC 9(11)V99).</v>
      </c>
      <c r="J43" s="482" t="str">
        <f t="shared" si="0"/>
        <v>0000000000000</v>
      </c>
    </row>
    <row r="44" spans="1:10" x14ac:dyDescent="0.2">
      <c r="A44" s="474">
        <f t="shared" si="1"/>
        <v>23</v>
      </c>
      <c r="B44" s="475">
        <f t="shared" si="2"/>
        <v>155</v>
      </c>
      <c r="C44" s="476">
        <v>13</v>
      </c>
      <c r="D44" s="477">
        <f t="shared" si="3"/>
        <v>167</v>
      </c>
      <c r="E44" s="478" t="s">
        <v>329</v>
      </c>
      <c r="F44" s="473" t="s">
        <v>215</v>
      </c>
      <c r="G44" s="473" t="s">
        <v>193</v>
      </c>
      <c r="H44" s="472"/>
      <c r="I44" s="479" t="str">
        <f>CONCATENATE("   02 XXFM5003-IMPSER           PIC 9(",C35-2,")V99).")</f>
        <v xml:space="preserve">   02 XXFM5003-IMPSER           PIC 9(11)V99).</v>
      </c>
      <c r="J44" s="482" t="str">
        <f t="shared" si="0"/>
        <v>0000000000000</v>
      </c>
    </row>
    <row r="45" spans="1:10" x14ac:dyDescent="0.2">
      <c r="A45" s="474">
        <f t="shared" si="1"/>
        <v>24</v>
      </c>
      <c r="B45" s="475">
        <f t="shared" si="2"/>
        <v>168</v>
      </c>
      <c r="C45" s="476">
        <v>13</v>
      </c>
      <c r="D45" s="477">
        <f t="shared" si="3"/>
        <v>180</v>
      </c>
      <c r="E45" s="478" t="s">
        <v>329</v>
      </c>
      <c r="F45" s="473" t="s">
        <v>215</v>
      </c>
      <c r="G45" s="473" t="s">
        <v>253</v>
      </c>
      <c r="H45" s="472"/>
      <c r="I45" s="479" t="str">
        <f>CONCATENATE("   02 XXFM5003-IMPCOMMOR           PIC 9(",C35-2,")V99).")</f>
        <v xml:space="preserve">   02 XXFM5003-IMPCOMMOR           PIC 9(11)V99).</v>
      </c>
      <c r="J45" s="480" t="str">
        <f t="shared" si="0"/>
        <v>0000000000000</v>
      </c>
    </row>
    <row r="46" spans="1:10" x14ac:dyDescent="0.2">
      <c r="A46" s="474">
        <f t="shared" si="1"/>
        <v>25</v>
      </c>
      <c r="B46" s="475">
        <f t="shared" si="2"/>
        <v>181</v>
      </c>
      <c r="C46" s="476">
        <v>13</v>
      </c>
      <c r="D46" s="477">
        <f t="shared" si="3"/>
        <v>193</v>
      </c>
      <c r="E46" s="478" t="s">
        <v>329</v>
      </c>
      <c r="F46" s="473" t="s">
        <v>215</v>
      </c>
      <c r="G46" s="473" t="s">
        <v>254</v>
      </c>
      <c r="H46" s="472"/>
      <c r="I46" s="479" t="str">
        <f>CONCATENATE("   02 XXFM5003-IMPCOMMEM           PIC 9(",C35-2,")V99).")</f>
        <v xml:space="preserve">   02 XXFM5003-IMPCOMMEM           PIC 9(11)V99).</v>
      </c>
      <c r="J46" s="480" t="str">
        <f t="shared" si="0"/>
        <v>0000000000000</v>
      </c>
    </row>
    <row r="47" spans="1:10" x14ac:dyDescent="0.2">
      <c r="A47" s="474">
        <f t="shared" si="1"/>
        <v>26</v>
      </c>
      <c r="B47" s="475">
        <f t="shared" si="2"/>
        <v>194</v>
      </c>
      <c r="C47" s="476">
        <v>13</v>
      </c>
      <c r="D47" s="477">
        <f t="shared" si="3"/>
        <v>206</v>
      </c>
      <c r="E47" s="478" t="s">
        <v>329</v>
      </c>
      <c r="F47" s="473" t="s">
        <v>215</v>
      </c>
      <c r="G47" s="473" t="s">
        <v>255</v>
      </c>
      <c r="H47" s="472"/>
      <c r="I47" s="479" t="str">
        <f>CONCATENATE("   02 XXFM5003-IMPSOB          PIC 9(",C35-2,")V99).")</f>
        <v xml:space="preserve">   02 XXFM5003-IMPSOB          PIC 9(11)V99).</v>
      </c>
      <c r="J47" s="480" t="str">
        <f t="shared" si="0"/>
        <v>0000000000000</v>
      </c>
    </row>
    <row r="48" spans="1:10" ht="25.5" x14ac:dyDescent="0.2">
      <c r="A48" s="474">
        <f t="shared" si="1"/>
        <v>27</v>
      </c>
      <c r="B48" s="475">
        <f t="shared" si="2"/>
        <v>207</v>
      </c>
      <c r="C48" s="476">
        <v>13</v>
      </c>
      <c r="D48" s="477">
        <f t="shared" si="3"/>
        <v>219</v>
      </c>
      <c r="E48" s="478" t="s">
        <v>329</v>
      </c>
      <c r="F48" s="473" t="s">
        <v>215</v>
      </c>
      <c r="G48" s="527" t="s">
        <v>256</v>
      </c>
      <c r="H48" s="527" t="s">
        <v>527</v>
      </c>
      <c r="I48" s="479" t="str">
        <f>CONCATENATE("   02 XXFM5003-IMPCOMSEG          PIC 9(",C35-2,")V99).")</f>
        <v xml:space="preserve">   02 XXFM5003-IMPCOMSEG          PIC 9(11)V99).</v>
      </c>
      <c r="J48" s="480" t="str">
        <f t="shared" si="0"/>
        <v>0000000000000</v>
      </c>
    </row>
    <row r="49" spans="1:10" x14ac:dyDescent="0.2">
      <c r="A49" s="474">
        <f t="shared" si="1"/>
        <v>28</v>
      </c>
      <c r="B49" s="475">
        <f t="shared" si="2"/>
        <v>220</v>
      </c>
      <c r="C49" s="476">
        <v>13</v>
      </c>
      <c r="D49" s="477">
        <f t="shared" si="3"/>
        <v>232</v>
      </c>
      <c r="E49" s="478" t="s">
        <v>329</v>
      </c>
      <c r="F49" s="473" t="s">
        <v>215</v>
      </c>
      <c r="G49" s="473" t="s">
        <v>257</v>
      </c>
      <c r="H49" s="472"/>
      <c r="I49" s="479" t="str">
        <f>CONCATENATE("   02 XXFM5003-IMPCOMREC          PIC 9(",C35-2,")V99).")</f>
        <v xml:space="preserve">   02 XXFM5003-IMPCOMREC          PIC 9(11)V99).</v>
      </c>
      <c r="J49" s="480" t="str">
        <f t="shared" si="0"/>
        <v>0000000000000</v>
      </c>
    </row>
    <row r="50" spans="1:10" x14ac:dyDescent="0.2">
      <c r="A50" s="474">
        <f t="shared" si="1"/>
        <v>29</v>
      </c>
      <c r="B50" s="475">
        <f t="shared" si="2"/>
        <v>233</v>
      </c>
      <c r="C50" s="476">
        <v>13</v>
      </c>
      <c r="D50" s="477">
        <f t="shared" si="3"/>
        <v>245</v>
      </c>
      <c r="E50" s="478" t="s">
        <v>329</v>
      </c>
      <c r="F50" s="473" t="s">
        <v>215</v>
      </c>
      <c r="G50" s="473" t="s">
        <v>258</v>
      </c>
      <c r="H50" s="472"/>
      <c r="I50" s="479" t="str">
        <f>CONCATENATE("   02 XXFM5003-IMPCOMCOB          PIC 9(",C35-2,")V99).")</f>
        <v xml:space="preserve">   02 XXFM5003-IMPCOMCOB          PIC 9(11)V99).</v>
      </c>
      <c r="J50" s="480" t="str">
        <f t="shared" si="0"/>
        <v>0000000000000</v>
      </c>
    </row>
    <row r="51" spans="1:10" x14ac:dyDescent="0.2">
      <c r="A51" s="474">
        <f t="shared" si="1"/>
        <v>30</v>
      </c>
      <c r="B51" s="475">
        <f t="shared" si="2"/>
        <v>246</v>
      </c>
      <c r="C51" s="476">
        <v>13</v>
      </c>
      <c r="D51" s="477">
        <f t="shared" si="3"/>
        <v>258</v>
      </c>
      <c r="E51" s="478" t="s">
        <v>329</v>
      </c>
      <c r="F51" s="473" t="s">
        <v>215</v>
      </c>
      <c r="G51" s="473" t="s">
        <v>259</v>
      </c>
      <c r="H51" s="472"/>
      <c r="I51" s="479" t="str">
        <f>CONCATENATE("   02 XXFM5003-IMPCOMCHQRCH           PIC 9(",C35-2,")V99).")</f>
        <v xml:space="preserve">   02 XXFM5003-IMPCOMCHQRCH           PIC 9(11)V99).</v>
      </c>
      <c r="J51" s="480" t="str">
        <f t="shared" si="0"/>
        <v>0000000000000</v>
      </c>
    </row>
    <row r="52" spans="1:10" x14ac:dyDescent="0.2">
      <c r="A52" s="483">
        <f t="shared" si="1"/>
        <v>31</v>
      </c>
      <c r="B52" s="484">
        <f t="shared" si="2"/>
        <v>259</v>
      </c>
      <c r="C52" s="517">
        <v>13</v>
      </c>
      <c r="D52" s="485">
        <f t="shared" si="3"/>
        <v>271</v>
      </c>
      <c r="E52" s="488" t="s">
        <v>329</v>
      </c>
      <c r="F52" s="472" t="s">
        <v>215</v>
      </c>
      <c r="G52" s="518" t="s">
        <v>194</v>
      </c>
      <c r="H52" s="472" t="s">
        <v>187</v>
      </c>
      <c r="I52" s="479" t="str">
        <f>CONCATENATE("   02 XXFM5003-IMPCAPPER          PIC 9(",C35-2,")V99).")</f>
        <v xml:space="preserve">   02 XXFM5003-IMPCAPPER          PIC 9(11)V99).</v>
      </c>
      <c r="J52" s="480" t="str">
        <f t="shared" si="0"/>
        <v>0000000000000</v>
      </c>
    </row>
    <row r="53" spans="1:10" x14ac:dyDescent="0.2">
      <c r="A53" s="483">
        <f t="shared" si="1"/>
        <v>32</v>
      </c>
      <c r="B53" s="484">
        <f t="shared" si="2"/>
        <v>272</v>
      </c>
      <c r="C53" s="517">
        <v>1</v>
      </c>
      <c r="D53" s="485">
        <f t="shared" si="3"/>
        <v>272</v>
      </c>
      <c r="E53" s="488" t="s">
        <v>330</v>
      </c>
      <c r="F53" s="472"/>
      <c r="G53" s="472" t="s">
        <v>195</v>
      </c>
      <c r="H53" s="472" t="s">
        <v>187</v>
      </c>
      <c r="I53" s="479" t="str">
        <f>CONCATENATE("   02 XXFM5003-SIGIMPCAPPER           PIC X(0",C53,").")</f>
        <v xml:space="preserve">   02 XXFM5003-SIGIMPCAPPER           PIC X(01).</v>
      </c>
      <c r="J53" s="480" t="str">
        <f t="shared" si="0"/>
        <v>+</v>
      </c>
    </row>
    <row r="54" spans="1:10" x14ac:dyDescent="0.2">
      <c r="A54" s="483">
        <f t="shared" si="1"/>
        <v>33</v>
      </c>
      <c r="B54" s="484">
        <f t="shared" si="2"/>
        <v>273</v>
      </c>
      <c r="C54" s="517">
        <v>13</v>
      </c>
      <c r="D54" s="485">
        <f t="shared" si="3"/>
        <v>285</v>
      </c>
      <c r="E54" s="488" t="s">
        <v>329</v>
      </c>
      <c r="F54" s="472" t="s">
        <v>215</v>
      </c>
      <c r="G54" s="518" t="s">
        <v>260</v>
      </c>
      <c r="H54" s="472" t="s">
        <v>187</v>
      </c>
      <c r="I54" s="479" t="str">
        <f>CONCATENATE("   02 XXFM5003-IMPINTPER            PIC 9(",C35-2,")V99).")</f>
        <v xml:space="preserve">   02 XXFM5003-IMPINTPER            PIC 9(11)V99).</v>
      </c>
      <c r="J54" s="480" t="str">
        <f t="shared" si="0"/>
        <v>0000000000000</v>
      </c>
    </row>
    <row r="55" spans="1:10" x14ac:dyDescent="0.2">
      <c r="A55" s="483">
        <f t="shared" si="1"/>
        <v>34</v>
      </c>
      <c r="B55" s="484">
        <f t="shared" si="2"/>
        <v>286</v>
      </c>
      <c r="C55" s="517">
        <v>13</v>
      </c>
      <c r="D55" s="485">
        <f t="shared" si="3"/>
        <v>298</v>
      </c>
      <c r="E55" s="488" t="s">
        <v>329</v>
      </c>
      <c r="F55" s="472" t="s">
        <v>215</v>
      </c>
      <c r="G55" s="518" t="s">
        <v>261</v>
      </c>
      <c r="H55" s="472" t="s">
        <v>187</v>
      </c>
      <c r="I55" s="479" t="str">
        <f>CONCATENATE("   02 XXFM5003-IMPSERPER           PIC 9(",C35-2,")V99).")</f>
        <v xml:space="preserve">   02 XXFM5003-IMPSERPER           PIC 9(11)V99).</v>
      </c>
      <c r="J55" s="480" t="str">
        <f t="shared" si="0"/>
        <v>0000000000000</v>
      </c>
    </row>
    <row r="56" spans="1:10" ht="25.5" x14ac:dyDescent="0.2">
      <c r="A56" s="483">
        <f t="shared" si="1"/>
        <v>35</v>
      </c>
      <c r="B56" s="484">
        <f t="shared" si="2"/>
        <v>299</v>
      </c>
      <c r="C56" s="517">
        <v>13</v>
      </c>
      <c r="D56" s="485">
        <f t="shared" si="3"/>
        <v>311</v>
      </c>
      <c r="E56" s="488" t="s">
        <v>329</v>
      </c>
      <c r="F56" s="472" t="s">
        <v>215</v>
      </c>
      <c r="G56" s="518" t="s">
        <v>262</v>
      </c>
      <c r="H56" s="472" t="s">
        <v>187</v>
      </c>
      <c r="I56" s="479" t="str">
        <f>CONCATENATE("   02 XXFM5003-IMPCOMMORPER          PIC 9(",C35-2,")V99).")</f>
        <v xml:space="preserve">   02 XXFM5003-IMPCOMMORPER          PIC 9(11)V99).</v>
      </c>
      <c r="J56" s="480" t="str">
        <f t="shared" si="0"/>
        <v>0000000000000</v>
      </c>
    </row>
    <row r="57" spans="1:10" x14ac:dyDescent="0.2">
      <c r="A57" s="483">
        <f t="shared" si="1"/>
        <v>36</v>
      </c>
      <c r="B57" s="484">
        <f t="shared" si="2"/>
        <v>312</v>
      </c>
      <c r="C57" s="517">
        <v>13</v>
      </c>
      <c r="D57" s="485">
        <f t="shared" si="3"/>
        <v>324</v>
      </c>
      <c r="E57" s="488" t="s">
        <v>329</v>
      </c>
      <c r="F57" s="472" t="s">
        <v>215</v>
      </c>
      <c r="G57" s="518" t="s">
        <v>263</v>
      </c>
      <c r="H57" s="472" t="s">
        <v>187</v>
      </c>
      <c r="I57" s="479" t="str">
        <f>CONCATENATE("   02 XXFM5003-IMPCOMMEMPER           PIC 9(",C35-2,")V99).")</f>
        <v xml:space="preserve">   02 XXFM5003-IMPCOMMEMPER           PIC 9(11)V99).</v>
      </c>
      <c r="J57" s="480" t="str">
        <f t="shared" si="0"/>
        <v>0000000000000</v>
      </c>
    </row>
    <row r="58" spans="1:10" x14ac:dyDescent="0.2">
      <c r="A58" s="483">
        <f t="shared" si="1"/>
        <v>37</v>
      </c>
      <c r="B58" s="484">
        <f t="shared" si="2"/>
        <v>325</v>
      </c>
      <c r="C58" s="517">
        <v>13</v>
      </c>
      <c r="D58" s="485">
        <f t="shared" si="3"/>
        <v>337</v>
      </c>
      <c r="E58" s="488" t="s">
        <v>329</v>
      </c>
      <c r="F58" s="472" t="s">
        <v>215</v>
      </c>
      <c r="G58" s="518" t="s">
        <v>264</v>
      </c>
      <c r="H58" s="472" t="s">
        <v>187</v>
      </c>
      <c r="I58" s="479" t="str">
        <f>CONCATENATE("   02 XXFM5003-IMPSOBPER           PIC 9(",C35-2,")V99).")</f>
        <v xml:space="preserve">   02 XXFM5003-IMPSOBPER           PIC 9(11)V99).</v>
      </c>
      <c r="J58" s="480" t="str">
        <f t="shared" si="0"/>
        <v>0000000000000</v>
      </c>
    </row>
    <row r="59" spans="1:10" x14ac:dyDescent="0.2">
      <c r="A59" s="483">
        <f t="shared" si="1"/>
        <v>38</v>
      </c>
      <c r="B59" s="484">
        <f t="shared" si="2"/>
        <v>338</v>
      </c>
      <c r="C59" s="517">
        <v>13</v>
      </c>
      <c r="D59" s="485">
        <f t="shared" si="3"/>
        <v>350</v>
      </c>
      <c r="E59" s="488" t="s">
        <v>329</v>
      </c>
      <c r="F59" s="472" t="s">
        <v>215</v>
      </c>
      <c r="G59" s="518" t="s">
        <v>196</v>
      </c>
      <c r="H59" s="472" t="s">
        <v>187</v>
      </c>
      <c r="I59" s="479" t="str">
        <f>CONCATENATE("   02 XXFM5003-IMPSEGPER           PIC 9(",C35-2,")V99).")</f>
        <v xml:space="preserve">   02 XXFM5003-IMPSEGPER           PIC 9(11)V99).</v>
      </c>
      <c r="J59" s="480" t="str">
        <f t="shared" si="0"/>
        <v>0000000000000</v>
      </c>
    </row>
    <row r="60" spans="1:10" x14ac:dyDescent="0.2">
      <c r="A60" s="483">
        <f t="shared" si="1"/>
        <v>39</v>
      </c>
      <c r="B60" s="484">
        <f t="shared" si="2"/>
        <v>351</v>
      </c>
      <c r="C60" s="517">
        <v>13</v>
      </c>
      <c r="D60" s="485">
        <f t="shared" si="3"/>
        <v>363</v>
      </c>
      <c r="E60" s="488" t="s">
        <v>329</v>
      </c>
      <c r="F60" s="472" t="s">
        <v>215</v>
      </c>
      <c r="G60" s="518" t="s">
        <v>265</v>
      </c>
      <c r="H60" s="472" t="s">
        <v>187</v>
      </c>
      <c r="I60" s="479" t="str">
        <f>CONCATENATE("   02 XXFM5003-IMPRECPER          PIC 9(",C35-2,")V99).")</f>
        <v xml:space="preserve">   02 XXFM5003-IMPRECPER          PIC 9(11)V99).</v>
      </c>
      <c r="J60" s="480" t="str">
        <f t="shared" si="0"/>
        <v>0000000000000</v>
      </c>
    </row>
    <row r="61" spans="1:10" x14ac:dyDescent="0.2">
      <c r="A61" s="483">
        <f t="shared" si="1"/>
        <v>40</v>
      </c>
      <c r="B61" s="484">
        <f t="shared" si="2"/>
        <v>364</v>
      </c>
      <c r="C61" s="517">
        <v>13</v>
      </c>
      <c r="D61" s="485">
        <f t="shared" si="3"/>
        <v>376</v>
      </c>
      <c r="E61" s="488" t="s">
        <v>329</v>
      </c>
      <c r="F61" s="472" t="s">
        <v>215</v>
      </c>
      <c r="G61" s="518" t="s">
        <v>197</v>
      </c>
      <c r="H61" s="472" t="s">
        <v>187</v>
      </c>
      <c r="I61" s="479" t="str">
        <f>CONCATENATE("   02 XXFM5003-IMPCOBPER           PIC 9(",C35-2,")V99).")</f>
        <v xml:space="preserve">   02 XXFM5003-IMPCOBPER           PIC 9(11)V99).</v>
      </c>
      <c r="J61" s="480" t="str">
        <f t="shared" si="0"/>
        <v>0000000000000</v>
      </c>
    </row>
    <row r="62" spans="1:10" ht="25.5" x14ac:dyDescent="0.2">
      <c r="A62" s="483">
        <f t="shared" si="1"/>
        <v>41</v>
      </c>
      <c r="B62" s="484">
        <f t="shared" si="2"/>
        <v>377</v>
      </c>
      <c r="C62" s="517">
        <v>13</v>
      </c>
      <c r="D62" s="485">
        <f t="shared" si="3"/>
        <v>389</v>
      </c>
      <c r="E62" s="488" t="s">
        <v>329</v>
      </c>
      <c r="F62" s="472" t="s">
        <v>215</v>
      </c>
      <c r="G62" s="518" t="s">
        <v>266</v>
      </c>
      <c r="H62" s="472" t="s">
        <v>187</v>
      </c>
      <c r="I62" s="479" t="str">
        <f>CONCATENATE("   02 XXFM5003-IMPCOMCHQDEVPER          PIC 9(",C35-2,")V99).")</f>
        <v xml:space="preserve">   02 XXFM5003-IMPCOMCHQDEVPER          PIC 9(11)V99).</v>
      </c>
      <c r="J62" s="480" t="str">
        <f t="shared" si="0"/>
        <v>0000000000000</v>
      </c>
    </row>
    <row r="63" spans="1:10" x14ac:dyDescent="0.2">
      <c r="A63" s="483">
        <f t="shared" si="1"/>
        <v>42</v>
      </c>
      <c r="B63" s="484">
        <f t="shared" si="2"/>
        <v>390</v>
      </c>
      <c r="C63" s="517">
        <v>13</v>
      </c>
      <c r="D63" s="485">
        <f t="shared" si="3"/>
        <v>402</v>
      </c>
      <c r="E63" s="488" t="s">
        <v>330</v>
      </c>
      <c r="F63" s="472" t="s">
        <v>215</v>
      </c>
      <c r="G63" s="472" t="s">
        <v>528</v>
      </c>
      <c r="H63" s="472"/>
      <c r="I63" s="479" t="str">
        <f>CONCATENATE("   02 XXFM5003-IMPSEGDES           PIC 9(",C35-2,")V99).")</f>
        <v xml:space="preserve">   02 XXFM5003-IMPSEGDES           PIC 9(11)V99).</v>
      </c>
      <c r="J63" s="480" t="str">
        <f t="shared" si="0"/>
        <v>0000000000000</v>
      </c>
    </row>
    <row r="64" spans="1:10" x14ac:dyDescent="0.2">
      <c r="A64" s="501">
        <f t="shared" si="1"/>
        <v>43</v>
      </c>
      <c r="B64" s="502">
        <f t="shared" si="2"/>
        <v>403</v>
      </c>
      <c r="C64" s="519">
        <v>13</v>
      </c>
      <c r="D64" s="504">
        <f t="shared" si="3"/>
        <v>415</v>
      </c>
      <c r="E64" s="505" t="s">
        <v>329</v>
      </c>
      <c r="F64" s="507" t="s">
        <v>215</v>
      </c>
      <c r="G64" s="507" t="s">
        <v>199</v>
      </c>
      <c r="H64" s="472"/>
      <c r="I64" s="479" t="str">
        <f>CONCATENATE("   02 XXFM5003-IMPSAL            PIC 9(",C35-2,")V99).")</f>
        <v xml:space="preserve">   02 XXFM5003-IMPSAL            PIC 9(11)V99).</v>
      </c>
      <c r="J64" s="482" t="str">
        <f t="shared" si="0"/>
        <v>0000000173000</v>
      </c>
    </row>
    <row r="65" spans="1:10" x14ac:dyDescent="0.2">
      <c r="A65" s="501">
        <f t="shared" si="1"/>
        <v>44</v>
      </c>
      <c r="B65" s="502">
        <f t="shared" si="2"/>
        <v>416</v>
      </c>
      <c r="C65" s="519">
        <v>1</v>
      </c>
      <c r="D65" s="504">
        <f t="shared" si="3"/>
        <v>416</v>
      </c>
      <c r="E65" s="505" t="s">
        <v>330</v>
      </c>
      <c r="F65" s="507"/>
      <c r="G65" s="507" t="s">
        <v>200</v>
      </c>
      <c r="H65" s="472"/>
      <c r="I65" s="479" t="str">
        <f>CONCATENATE("   02 XXFM5003-SIGIMPSAL            PIC X(0",C65,").")</f>
        <v xml:space="preserve">   02 XXFM5003-SIGIMPSAL            PIC X(01).</v>
      </c>
      <c r="J65" s="480" t="str">
        <f t="shared" si="0"/>
        <v>+</v>
      </c>
    </row>
    <row r="66" spans="1:10" x14ac:dyDescent="0.2">
      <c r="A66" s="483">
        <f t="shared" si="1"/>
        <v>45</v>
      </c>
      <c r="B66" s="484">
        <f t="shared" si="2"/>
        <v>417</v>
      </c>
      <c r="C66" s="517">
        <v>1</v>
      </c>
      <c r="D66" s="485">
        <f t="shared" si="3"/>
        <v>417</v>
      </c>
      <c r="E66" s="488" t="s">
        <v>329</v>
      </c>
      <c r="F66" s="472" t="s">
        <v>202</v>
      </c>
      <c r="G66" s="472" t="s">
        <v>201</v>
      </c>
      <c r="H66" s="472"/>
      <c r="I66" s="479" t="str">
        <f>CONCATENATE("   02 XXFM5003-TIPTAS            PIC X(0",C66,").")</f>
        <v xml:space="preserve">   02 XXFM5003-TIPTAS            PIC X(01).</v>
      </c>
      <c r="J66" s="480" t="str">
        <f t="shared" si="0"/>
        <v>Z</v>
      </c>
    </row>
    <row r="67" spans="1:10" x14ac:dyDescent="0.2">
      <c r="A67" s="483">
        <f t="shared" si="1"/>
        <v>46</v>
      </c>
      <c r="B67" s="484">
        <f t="shared" si="2"/>
        <v>418</v>
      </c>
      <c r="C67" s="517">
        <v>7</v>
      </c>
      <c r="D67" s="485">
        <f t="shared" si="3"/>
        <v>424</v>
      </c>
      <c r="E67" s="488" t="s">
        <v>329</v>
      </c>
      <c r="F67" s="472" t="s">
        <v>203</v>
      </c>
      <c r="G67" s="472" t="s">
        <v>204</v>
      </c>
      <c r="H67" s="472"/>
      <c r="I67" s="479" t="str">
        <f>CONCATENATE("   02 XXFM5003-TASTNA           PIC V9(0",C67,").")</f>
        <v xml:space="preserve">   02 XXFM5003-TASTNA           PIC V9(07).</v>
      </c>
      <c r="J67" s="480" t="str">
        <f t="shared" si="0"/>
        <v>0000000</v>
      </c>
    </row>
    <row r="68" spans="1:10" x14ac:dyDescent="0.2">
      <c r="A68" s="483">
        <f t="shared" si="1"/>
        <v>47</v>
      </c>
      <c r="B68" s="484">
        <f t="shared" si="2"/>
        <v>425</v>
      </c>
      <c r="C68" s="517">
        <v>7</v>
      </c>
      <c r="D68" s="485">
        <f t="shared" si="3"/>
        <v>431</v>
      </c>
      <c r="E68" s="488" t="s">
        <v>329</v>
      </c>
      <c r="F68" s="472" t="s">
        <v>203</v>
      </c>
      <c r="G68" s="472" t="s">
        <v>205</v>
      </c>
      <c r="H68" s="472"/>
      <c r="I68" s="479" t="str">
        <f>CONCATENATE("   02 XXFM5003-TASTNA 1          PIC V9(0",C68,").")</f>
        <v xml:space="preserve">   02 XXFM5003-TASTNA 1          PIC V9(07).</v>
      </c>
      <c r="J68" s="480" t="str">
        <f t="shared" si="0"/>
        <v>0000000</v>
      </c>
    </row>
    <row r="69" spans="1:10" ht="25.5" x14ac:dyDescent="0.2">
      <c r="A69" s="483">
        <f t="shared" si="1"/>
        <v>48</v>
      </c>
      <c r="B69" s="484">
        <f t="shared" si="2"/>
        <v>432</v>
      </c>
      <c r="C69" s="517">
        <v>13</v>
      </c>
      <c r="D69" s="485">
        <f t="shared" si="3"/>
        <v>444</v>
      </c>
      <c r="E69" s="488" t="s">
        <v>329</v>
      </c>
      <c r="F69" s="472" t="s">
        <v>215</v>
      </c>
      <c r="G69" s="472" t="s">
        <v>341</v>
      </c>
      <c r="H69" s="472"/>
      <c r="I69" s="479" t="str">
        <f>CONCATENATE("   02 XXFM5003-SNUMSALCALINT     PIC 9(",C70-2,")V99).")</f>
        <v xml:space="preserve">   02 XXFM5003-SNUMSALCALINT     PIC 9(11)V99).</v>
      </c>
      <c r="J69" s="480" t="str">
        <f t="shared" si="0"/>
        <v>0000000000000</v>
      </c>
    </row>
    <row r="70" spans="1:10" x14ac:dyDescent="0.2">
      <c r="A70" s="501">
        <f t="shared" si="1"/>
        <v>49</v>
      </c>
      <c r="B70" s="502">
        <f t="shared" si="2"/>
        <v>445</v>
      </c>
      <c r="C70" s="519">
        <v>13</v>
      </c>
      <c r="D70" s="504">
        <f t="shared" si="3"/>
        <v>457</v>
      </c>
      <c r="E70" s="505" t="s">
        <v>329</v>
      </c>
      <c r="F70" s="507" t="s">
        <v>216</v>
      </c>
      <c r="G70" s="527" t="s">
        <v>267</v>
      </c>
      <c r="H70" s="472"/>
      <c r="I70" s="479" t="str">
        <f>CONCATENATE("   02 XXFM5003-IMPINTACU          PIC 9(0",C70-4,")V9(04).")</f>
        <v xml:space="preserve">   02 XXFM5003-IMPINTACU          PIC 9(09)V9(04).</v>
      </c>
      <c r="J70" s="480" t="str">
        <f t="shared" si="0"/>
        <v>0000000000000</v>
      </c>
    </row>
    <row r="71" spans="1:10" x14ac:dyDescent="0.2">
      <c r="A71" s="539">
        <f t="shared" si="1"/>
        <v>50</v>
      </c>
      <c r="B71" s="540">
        <f t="shared" si="2"/>
        <v>458</v>
      </c>
      <c r="C71" s="541">
        <v>13</v>
      </c>
      <c r="D71" s="542">
        <f t="shared" si="3"/>
        <v>470</v>
      </c>
      <c r="E71" s="543" t="s">
        <v>329</v>
      </c>
      <c r="F71" s="544" t="s">
        <v>216</v>
      </c>
      <c r="G71" s="544" t="s">
        <v>268</v>
      </c>
      <c r="H71" s="472"/>
      <c r="I71" s="479" t="str">
        <f>CONCATENATE("   02 XXFM5003-IMPINTDIA         PIC 9(0",C70-4,")V9(04).")</f>
        <v xml:space="preserve">   02 XXFM5003-IMPINTDIA         PIC 9(09)V9(04).</v>
      </c>
      <c r="J71" s="480" t="str">
        <f t="shared" si="0"/>
        <v>0000000000000</v>
      </c>
    </row>
    <row r="72" spans="1:10" ht="25.5" x14ac:dyDescent="0.2">
      <c r="A72" s="501">
        <f t="shared" si="1"/>
        <v>51</v>
      </c>
      <c r="B72" s="502">
        <f t="shared" si="2"/>
        <v>471</v>
      </c>
      <c r="C72" s="519">
        <v>13</v>
      </c>
      <c r="D72" s="504">
        <f t="shared" si="3"/>
        <v>483</v>
      </c>
      <c r="E72" s="505" t="s">
        <v>329</v>
      </c>
      <c r="F72" s="507" t="s">
        <v>215</v>
      </c>
      <c r="G72" s="527" t="s">
        <v>269</v>
      </c>
      <c r="H72" s="472"/>
      <c r="I72" s="479" t="str">
        <f>CONCATENATE("   02 XXFM5003-INTCALULTESTCTA     PIC 9(",C70-2,")V99).")</f>
        <v xml:space="preserve">   02 XXFM5003-INTCALULTESTCTA     PIC 9(11)V99).</v>
      </c>
      <c r="J72" s="480" t="str">
        <f t="shared" si="0"/>
        <v>0000000000000</v>
      </c>
    </row>
    <row r="73" spans="1:10" x14ac:dyDescent="0.2">
      <c r="A73" s="501">
        <f t="shared" si="1"/>
        <v>52</v>
      </c>
      <c r="B73" s="502">
        <f t="shared" si="2"/>
        <v>484</v>
      </c>
      <c r="C73" s="519">
        <v>13</v>
      </c>
      <c r="D73" s="504">
        <f t="shared" si="3"/>
        <v>496</v>
      </c>
      <c r="E73" s="505" t="s">
        <v>329</v>
      </c>
      <c r="F73" s="507" t="s">
        <v>215</v>
      </c>
      <c r="G73" s="527" t="s">
        <v>270</v>
      </c>
      <c r="H73" s="472"/>
      <c r="I73" s="479" t="str">
        <f>CONCATENATE("   02 XXFM5003-IMPINTDIF      PIC 9(",C70-2,")V99).")</f>
        <v xml:space="preserve">   02 XXFM5003-IMPINTDIF      PIC 9(11)V99).</v>
      </c>
      <c r="J73" s="480" t="str">
        <f t="shared" si="0"/>
        <v>0000000000000</v>
      </c>
    </row>
    <row r="74" spans="1:10" x14ac:dyDescent="0.2">
      <c r="A74" s="483">
        <f t="shared" si="1"/>
        <v>53</v>
      </c>
      <c r="B74" s="484">
        <f t="shared" si="2"/>
        <v>497</v>
      </c>
      <c r="C74" s="517">
        <v>13</v>
      </c>
      <c r="D74" s="485">
        <f t="shared" si="3"/>
        <v>509</v>
      </c>
      <c r="E74" s="488" t="s">
        <v>329</v>
      </c>
      <c r="F74" s="472" t="s">
        <v>215</v>
      </c>
      <c r="G74" s="472" t="s">
        <v>206</v>
      </c>
      <c r="H74" s="472"/>
      <c r="I74" s="479" t="str">
        <f>CONCATENATE("   02 XXFM5003-IMPPAGMES    PIC 9(",C70-2,")V99).")</f>
        <v xml:space="preserve">   02 XXFM5003-IMPPAGMES    PIC 9(11)V99).</v>
      </c>
      <c r="J74" s="480" t="str">
        <f t="shared" si="0"/>
        <v>0000000000000</v>
      </c>
    </row>
    <row r="75" spans="1:10" x14ac:dyDescent="0.2">
      <c r="A75" s="483">
        <f t="shared" si="1"/>
        <v>54</v>
      </c>
      <c r="B75" s="484">
        <f t="shared" si="2"/>
        <v>510</v>
      </c>
      <c r="C75" s="517">
        <v>13</v>
      </c>
      <c r="D75" s="485">
        <f t="shared" si="3"/>
        <v>522</v>
      </c>
      <c r="E75" s="488" t="s">
        <v>329</v>
      </c>
      <c r="F75" s="472" t="s">
        <v>215</v>
      </c>
      <c r="G75" s="472" t="s">
        <v>207</v>
      </c>
      <c r="H75" s="472"/>
      <c r="I75" s="479" t="str">
        <f>CONCATENATE("   02 XXFM5003-SIMPSALMASALT         PIC 9(",C70-2,")V99).")</f>
        <v xml:space="preserve">   02 XXFM5003-SIMPSALMASALT         PIC 9(11)V99).</v>
      </c>
      <c r="J75" s="480" t="str">
        <f t="shared" si="0"/>
        <v>0000000001730</v>
      </c>
    </row>
    <row r="76" spans="1:10" x14ac:dyDescent="0.2">
      <c r="A76" s="483">
        <f t="shared" si="1"/>
        <v>55</v>
      </c>
      <c r="B76" s="484">
        <f t="shared" si="2"/>
        <v>523</v>
      </c>
      <c r="C76" s="517">
        <v>13</v>
      </c>
      <c r="D76" s="485">
        <f t="shared" si="3"/>
        <v>535</v>
      </c>
      <c r="E76" s="488" t="s">
        <v>329</v>
      </c>
      <c r="F76" s="472" t="s">
        <v>215</v>
      </c>
      <c r="G76" s="472" t="s">
        <v>208</v>
      </c>
      <c r="H76" s="472"/>
      <c r="I76" s="479" t="str">
        <f>CONCATENATE("   02 XXFM5003-IMPPAGFIJ       PIC 9(",C70-2,")V99).")</f>
        <v xml:space="preserve">   02 XXFM5003-IMPPAGFIJ       PIC 9(11)V99).</v>
      </c>
      <c r="J76" s="480" t="str">
        <f t="shared" si="0"/>
        <v>0000000000000</v>
      </c>
    </row>
    <row r="77" spans="1:10" x14ac:dyDescent="0.2">
      <c r="A77" s="483">
        <f t="shared" si="1"/>
        <v>56</v>
      </c>
      <c r="B77" s="484">
        <f t="shared" si="2"/>
        <v>536</v>
      </c>
      <c r="C77" s="517">
        <v>13</v>
      </c>
      <c r="D77" s="485">
        <f t="shared" si="3"/>
        <v>548</v>
      </c>
      <c r="E77" s="488" t="s">
        <v>329</v>
      </c>
      <c r="F77" s="472" t="s">
        <v>215</v>
      </c>
      <c r="G77" s="472" t="s">
        <v>271</v>
      </c>
      <c r="H77" s="472"/>
      <c r="I77" s="479" t="str">
        <f>CONCATENATE("   02 XXFM5003-IMPULTPAGREQ          PIC 9(",C70-2,")V99).")</f>
        <v xml:space="preserve">   02 XXFM5003-IMPULTPAGREQ          PIC 9(11)V99).</v>
      </c>
      <c r="J77" s="480" t="str">
        <f t="shared" si="0"/>
        <v>0000000000000</v>
      </c>
    </row>
    <row r="78" spans="1:10" x14ac:dyDescent="0.2">
      <c r="A78" s="483">
        <f t="shared" si="1"/>
        <v>57</v>
      </c>
      <c r="B78" s="484">
        <f t="shared" si="2"/>
        <v>549</v>
      </c>
      <c r="C78" s="517">
        <v>8</v>
      </c>
      <c r="D78" s="485">
        <f t="shared" si="3"/>
        <v>556</v>
      </c>
      <c r="E78" s="488" t="s">
        <v>329</v>
      </c>
      <c r="F78" s="472"/>
      <c r="G78" s="472" t="s">
        <v>209</v>
      </c>
      <c r="H78" s="472"/>
      <c r="I78" s="479" t="str">
        <f>CONCATENATE("   02 XXFM5003-FECULTPAG            PIC X(0",C78,").")</f>
        <v xml:space="preserve">   02 XXFM5003-FECULTPAG            PIC X(08).</v>
      </c>
      <c r="J78" s="480" t="str">
        <f t="shared" si="0"/>
        <v>00000000</v>
      </c>
    </row>
    <row r="79" spans="1:10" x14ac:dyDescent="0.2">
      <c r="A79" s="483">
        <f t="shared" si="1"/>
        <v>58</v>
      </c>
      <c r="B79" s="484">
        <f t="shared" si="2"/>
        <v>557</v>
      </c>
      <c r="C79" s="517">
        <v>13</v>
      </c>
      <c r="D79" s="485">
        <f t="shared" si="3"/>
        <v>569</v>
      </c>
      <c r="E79" s="488" t="s">
        <v>329</v>
      </c>
      <c r="F79" s="472" t="s">
        <v>215</v>
      </c>
      <c r="G79" s="472" t="s">
        <v>210</v>
      </c>
      <c r="H79" s="472"/>
      <c r="I79" s="479" t="str">
        <f>CONCATENATE("   02 XXFM5003-IMPULTPAG            PIC 9(",C70-2,")V99).")</f>
        <v xml:space="preserve">   02 XXFM5003-IMPULTPAG            PIC 9(11)V99).</v>
      </c>
      <c r="J79" s="480" t="str">
        <f t="shared" si="0"/>
        <v>0000000000000</v>
      </c>
    </row>
    <row r="80" spans="1:10" x14ac:dyDescent="0.2">
      <c r="A80" s="483">
        <f t="shared" si="1"/>
        <v>59</v>
      </c>
      <c r="B80" s="484">
        <f t="shared" si="2"/>
        <v>570</v>
      </c>
      <c r="C80" s="517">
        <v>13</v>
      </c>
      <c r="D80" s="485">
        <f t="shared" si="3"/>
        <v>582</v>
      </c>
      <c r="E80" s="488" t="s">
        <v>330</v>
      </c>
      <c r="F80" s="472" t="s">
        <v>215</v>
      </c>
      <c r="G80" s="472" t="s">
        <v>342</v>
      </c>
      <c r="H80" s="472"/>
      <c r="I80" s="479" t="str">
        <f>CONCATENATE("   02 XXFM5003-IMPULTPAGFAC        PIC 9(",C70-2,")V99).")</f>
        <v xml:space="preserve">   02 XXFM5003-IMPULTPAGFAC        PIC 9(11)V99).</v>
      </c>
      <c r="J80" s="480" t="str">
        <f t="shared" si="0"/>
        <v>0000000000000</v>
      </c>
    </row>
    <row r="81" spans="1:10" x14ac:dyDescent="0.2">
      <c r="A81" s="483">
        <f t="shared" si="1"/>
        <v>60</v>
      </c>
      <c r="B81" s="484">
        <f t="shared" si="2"/>
        <v>583</v>
      </c>
      <c r="C81" s="517">
        <v>13</v>
      </c>
      <c r="D81" s="485">
        <f t="shared" si="3"/>
        <v>595</v>
      </c>
      <c r="E81" s="488" t="s">
        <v>330</v>
      </c>
      <c r="F81" s="472" t="s">
        <v>215</v>
      </c>
      <c r="G81" s="507" t="s">
        <v>529</v>
      </c>
      <c r="H81" s="472" t="s">
        <v>1</v>
      </c>
      <c r="I81" s="479" t="str">
        <f>CONCATENATE("   02 XXFM5003-IMPCOMVAR             PIC 9(",C81-2,")V99).")</f>
        <v xml:space="preserve">   02 XXFM5003-IMPCOMVAR             PIC 9(11)V99).</v>
      </c>
      <c r="J81" s="480" t="str">
        <f t="shared" si="0"/>
        <v>0000000000000</v>
      </c>
    </row>
    <row r="82" spans="1:10" x14ac:dyDescent="0.2">
      <c r="A82" s="483">
        <f t="shared" si="1"/>
        <v>61</v>
      </c>
      <c r="B82" s="484">
        <f t="shared" si="2"/>
        <v>596</v>
      </c>
      <c r="C82" s="517">
        <v>1</v>
      </c>
      <c r="D82" s="485">
        <f t="shared" si="3"/>
        <v>596</v>
      </c>
      <c r="E82" s="488" t="s">
        <v>330</v>
      </c>
      <c r="F82" s="472"/>
      <c r="G82" s="472" t="s">
        <v>198</v>
      </c>
      <c r="H82" s="472" t="s">
        <v>1</v>
      </c>
      <c r="I82" s="479" t="str">
        <f>CONCATENATE("   02 XXFM5003-RESERV            PIC X(0",C82,").")</f>
        <v xml:space="preserve">   02 XXFM5003-RESERV            PIC X(01).</v>
      </c>
      <c r="J82" s="480" t="str">
        <f t="shared" si="0"/>
        <v>+</v>
      </c>
    </row>
    <row r="83" spans="1:10" x14ac:dyDescent="0.2">
      <c r="A83" s="483">
        <f t="shared" si="1"/>
        <v>62</v>
      </c>
      <c r="B83" s="484">
        <f t="shared" si="2"/>
        <v>597</v>
      </c>
      <c r="C83" s="517">
        <v>3</v>
      </c>
      <c r="D83" s="485">
        <f t="shared" si="3"/>
        <v>599</v>
      </c>
      <c r="E83" s="488" t="s">
        <v>330</v>
      </c>
      <c r="F83" s="472"/>
      <c r="G83" s="472" t="s">
        <v>272</v>
      </c>
      <c r="H83" s="472" t="s">
        <v>1</v>
      </c>
      <c r="I83" s="479" t="str">
        <f>CONCATENATE("   02 XXFM5003-SCODCALCLI            PIC X(0",C83,").")</f>
        <v xml:space="preserve">   02 XXFM5003-SCODCALCLI            PIC X(03).</v>
      </c>
      <c r="J83" s="480" t="str">
        <f t="shared" si="0"/>
        <v>STD</v>
      </c>
    </row>
    <row r="84" spans="1:10" x14ac:dyDescent="0.2">
      <c r="A84" s="520">
        <f t="shared" si="1"/>
        <v>63</v>
      </c>
      <c r="B84" s="521">
        <f t="shared" si="2"/>
        <v>600</v>
      </c>
      <c r="C84" s="522">
        <v>5</v>
      </c>
      <c r="D84" s="523">
        <f t="shared" si="3"/>
        <v>604</v>
      </c>
      <c r="E84" s="524" t="s">
        <v>329</v>
      </c>
      <c r="F84" s="525"/>
      <c r="G84" s="525" t="s">
        <v>273</v>
      </c>
      <c r="H84" s="472" t="s">
        <v>1</v>
      </c>
      <c r="I84" s="479" t="str">
        <f>CONCATENATE("   02 XXFM5003-DIASMOR            PIC 9(0",C84,").")</f>
        <v xml:space="preserve">   02 XXFM5003-DIASMOR            PIC 9(05).</v>
      </c>
      <c r="J84" s="480" t="str">
        <f t="shared" si="0"/>
        <v>00000</v>
      </c>
    </row>
    <row r="85" spans="1:10" x14ac:dyDescent="0.2">
      <c r="A85" s="483">
        <f t="shared" si="1"/>
        <v>64</v>
      </c>
      <c r="B85" s="484">
        <f t="shared" si="2"/>
        <v>605</v>
      </c>
      <c r="C85" s="517">
        <v>13</v>
      </c>
      <c r="D85" s="485">
        <f t="shared" si="3"/>
        <v>617</v>
      </c>
      <c r="E85" s="488" t="s">
        <v>329</v>
      </c>
      <c r="F85" s="472" t="s">
        <v>215</v>
      </c>
      <c r="G85" s="472" t="s">
        <v>211</v>
      </c>
      <c r="H85" s="472" t="s">
        <v>1</v>
      </c>
      <c r="I85" s="479" t="str">
        <f>CONCATENATE("   02 XXFM5003-IMPCAPFAC       PIC 9(",C70-2,")V99).")</f>
        <v xml:space="preserve">   02 XXFM5003-IMPCAPFAC       PIC 9(11)V99).</v>
      </c>
      <c r="J85" s="480" t="str">
        <f t="shared" si="0"/>
        <v>0000000000000</v>
      </c>
    </row>
    <row r="86" spans="1:10" x14ac:dyDescent="0.2">
      <c r="A86" s="483">
        <f t="shared" si="1"/>
        <v>65</v>
      </c>
      <c r="B86" s="484">
        <f t="shared" si="2"/>
        <v>618</v>
      </c>
      <c r="C86" s="517">
        <v>1</v>
      </c>
      <c r="D86" s="485">
        <f t="shared" si="3"/>
        <v>618</v>
      </c>
      <c r="E86" s="488" t="s">
        <v>330</v>
      </c>
      <c r="F86" s="472"/>
      <c r="G86" s="472" t="s">
        <v>212</v>
      </c>
      <c r="H86" s="472" t="s">
        <v>1</v>
      </c>
      <c r="I86" s="479" t="str">
        <f>CONCATENATE("   02 XXFM5003-SIGIMPCAPFAC           PIC X(0",C86,").")</f>
        <v xml:space="preserve">   02 XXFM5003-SIGIMPCAPFAC           PIC X(01).</v>
      </c>
      <c r="J86" s="480" t="str">
        <f t="shared" si="0"/>
        <v>+</v>
      </c>
    </row>
    <row r="87" spans="1:10" x14ac:dyDescent="0.2">
      <c r="A87" s="483">
        <f t="shared" si="1"/>
        <v>66</v>
      </c>
      <c r="B87" s="484">
        <f t="shared" si="2"/>
        <v>619</v>
      </c>
      <c r="C87" s="517">
        <v>13</v>
      </c>
      <c r="D87" s="485">
        <f t="shared" si="3"/>
        <v>631</v>
      </c>
      <c r="E87" s="488" t="s">
        <v>330</v>
      </c>
      <c r="F87" s="472"/>
      <c r="G87" s="472" t="s">
        <v>198</v>
      </c>
      <c r="H87" s="472" t="s">
        <v>1</v>
      </c>
      <c r="I87" s="479" t="str">
        <f>CONCATENATE("   02 XXFM5003-RESERV2            PIC X(0",C87,").")</f>
        <v xml:space="preserve">   02 XXFM5003-RESERV2            PIC X(013).</v>
      </c>
      <c r="J87" s="480" t="str">
        <f t="shared" ref="J87:J92" si="4">MID($B$94,B87,C87)</f>
        <v>0000000000000</v>
      </c>
    </row>
    <row r="88" spans="1:10" x14ac:dyDescent="0.2">
      <c r="A88" s="483">
        <f>A87+1</f>
        <v>67</v>
      </c>
      <c r="B88" s="484">
        <f>D87+1</f>
        <v>632</v>
      </c>
      <c r="C88" s="517">
        <v>1</v>
      </c>
      <c r="D88" s="485">
        <f>D87+C88</f>
        <v>632</v>
      </c>
      <c r="E88" s="488" t="s">
        <v>330</v>
      </c>
      <c r="F88" s="472"/>
      <c r="G88" s="472" t="s">
        <v>198</v>
      </c>
      <c r="H88" s="472" t="s">
        <v>1</v>
      </c>
      <c r="I88" s="479" t="str">
        <f>CONCATENATE("   02 XXFM5003-RESERV3            PIC X(0",C88,").")</f>
        <v xml:space="preserve">   02 XXFM5003-RESERV3            PIC X(01).</v>
      </c>
      <c r="J88" s="480" t="str">
        <f t="shared" si="4"/>
        <v>+</v>
      </c>
    </row>
    <row r="89" spans="1:10" x14ac:dyDescent="0.2">
      <c r="A89" s="483">
        <f>A88+1</f>
        <v>68</v>
      </c>
      <c r="B89" s="484">
        <f>D88+1</f>
        <v>633</v>
      </c>
      <c r="C89" s="517">
        <v>13</v>
      </c>
      <c r="D89" s="485">
        <f>D88+C89</f>
        <v>645</v>
      </c>
      <c r="E89" s="488" t="s">
        <v>329</v>
      </c>
      <c r="F89" s="472" t="s">
        <v>215</v>
      </c>
      <c r="G89" s="472" t="s">
        <v>179</v>
      </c>
      <c r="H89" s="472"/>
      <c r="I89" s="479" t="str">
        <f>CONCATENATE("   02 XXFM5003-IMPPAGCAPULT            PIC 9(",C70-2,")V99).")</f>
        <v xml:space="preserve">   02 XXFM5003-IMPPAGCAPULT            PIC 9(11)V99).</v>
      </c>
      <c r="J89" s="480" t="str">
        <f t="shared" si="4"/>
        <v>0000000000000</v>
      </c>
    </row>
    <row r="90" spans="1:10" x14ac:dyDescent="0.2">
      <c r="A90" s="483">
        <f>A89+1</f>
        <v>69</v>
      </c>
      <c r="B90" s="484">
        <f>D89+1</f>
        <v>646</v>
      </c>
      <c r="C90" s="517">
        <v>1</v>
      </c>
      <c r="D90" s="485">
        <f>D89+C90</f>
        <v>646</v>
      </c>
      <c r="E90" s="488" t="s">
        <v>330</v>
      </c>
      <c r="F90" s="472"/>
      <c r="G90" s="472" t="s">
        <v>213</v>
      </c>
      <c r="H90" s="472" t="s">
        <v>1</v>
      </c>
      <c r="I90" s="479" t="str">
        <f>CONCATENATE("   02 XXFM5003-SIGIMPPAGCAPULT            PIC X(0",C90,").")</f>
        <v xml:space="preserve">   02 XXFM5003-SIGIMPPAGCAPULT            PIC X(01).</v>
      </c>
      <c r="J90" s="480" t="str">
        <f t="shared" si="4"/>
        <v>+</v>
      </c>
    </row>
    <row r="91" spans="1:10" x14ac:dyDescent="0.2">
      <c r="A91" s="483">
        <f>A90+1</f>
        <v>70</v>
      </c>
      <c r="B91" s="484">
        <f>D90+1</f>
        <v>647</v>
      </c>
      <c r="C91" s="517">
        <v>13</v>
      </c>
      <c r="D91" s="485">
        <f>D90+C91</f>
        <v>659</v>
      </c>
      <c r="E91" s="488" t="s">
        <v>329</v>
      </c>
      <c r="F91" s="472" t="s">
        <v>215</v>
      </c>
      <c r="G91" s="472" t="s">
        <v>180</v>
      </c>
      <c r="H91" s="472" t="s">
        <v>1</v>
      </c>
      <c r="I91" s="479" t="str">
        <f>CONCATENATE("   02 XXFM5003-IMPPAGCAPULT         PIC 9(",C70-2,")V99).")</f>
        <v xml:space="preserve">   02 XXFM5003-IMPPAGCAPULT         PIC 9(11)V99).</v>
      </c>
      <c r="J91" s="480" t="str">
        <f t="shared" si="4"/>
        <v>0000000000000</v>
      </c>
    </row>
    <row r="92" spans="1:10" x14ac:dyDescent="0.2">
      <c r="A92" s="483">
        <f>A91+1</f>
        <v>71</v>
      </c>
      <c r="B92" s="484">
        <f>D91+1</f>
        <v>660</v>
      </c>
      <c r="C92" s="517">
        <v>1</v>
      </c>
      <c r="D92" s="485">
        <f>D91+C92</f>
        <v>660</v>
      </c>
      <c r="E92" s="488" t="s">
        <v>330</v>
      </c>
      <c r="F92" s="472"/>
      <c r="G92" s="472" t="s">
        <v>214</v>
      </c>
      <c r="H92" s="472" t="s">
        <v>1</v>
      </c>
      <c r="I92" s="479" t="str">
        <f>CONCATENATE("   02 XXFM5003-SIGIMPPAGCAPULT            PIC X(0",C92,").")</f>
        <v xml:space="preserve">   02 XXFM5003-SIGIMPPAGCAPULT            PIC X(01).</v>
      </c>
      <c r="J92" s="480" t="str">
        <f t="shared" si="4"/>
        <v>+</v>
      </c>
    </row>
    <row r="94" spans="1:10" x14ac:dyDescent="0.2">
      <c r="B94" s="481" t="s">
        <v>1543</v>
      </c>
    </row>
  </sheetData>
  <phoneticPr fontId="5" type="noConversion"/>
  <pageMargins left="0.75" right="0.75" top="1" bottom="1" header="0" footer="0"/>
  <pageSetup paperSize="256" scale="69" fitToHeight="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41" r:id="rId4">
          <objectPr defaultSize="0" autoPict="0" r:id="rId5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1</xdr:col>
                <xdr:colOff>9525</xdr:colOff>
                <xdr:row>1</xdr:row>
                <xdr:rowOff>171450</xdr:rowOff>
              </to>
            </anchor>
          </objectPr>
        </oleObject>
      </mc:Choice>
      <mc:Fallback>
        <oleObject progId="MSPhotoEd.3" shapeId="10241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3:H51"/>
  <sheetViews>
    <sheetView tabSelected="1" topLeftCell="A23" zoomScale="85" zoomScaleNormal="85" workbookViewId="0">
      <selection activeCell="H17" sqref="H17"/>
    </sheetView>
  </sheetViews>
  <sheetFormatPr baseColWidth="10" defaultRowHeight="15" x14ac:dyDescent="0.2"/>
  <cols>
    <col min="2" max="2" width="10.5546875" style="6" customWidth="1"/>
    <col min="4" max="4" width="10" style="6" customWidth="1"/>
    <col min="6" max="6" width="15.21875" customWidth="1"/>
    <col min="7" max="7" width="34.44140625" style="6" bestFit="1" customWidth="1"/>
    <col min="8" max="8" width="19.21875" customWidth="1"/>
  </cols>
  <sheetData>
    <row r="3" spans="1:7" x14ac:dyDescent="0.2">
      <c r="A3" s="10" t="s">
        <v>169</v>
      </c>
      <c r="B3" s="23"/>
      <c r="C3" s="10"/>
      <c r="D3" s="22"/>
      <c r="E3" s="10"/>
      <c r="F3" s="10"/>
      <c r="G3" s="23"/>
    </row>
    <row r="4" spans="1:7" x14ac:dyDescent="0.2">
      <c r="A4" s="10" t="s">
        <v>11</v>
      </c>
      <c r="B4" s="23"/>
      <c r="C4" s="10">
        <v>397</v>
      </c>
      <c r="D4" s="22"/>
      <c r="E4" s="10"/>
      <c r="F4" s="10"/>
      <c r="G4" s="23"/>
    </row>
    <row r="5" spans="1:7" x14ac:dyDescent="0.2">
      <c r="A5" s="10" t="s">
        <v>19</v>
      </c>
      <c r="B5" s="23"/>
      <c r="C5" s="10" t="s">
        <v>170</v>
      </c>
      <c r="D5" s="22"/>
      <c r="E5" s="10" t="s">
        <v>22</v>
      </c>
      <c r="F5" s="10"/>
      <c r="G5" s="23"/>
    </row>
    <row r="6" spans="1:7" x14ac:dyDescent="0.2">
      <c r="A6" s="10" t="s">
        <v>13</v>
      </c>
      <c r="B6" s="23"/>
      <c r="C6" s="10" t="s">
        <v>32</v>
      </c>
      <c r="D6" s="22"/>
      <c r="E6" s="10"/>
      <c r="F6" s="10"/>
      <c r="G6" s="23"/>
    </row>
    <row r="7" spans="1:7" x14ac:dyDescent="0.2">
      <c r="A7" s="12" t="s">
        <v>274</v>
      </c>
      <c r="B7" s="23"/>
      <c r="C7" s="10" t="s">
        <v>171</v>
      </c>
      <c r="D7" s="22"/>
      <c r="E7" s="10"/>
      <c r="F7" s="10"/>
      <c r="G7" s="23"/>
    </row>
    <row r="8" spans="1:7" x14ac:dyDescent="0.2">
      <c r="A8" s="12" t="s">
        <v>0</v>
      </c>
      <c r="B8" s="23"/>
      <c r="C8" s="10"/>
      <c r="D8" s="22"/>
      <c r="E8" s="10"/>
      <c r="F8" s="10"/>
      <c r="G8" s="23"/>
    </row>
    <row r="9" spans="1:7" x14ac:dyDescent="0.2">
      <c r="A9" s="13" t="s">
        <v>2</v>
      </c>
      <c r="B9" s="29" t="s">
        <v>1</v>
      </c>
      <c r="C9" s="12" t="s">
        <v>3</v>
      </c>
      <c r="D9" s="22">
        <v>397</v>
      </c>
      <c r="E9" s="12" t="s">
        <v>4</v>
      </c>
      <c r="F9" s="10"/>
      <c r="G9" s="23"/>
    </row>
    <row r="10" spans="1:7" x14ac:dyDescent="0.2">
      <c r="A10" s="19"/>
      <c r="B10" s="23"/>
      <c r="C10" s="10"/>
      <c r="D10" s="22"/>
      <c r="E10" s="10"/>
      <c r="F10" s="10"/>
      <c r="G10" s="23"/>
    </row>
    <row r="11" spans="1:7" x14ac:dyDescent="0.2">
      <c r="A11" s="15" t="s">
        <v>5</v>
      </c>
      <c r="B11" s="24" t="s">
        <v>12</v>
      </c>
      <c r="C11" s="16" t="s">
        <v>6</v>
      </c>
      <c r="D11" s="25" t="s">
        <v>217</v>
      </c>
      <c r="E11" s="16" t="s">
        <v>7</v>
      </c>
      <c r="F11" s="16" t="s">
        <v>29</v>
      </c>
      <c r="G11" s="26" t="s">
        <v>8</v>
      </c>
    </row>
    <row r="12" spans="1:7" x14ac:dyDescent="0.2">
      <c r="A12" s="10">
        <v>1</v>
      </c>
      <c r="B12" s="23">
        <v>1</v>
      </c>
      <c r="C12" s="10">
        <v>8</v>
      </c>
      <c r="D12" s="22">
        <v>8</v>
      </c>
      <c r="E12" s="12" t="s">
        <v>329</v>
      </c>
      <c r="F12" s="23" t="s">
        <v>30</v>
      </c>
      <c r="G12" s="27" t="s">
        <v>218</v>
      </c>
    </row>
    <row r="13" spans="1:7" x14ac:dyDescent="0.2">
      <c r="A13" s="10">
        <v>2</v>
      </c>
      <c r="B13" s="23">
        <f>D12+1</f>
        <v>9</v>
      </c>
      <c r="C13" s="10">
        <v>6</v>
      </c>
      <c r="D13" s="22">
        <f>D12+C13</f>
        <v>14</v>
      </c>
      <c r="E13" s="12" t="s">
        <v>329</v>
      </c>
      <c r="F13" s="10" t="s">
        <v>47</v>
      </c>
      <c r="G13" s="27" t="s">
        <v>275</v>
      </c>
    </row>
    <row r="14" spans="1:7" x14ac:dyDescent="0.2">
      <c r="A14" s="10">
        <v>3</v>
      </c>
      <c r="B14" s="23">
        <f>D13+1</f>
        <v>15</v>
      </c>
      <c r="C14" s="10">
        <v>15</v>
      </c>
      <c r="D14" s="22">
        <f>D13+C14</f>
        <v>29</v>
      </c>
      <c r="E14" s="12" t="s">
        <v>329</v>
      </c>
      <c r="F14" s="23"/>
      <c r="G14" s="27" t="s">
        <v>125</v>
      </c>
    </row>
    <row r="15" spans="1:7" x14ac:dyDescent="0.2">
      <c r="A15" s="10">
        <v>4</v>
      </c>
      <c r="B15" s="23">
        <f>D14+1</f>
        <v>30</v>
      </c>
      <c r="C15" s="10">
        <v>368</v>
      </c>
      <c r="D15" s="22">
        <f>D14+C15</f>
        <v>397</v>
      </c>
      <c r="E15" s="12"/>
      <c r="F15" s="10"/>
      <c r="G15" s="27" t="s">
        <v>352</v>
      </c>
    </row>
    <row r="16" spans="1:7" x14ac:dyDescent="0.2">
      <c r="A16" s="10"/>
      <c r="B16" s="23"/>
      <c r="C16" s="10"/>
      <c r="D16" s="22"/>
      <c r="E16" s="12"/>
      <c r="F16" s="10"/>
      <c r="G16" s="27"/>
    </row>
    <row r="17" spans="1:8" x14ac:dyDescent="0.2">
      <c r="A17" s="10"/>
      <c r="B17" s="23"/>
      <c r="C17" s="10"/>
      <c r="D17" s="22"/>
      <c r="E17" s="12"/>
      <c r="F17" s="10"/>
      <c r="G17" s="27" t="s">
        <v>1536</v>
      </c>
      <c r="H17" t="s">
        <v>1537</v>
      </c>
    </row>
    <row r="18" spans="1:8" x14ac:dyDescent="0.2">
      <c r="A18" s="10"/>
      <c r="B18" s="23"/>
      <c r="C18" s="10"/>
      <c r="D18" s="22"/>
      <c r="E18" s="10"/>
      <c r="F18" s="10"/>
      <c r="G18" s="23"/>
    </row>
    <row r="19" spans="1:8" x14ac:dyDescent="0.2">
      <c r="A19" s="13" t="s">
        <v>10</v>
      </c>
      <c r="B19" s="29"/>
      <c r="C19" s="12" t="s">
        <v>3</v>
      </c>
      <c r="D19" s="22">
        <v>397</v>
      </c>
      <c r="E19" s="12" t="s">
        <v>4</v>
      </c>
      <c r="F19" s="10"/>
      <c r="G19" s="23" t="s">
        <v>10</v>
      </c>
      <c r="H19" t="str">
        <f>VLOOKUP(H17,Data!B7:C260,2)</f>
        <v>1910000191000009478679A00050505050GOBIERNO                      00040404040PEREZ    FUSTER                                             JOEL                          AV MOLINA 123 DPT 101 OF A00 PSO 020 MZ 03Q LT 0 INT 05A SEC.                     .  000110101CAL LECARABAYA 0000 DPT 01DE01 OF 1 OFI PSO 11000110101CASTILLO                                               0000000000000000000000000000</v>
      </c>
    </row>
    <row r="20" spans="1:8" x14ac:dyDescent="0.2">
      <c r="A20" s="19"/>
      <c r="B20" s="23"/>
      <c r="C20" s="10"/>
      <c r="D20" s="22"/>
      <c r="E20" s="10"/>
      <c r="F20" s="10"/>
      <c r="G20" s="23"/>
    </row>
    <row r="21" spans="1:8" x14ac:dyDescent="0.2">
      <c r="A21" s="15" t="s">
        <v>5</v>
      </c>
      <c r="B21" s="24" t="s">
        <v>12</v>
      </c>
      <c r="C21" s="16" t="s">
        <v>6</v>
      </c>
      <c r="D21" s="25" t="s">
        <v>217</v>
      </c>
      <c r="E21" s="16" t="s">
        <v>7</v>
      </c>
      <c r="F21" s="15" t="s">
        <v>29</v>
      </c>
      <c r="G21" s="26" t="s">
        <v>8</v>
      </c>
    </row>
    <row r="22" spans="1:8" x14ac:dyDescent="0.2">
      <c r="A22" s="10">
        <v>1</v>
      </c>
      <c r="B22" s="23">
        <v>1</v>
      </c>
      <c r="C22" s="10">
        <v>3</v>
      </c>
      <c r="D22" s="22">
        <f>C22</f>
        <v>3</v>
      </c>
      <c r="E22" s="12" t="s">
        <v>329</v>
      </c>
      <c r="F22" s="10" t="s">
        <v>1</v>
      </c>
      <c r="G22" s="27" t="s">
        <v>172</v>
      </c>
      <c r="H22" t="str">
        <f>MID($H$19,B22,C22)</f>
        <v>191</v>
      </c>
    </row>
    <row r="23" spans="1:8" ht="81" customHeight="1" x14ac:dyDescent="0.2">
      <c r="A23" s="367">
        <f>A22+1</f>
        <v>2</v>
      </c>
      <c r="B23" s="361">
        <f>D22+1</f>
        <v>4</v>
      </c>
      <c r="C23" s="368">
        <v>19</v>
      </c>
      <c r="D23" s="363">
        <f>D22+C23</f>
        <v>22</v>
      </c>
      <c r="E23" s="364" t="s">
        <v>330</v>
      </c>
      <c r="F23" s="366" t="s">
        <v>1</v>
      </c>
      <c r="G23" s="359" t="s">
        <v>433</v>
      </c>
      <c r="H23" t="str">
        <f>MID($H$19,B23,C23)</f>
        <v>0000191000009478679</v>
      </c>
    </row>
    <row r="24" spans="1:8" x14ac:dyDescent="0.2">
      <c r="A24" s="10">
        <f t="shared" ref="A24:A42" si="0">A23+1</f>
        <v>3</v>
      </c>
      <c r="B24" s="23">
        <f t="shared" ref="B24:B42" si="1">D23+1</f>
        <v>23</v>
      </c>
      <c r="C24" s="21">
        <v>1</v>
      </c>
      <c r="D24" s="22">
        <f t="shared" ref="D24:D42" si="2">D23+C24</f>
        <v>23</v>
      </c>
      <c r="E24" s="12" t="s">
        <v>330</v>
      </c>
      <c r="F24" s="10"/>
      <c r="G24" s="27" t="s">
        <v>173</v>
      </c>
      <c r="H24" t="str">
        <f t="shared" ref="H24:H42" si="3">MID($H$19,B24,C24)</f>
        <v>A</v>
      </c>
    </row>
    <row r="25" spans="1:8" x14ac:dyDescent="0.2">
      <c r="A25" s="10">
        <f t="shared" si="0"/>
        <v>4</v>
      </c>
      <c r="B25" s="23">
        <f t="shared" si="1"/>
        <v>24</v>
      </c>
      <c r="C25" s="21">
        <v>11</v>
      </c>
      <c r="D25" s="22">
        <f t="shared" si="2"/>
        <v>34</v>
      </c>
      <c r="E25" s="12" t="s">
        <v>330</v>
      </c>
      <c r="F25" s="10"/>
      <c r="G25" s="27" t="s">
        <v>276</v>
      </c>
      <c r="H25" t="str">
        <f t="shared" si="3"/>
        <v>00050505050</v>
      </c>
    </row>
    <row r="26" spans="1:8" x14ac:dyDescent="0.2">
      <c r="A26" s="10">
        <f t="shared" si="0"/>
        <v>5</v>
      </c>
      <c r="B26" s="23">
        <f t="shared" si="1"/>
        <v>35</v>
      </c>
      <c r="C26" s="21">
        <v>30</v>
      </c>
      <c r="D26" s="22">
        <f t="shared" si="2"/>
        <v>64</v>
      </c>
      <c r="E26" s="12" t="s">
        <v>330</v>
      </c>
      <c r="F26" s="10"/>
      <c r="G26" s="27" t="s">
        <v>174</v>
      </c>
      <c r="H26" t="str">
        <f t="shared" si="3"/>
        <v xml:space="preserve">GOBIERNO                      </v>
      </c>
    </row>
    <row r="27" spans="1:8" x14ac:dyDescent="0.2">
      <c r="A27" s="10">
        <f t="shared" si="0"/>
        <v>6</v>
      </c>
      <c r="B27" s="23">
        <f t="shared" si="1"/>
        <v>65</v>
      </c>
      <c r="C27" s="21">
        <v>11</v>
      </c>
      <c r="D27" s="22">
        <f t="shared" si="2"/>
        <v>75</v>
      </c>
      <c r="E27" s="12" t="s">
        <v>329</v>
      </c>
      <c r="F27" s="32"/>
      <c r="G27" s="27" t="s">
        <v>277</v>
      </c>
      <c r="H27" t="str">
        <f t="shared" si="3"/>
        <v>00040404040</v>
      </c>
    </row>
    <row r="28" spans="1:8" x14ac:dyDescent="0.2">
      <c r="A28" s="10">
        <f t="shared" si="0"/>
        <v>7</v>
      </c>
      <c r="B28" s="23">
        <f t="shared" si="1"/>
        <v>76</v>
      </c>
      <c r="C28" s="21">
        <v>30</v>
      </c>
      <c r="D28" s="22">
        <f t="shared" si="2"/>
        <v>105</v>
      </c>
      <c r="E28" s="12" t="s">
        <v>330</v>
      </c>
      <c r="F28" s="28"/>
      <c r="G28" s="27" t="s">
        <v>62</v>
      </c>
      <c r="H28" t="str">
        <f t="shared" si="3"/>
        <v xml:space="preserve">PEREZ    FUSTER               </v>
      </c>
    </row>
    <row r="29" spans="1:8" x14ac:dyDescent="0.2">
      <c r="A29" s="10">
        <f t="shared" si="0"/>
        <v>8</v>
      </c>
      <c r="B29" s="23">
        <f t="shared" si="1"/>
        <v>106</v>
      </c>
      <c r="C29" s="21">
        <v>30</v>
      </c>
      <c r="D29" s="22">
        <f t="shared" si="2"/>
        <v>135</v>
      </c>
      <c r="E29" s="12" t="s">
        <v>330</v>
      </c>
      <c r="F29" s="33"/>
      <c r="G29" s="27" t="s">
        <v>63</v>
      </c>
      <c r="H29" t="str">
        <f t="shared" si="3"/>
        <v xml:space="preserve">                              </v>
      </c>
    </row>
    <row r="30" spans="1:8" x14ac:dyDescent="0.2">
      <c r="A30" s="10">
        <f t="shared" si="0"/>
        <v>9</v>
      </c>
      <c r="B30" s="23">
        <f t="shared" si="1"/>
        <v>136</v>
      </c>
      <c r="C30" s="21">
        <v>30</v>
      </c>
      <c r="D30" s="22">
        <f t="shared" si="2"/>
        <v>165</v>
      </c>
      <c r="E30" s="12" t="s">
        <v>330</v>
      </c>
      <c r="F30" s="28"/>
      <c r="G30" s="27" t="s">
        <v>175</v>
      </c>
      <c r="H30" t="str">
        <f t="shared" si="3"/>
        <v xml:space="preserve">JOEL                          </v>
      </c>
    </row>
    <row r="31" spans="1:8" x14ac:dyDescent="0.2">
      <c r="A31" s="10">
        <f t="shared" si="0"/>
        <v>10</v>
      </c>
      <c r="B31" s="23">
        <f t="shared" si="1"/>
        <v>166</v>
      </c>
      <c r="C31" s="21">
        <v>30</v>
      </c>
      <c r="D31" s="22">
        <f t="shared" si="2"/>
        <v>195</v>
      </c>
      <c r="E31" s="12" t="s">
        <v>330</v>
      </c>
      <c r="F31" s="28"/>
      <c r="G31" s="27" t="s">
        <v>278</v>
      </c>
      <c r="H31" t="str">
        <f t="shared" si="3"/>
        <v>AV MOLINA 123 DPT 101 OF A00 P</v>
      </c>
    </row>
    <row r="32" spans="1:8" x14ac:dyDescent="0.2">
      <c r="A32" s="10">
        <f t="shared" si="0"/>
        <v>11</v>
      </c>
      <c r="B32" s="23">
        <f t="shared" si="1"/>
        <v>196</v>
      </c>
      <c r="C32" s="21">
        <v>30</v>
      </c>
      <c r="D32" s="22">
        <f t="shared" si="2"/>
        <v>225</v>
      </c>
      <c r="E32" s="12" t="s">
        <v>330</v>
      </c>
      <c r="F32" s="28"/>
      <c r="G32" s="27" t="s">
        <v>279</v>
      </c>
      <c r="H32" t="str">
        <f t="shared" si="3"/>
        <v>SO 020 MZ 03Q LT 0 INT 05A SEC</v>
      </c>
    </row>
    <row r="33" spans="1:8" x14ac:dyDescent="0.2">
      <c r="A33" s="10">
        <f t="shared" si="0"/>
        <v>12</v>
      </c>
      <c r="B33" s="23">
        <f t="shared" si="1"/>
        <v>226</v>
      </c>
      <c r="C33" s="21">
        <v>22</v>
      </c>
      <c r="D33" s="22">
        <f t="shared" si="2"/>
        <v>247</v>
      </c>
      <c r="E33" s="12" t="s">
        <v>330</v>
      </c>
      <c r="F33" s="32"/>
      <c r="G33" s="27" t="s">
        <v>176</v>
      </c>
      <c r="H33" t="str">
        <f t="shared" si="3"/>
        <v xml:space="preserve">.                     </v>
      </c>
    </row>
    <row r="34" spans="1:8" x14ac:dyDescent="0.2">
      <c r="A34" s="10">
        <f t="shared" si="0"/>
        <v>13</v>
      </c>
      <c r="B34" s="23">
        <f t="shared" si="1"/>
        <v>248</v>
      </c>
      <c r="C34" s="21">
        <v>3</v>
      </c>
      <c r="D34" s="22">
        <f t="shared" si="2"/>
        <v>250</v>
      </c>
      <c r="E34" s="12" t="s">
        <v>330</v>
      </c>
      <c r="F34" s="28"/>
      <c r="G34" s="79" t="s">
        <v>530</v>
      </c>
      <c r="H34" t="str">
        <f t="shared" si="3"/>
        <v xml:space="preserve">.  </v>
      </c>
    </row>
    <row r="35" spans="1:8" x14ac:dyDescent="0.2">
      <c r="A35" s="10">
        <f t="shared" si="0"/>
        <v>14</v>
      </c>
      <c r="B35" s="23">
        <f t="shared" si="1"/>
        <v>251</v>
      </c>
      <c r="C35" s="21">
        <v>9</v>
      </c>
      <c r="D35" s="22">
        <f t="shared" si="2"/>
        <v>259</v>
      </c>
      <c r="E35" s="12" t="s">
        <v>330</v>
      </c>
      <c r="F35" s="28"/>
      <c r="G35" s="27" t="s">
        <v>432</v>
      </c>
      <c r="H35" t="str">
        <f t="shared" si="3"/>
        <v>000110101</v>
      </c>
    </row>
    <row r="36" spans="1:8" x14ac:dyDescent="0.2">
      <c r="A36" s="10">
        <f t="shared" si="0"/>
        <v>15</v>
      </c>
      <c r="B36" s="23">
        <f t="shared" si="1"/>
        <v>260</v>
      </c>
      <c r="C36" s="21">
        <v>55</v>
      </c>
      <c r="D36" s="22">
        <f t="shared" si="2"/>
        <v>314</v>
      </c>
      <c r="E36" s="12" t="s">
        <v>330</v>
      </c>
      <c r="F36" s="28"/>
      <c r="G36" s="27" t="s">
        <v>40</v>
      </c>
      <c r="H36" t="str">
        <f t="shared" si="3"/>
        <v>CAL LECARABAYA 0000 DPT 01DE01 OF 1 OFI PSO 11000110101</v>
      </c>
    </row>
    <row r="37" spans="1:8" x14ac:dyDescent="0.2">
      <c r="A37" s="10">
        <f t="shared" si="0"/>
        <v>16</v>
      </c>
      <c r="B37" s="23">
        <f t="shared" si="1"/>
        <v>315</v>
      </c>
      <c r="C37" s="21">
        <v>55</v>
      </c>
      <c r="D37" s="22">
        <f t="shared" si="2"/>
        <v>369</v>
      </c>
      <c r="E37" s="12" t="s">
        <v>330</v>
      </c>
      <c r="F37" s="28"/>
      <c r="G37" s="27" t="s">
        <v>40</v>
      </c>
      <c r="H37" t="str">
        <f t="shared" si="3"/>
        <v xml:space="preserve">CASTILLO                                               </v>
      </c>
    </row>
    <row r="38" spans="1:8" x14ac:dyDescent="0.2">
      <c r="A38" s="10">
        <f t="shared" si="0"/>
        <v>17</v>
      </c>
      <c r="B38" s="23">
        <f t="shared" si="1"/>
        <v>370</v>
      </c>
      <c r="C38" s="21">
        <v>9</v>
      </c>
      <c r="D38" s="22">
        <f t="shared" si="2"/>
        <v>378</v>
      </c>
      <c r="E38" s="12" t="s">
        <v>330</v>
      </c>
      <c r="F38" s="28"/>
      <c r="G38" s="27" t="s">
        <v>40</v>
      </c>
      <c r="H38" t="str">
        <f t="shared" si="3"/>
        <v>000000000</v>
      </c>
    </row>
    <row r="39" spans="1:8" x14ac:dyDescent="0.2">
      <c r="A39" s="10">
        <f t="shared" si="0"/>
        <v>18</v>
      </c>
      <c r="B39" s="23">
        <f t="shared" si="1"/>
        <v>379</v>
      </c>
      <c r="C39" s="21">
        <v>9</v>
      </c>
      <c r="D39" s="22">
        <f t="shared" si="2"/>
        <v>387</v>
      </c>
      <c r="E39" s="12" t="s">
        <v>329</v>
      </c>
      <c r="F39" s="28"/>
      <c r="G39" s="27" t="s">
        <v>280</v>
      </c>
      <c r="H39" t="str">
        <f t="shared" si="3"/>
        <v>000000000</v>
      </c>
    </row>
    <row r="40" spans="1:8" x14ac:dyDescent="0.2">
      <c r="A40" s="10">
        <f t="shared" si="0"/>
        <v>19</v>
      </c>
      <c r="B40" s="23">
        <f t="shared" si="1"/>
        <v>388</v>
      </c>
      <c r="C40" s="21">
        <v>4</v>
      </c>
      <c r="D40" s="22">
        <f t="shared" si="2"/>
        <v>391</v>
      </c>
      <c r="E40" s="12" t="s">
        <v>329</v>
      </c>
      <c r="F40" s="28"/>
      <c r="G40" s="27" t="s">
        <v>281</v>
      </c>
      <c r="H40" t="str">
        <f t="shared" si="3"/>
        <v>0000</v>
      </c>
    </row>
    <row r="41" spans="1:8" x14ac:dyDescent="0.2">
      <c r="A41" s="10">
        <f t="shared" si="0"/>
        <v>20</v>
      </c>
      <c r="B41" s="23">
        <f t="shared" si="1"/>
        <v>392</v>
      </c>
      <c r="C41" s="21">
        <v>4</v>
      </c>
      <c r="D41" s="22">
        <f t="shared" si="2"/>
        <v>395</v>
      </c>
      <c r="E41" s="12" t="s">
        <v>330</v>
      </c>
      <c r="F41" s="28"/>
      <c r="G41" s="27" t="s">
        <v>40</v>
      </c>
      <c r="H41" t="str">
        <f t="shared" si="3"/>
        <v>0000</v>
      </c>
    </row>
    <row r="42" spans="1:8" x14ac:dyDescent="0.2">
      <c r="A42" s="10">
        <f t="shared" si="0"/>
        <v>21</v>
      </c>
      <c r="B42" s="23">
        <f t="shared" si="1"/>
        <v>396</v>
      </c>
      <c r="C42" s="21">
        <v>2</v>
      </c>
      <c r="D42" s="22">
        <f t="shared" si="2"/>
        <v>397</v>
      </c>
      <c r="E42" s="12" t="s">
        <v>329</v>
      </c>
      <c r="F42" s="28"/>
      <c r="G42" s="27" t="s">
        <v>282</v>
      </c>
      <c r="H42" t="str">
        <f t="shared" si="3"/>
        <v>00</v>
      </c>
    </row>
    <row r="43" spans="1:8" x14ac:dyDescent="0.2">
      <c r="A43" s="1"/>
      <c r="B43" s="5"/>
      <c r="C43" s="7"/>
      <c r="D43" s="8"/>
      <c r="E43" s="2"/>
      <c r="F43" s="7"/>
      <c r="G43" s="9"/>
    </row>
    <row r="44" spans="1:8" x14ac:dyDescent="0.2">
      <c r="A44" s="1"/>
      <c r="B44" s="5"/>
      <c r="D44" s="8"/>
      <c r="E44" s="2"/>
      <c r="G44" s="9"/>
    </row>
    <row r="45" spans="1:8" x14ac:dyDescent="0.2">
      <c r="A45" s="1"/>
      <c r="B45" s="5"/>
      <c r="D45" s="8"/>
      <c r="E45" s="2"/>
      <c r="G45" s="9"/>
    </row>
    <row r="46" spans="1:8" x14ac:dyDescent="0.2">
      <c r="A46" s="1"/>
      <c r="B46" s="5"/>
      <c r="D46" s="8"/>
      <c r="E46" s="2"/>
      <c r="G46" s="9"/>
    </row>
    <row r="47" spans="1:8" x14ac:dyDescent="0.2">
      <c r="A47" s="1"/>
      <c r="B47" s="5"/>
      <c r="D47" s="8"/>
      <c r="E47" s="2"/>
      <c r="G47" s="9"/>
    </row>
    <row r="48" spans="1:8" x14ac:dyDescent="0.2">
      <c r="A48" s="1"/>
      <c r="B48" s="5"/>
      <c r="D48" s="8"/>
      <c r="E48" s="2"/>
      <c r="G48" s="9"/>
    </row>
    <row r="49" spans="1:7" x14ac:dyDescent="0.2">
      <c r="A49" s="1"/>
      <c r="B49" s="5"/>
      <c r="D49" s="8"/>
      <c r="E49" s="2"/>
      <c r="G49" s="9"/>
    </row>
    <row r="50" spans="1:7" x14ac:dyDescent="0.2">
      <c r="E50" s="2"/>
    </row>
    <row r="51" spans="1:7" x14ac:dyDescent="0.2">
      <c r="E51" s="2"/>
    </row>
  </sheetData>
  <phoneticPr fontId="5" type="noConversion"/>
  <pageMargins left="0.75" right="0.75" top="1" bottom="1" header="0" footer="0"/>
  <pageSetup paperSize="256" scale="63" fitToHeight="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126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0</xdr:colOff>
                <xdr:row>1</xdr:row>
                <xdr:rowOff>171450</xdr:rowOff>
              </to>
            </anchor>
          </objectPr>
        </oleObject>
      </mc:Choice>
      <mc:Fallback>
        <oleObject progId="MSPhotoEd.3" shapeId="11265" r:id="rId4"/>
      </mc:Fallback>
    </mc:AlternateContent>
  </oleObjec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Data!$B$7:$B$260</xm:f>
          </x14:formula1>
          <xm:sqref>H17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5:C260"/>
  <sheetViews>
    <sheetView workbookViewId="0">
      <selection activeCell="B9" sqref="B9:B11"/>
    </sheetView>
  </sheetViews>
  <sheetFormatPr baseColWidth="10" defaultRowHeight="15" x14ac:dyDescent="0.2"/>
  <cols>
    <col min="2" max="2" width="25.21875" customWidth="1"/>
  </cols>
  <sheetData>
    <row r="5" spans="2:3" x14ac:dyDescent="0.2">
      <c r="B5" t="s">
        <v>1535</v>
      </c>
      <c r="C5" t="s">
        <v>10</v>
      </c>
    </row>
    <row r="6" spans="2:3" x14ac:dyDescent="0.2">
      <c r="C6" t="s">
        <v>1280</v>
      </c>
    </row>
    <row r="7" spans="2:3" x14ac:dyDescent="0.2">
      <c r="B7" t="str">
        <f>MID(C7,10,13)</f>
        <v>1000001020301</v>
      </c>
      <c r="C7" t="s">
        <v>1281</v>
      </c>
    </row>
    <row r="8" spans="2:3" x14ac:dyDescent="0.2">
      <c r="B8" t="str">
        <f t="shared" ref="B8:B71" si="0">MID(C8,10,13)</f>
        <v>1000000000000</v>
      </c>
      <c r="C8" t="s">
        <v>1282</v>
      </c>
    </row>
    <row r="9" spans="2:3" x14ac:dyDescent="0.2">
      <c r="B9" t="str">
        <f t="shared" si="0"/>
        <v>1000006009468</v>
      </c>
      <c r="C9" t="s">
        <v>1283</v>
      </c>
    </row>
    <row r="10" spans="2:3" x14ac:dyDescent="0.2">
      <c r="B10" t="str">
        <f t="shared" si="0"/>
        <v>1000006578456</v>
      </c>
      <c r="C10" t="s">
        <v>1284</v>
      </c>
    </row>
    <row r="11" spans="2:3" x14ac:dyDescent="0.2">
      <c r="B11" t="str">
        <f t="shared" si="0"/>
        <v>1000007601347</v>
      </c>
      <c r="C11" t="s">
        <v>1285</v>
      </c>
    </row>
    <row r="12" spans="2:3" x14ac:dyDescent="0.2">
      <c r="B12" t="str">
        <f t="shared" si="0"/>
        <v>1000009478423</v>
      </c>
      <c r="C12" t="s">
        <v>1286</v>
      </c>
    </row>
    <row r="13" spans="2:3" x14ac:dyDescent="0.2">
      <c r="B13" t="str">
        <f t="shared" si="0"/>
        <v>1000009478424</v>
      </c>
      <c r="C13" t="s">
        <v>1287</v>
      </c>
    </row>
    <row r="14" spans="2:3" x14ac:dyDescent="0.2">
      <c r="B14" t="str">
        <f t="shared" si="0"/>
        <v>1000009478425</v>
      </c>
      <c r="C14" t="s">
        <v>1288</v>
      </c>
    </row>
    <row r="15" spans="2:3" x14ac:dyDescent="0.2">
      <c r="B15" t="str">
        <f t="shared" si="0"/>
        <v>1000009478426</v>
      </c>
      <c r="C15" t="s">
        <v>1289</v>
      </c>
    </row>
    <row r="16" spans="2:3" x14ac:dyDescent="0.2">
      <c r="B16" t="str">
        <f t="shared" si="0"/>
        <v>1000009478427</v>
      </c>
      <c r="C16" t="s">
        <v>1290</v>
      </c>
    </row>
    <row r="17" spans="2:3" x14ac:dyDescent="0.2">
      <c r="B17" t="str">
        <f t="shared" si="0"/>
        <v>1000009478428</v>
      </c>
      <c r="C17" t="s">
        <v>1291</v>
      </c>
    </row>
    <row r="18" spans="2:3" x14ac:dyDescent="0.2">
      <c r="B18" t="str">
        <f t="shared" si="0"/>
        <v>1000009478429</v>
      </c>
      <c r="C18" t="s">
        <v>1292</v>
      </c>
    </row>
    <row r="19" spans="2:3" x14ac:dyDescent="0.2">
      <c r="B19" t="str">
        <f t="shared" si="0"/>
        <v>1000009478430</v>
      </c>
      <c r="C19" t="s">
        <v>1293</v>
      </c>
    </row>
    <row r="20" spans="2:3" x14ac:dyDescent="0.2">
      <c r="B20" t="str">
        <f t="shared" si="0"/>
        <v>1000009478431</v>
      </c>
      <c r="C20" t="s">
        <v>1294</v>
      </c>
    </row>
    <row r="21" spans="2:3" x14ac:dyDescent="0.2">
      <c r="B21" t="str">
        <f t="shared" si="0"/>
        <v>1000009478432</v>
      </c>
      <c r="C21" t="s">
        <v>1295</v>
      </c>
    </row>
    <row r="22" spans="2:3" x14ac:dyDescent="0.2">
      <c r="B22" t="str">
        <f t="shared" si="0"/>
        <v>1000009478433</v>
      </c>
      <c r="C22" t="s">
        <v>1296</v>
      </c>
    </row>
    <row r="23" spans="2:3" x14ac:dyDescent="0.2">
      <c r="B23" t="str">
        <f t="shared" si="0"/>
        <v>1000009478434</v>
      </c>
      <c r="C23" t="s">
        <v>1297</v>
      </c>
    </row>
    <row r="24" spans="2:3" x14ac:dyDescent="0.2">
      <c r="B24" t="str">
        <f t="shared" si="0"/>
        <v>1000009478477</v>
      </c>
      <c r="C24" t="s">
        <v>1298</v>
      </c>
    </row>
    <row r="25" spans="2:3" x14ac:dyDescent="0.2">
      <c r="B25" t="str">
        <f t="shared" si="0"/>
        <v>1000009478478</v>
      </c>
      <c r="C25" t="s">
        <v>1299</v>
      </c>
    </row>
    <row r="26" spans="2:3" x14ac:dyDescent="0.2">
      <c r="B26" t="str">
        <f t="shared" si="0"/>
        <v>1000009478479</v>
      </c>
      <c r="C26" t="s">
        <v>1300</v>
      </c>
    </row>
    <row r="27" spans="2:3" x14ac:dyDescent="0.2">
      <c r="B27" t="str">
        <f t="shared" si="0"/>
        <v>1000009478480</v>
      </c>
      <c r="C27" t="s">
        <v>1301</v>
      </c>
    </row>
    <row r="28" spans="2:3" x14ac:dyDescent="0.2">
      <c r="B28" t="str">
        <f t="shared" si="0"/>
        <v>1000009478481</v>
      </c>
      <c r="C28" t="s">
        <v>1302</v>
      </c>
    </row>
    <row r="29" spans="2:3" x14ac:dyDescent="0.2">
      <c r="B29" t="str">
        <f t="shared" si="0"/>
        <v>1000009478482</v>
      </c>
      <c r="C29" t="s">
        <v>1303</v>
      </c>
    </row>
    <row r="30" spans="2:3" x14ac:dyDescent="0.2">
      <c r="B30" t="str">
        <f t="shared" si="0"/>
        <v>1000009478483</v>
      </c>
      <c r="C30" t="s">
        <v>1304</v>
      </c>
    </row>
    <row r="31" spans="2:3" x14ac:dyDescent="0.2">
      <c r="B31" t="str">
        <f t="shared" si="0"/>
        <v>1000009478484</v>
      </c>
      <c r="C31" t="s">
        <v>1305</v>
      </c>
    </row>
    <row r="32" spans="2:3" x14ac:dyDescent="0.2">
      <c r="B32" t="str">
        <f t="shared" si="0"/>
        <v>1000009478485</v>
      </c>
      <c r="C32" t="s">
        <v>1306</v>
      </c>
    </row>
    <row r="33" spans="2:3" x14ac:dyDescent="0.2">
      <c r="B33" t="str">
        <f t="shared" si="0"/>
        <v>1000009478486</v>
      </c>
      <c r="C33" t="s">
        <v>1307</v>
      </c>
    </row>
    <row r="34" spans="2:3" x14ac:dyDescent="0.2">
      <c r="B34" t="str">
        <f t="shared" si="0"/>
        <v>1000009478487</v>
      </c>
      <c r="C34" t="s">
        <v>1308</v>
      </c>
    </row>
    <row r="35" spans="2:3" x14ac:dyDescent="0.2">
      <c r="B35" t="str">
        <f t="shared" si="0"/>
        <v>1000009478488</v>
      </c>
      <c r="C35" t="s">
        <v>1309</v>
      </c>
    </row>
    <row r="36" spans="2:3" x14ac:dyDescent="0.2">
      <c r="B36" t="str">
        <f t="shared" si="0"/>
        <v>1000009478490</v>
      </c>
      <c r="C36" t="s">
        <v>1310</v>
      </c>
    </row>
    <row r="37" spans="2:3" x14ac:dyDescent="0.2">
      <c r="B37" t="str">
        <f t="shared" si="0"/>
        <v>1000009478491</v>
      </c>
      <c r="C37" t="s">
        <v>1311</v>
      </c>
    </row>
    <row r="38" spans="2:3" x14ac:dyDescent="0.2">
      <c r="B38" t="str">
        <f t="shared" si="0"/>
        <v>1000009478492</v>
      </c>
      <c r="C38" t="s">
        <v>1312</v>
      </c>
    </row>
    <row r="39" spans="2:3" x14ac:dyDescent="0.2">
      <c r="B39" t="str">
        <f t="shared" si="0"/>
        <v>1000009478493</v>
      </c>
      <c r="C39" t="s">
        <v>1313</v>
      </c>
    </row>
    <row r="40" spans="2:3" x14ac:dyDescent="0.2">
      <c r="B40" t="str">
        <f t="shared" si="0"/>
        <v>1000009478495</v>
      </c>
      <c r="C40" t="s">
        <v>1314</v>
      </c>
    </row>
    <row r="41" spans="2:3" x14ac:dyDescent="0.2">
      <c r="B41" t="str">
        <f t="shared" si="0"/>
        <v>1000009478496</v>
      </c>
      <c r="C41" t="s">
        <v>1315</v>
      </c>
    </row>
    <row r="42" spans="2:3" x14ac:dyDescent="0.2">
      <c r="B42" t="str">
        <f t="shared" si="0"/>
        <v>1000009478497</v>
      </c>
      <c r="C42" t="s">
        <v>1316</v>
      </c>
    </row>
    <row r="43" spans="2:3" x14ac:dyDescent="0.2">
      <c r="B43" t="str">
        <f t="shared" si="0"/>
        <v>1000009478498</v>
      </c>
      <c r="C43" t="s">
        <v>1317</v>
      </c>
    </row>
    <row r="44" spans="2:3" x14ac:dyDescent="0.2">
      <c r="B44" t="str">
        <f t="shared" si="0"/>
        <v>1000009478499</v>
      </c>
      <c r="C44" t="s">
        <v>1318</v>
      </c>
    </row>
    <row r="45" spans="2:3" x14ac:dyDescent="0.2">
      <c r="B45" t="str">
        <f t="shared" si="0"/>
        <v>1000009478500</v>
      </c>
      <c r="C45" t="s">
        <v>1319</v>
      </c>
    </row>
    <row r="46" spans="2:3" x14ac:dyDescent="0.2">
      <c r="B46" t="str">
        <f t="shared" si="0"/>
        <v>1000009478501</v>
      </c>
      <c r="C46" t="s">
        <v>1320</v>
      </c>
    </row>
    <row r="47" spans="2:3" x14ac:dyDescent="0.2">
      <c r="B47" t="str">
        <f t="shared" si="0"/>
        <v>1000009478502</v>
      </c>
      <c r="C47" t="s">
        <v>1321</v>
      </c>
    </row>
    <row r="48" spans="2:3" x14ac:dyDescent="0.2">
      <c r="B48" t="str">
        <f t="shared" si="0"/>
        <v>1000009478503</v>
      </c>
      <c r="C48" t="s">
        <v>1322</v>
      </c>
    </row>
    <row r="49" spans="2:3" x14ac:dyDescent="0.2">
      <c r="B49" t="str">
        <f t="shared" si="0"/>
        <v>1000009478504</v>
      </c>
      <c r="C49" t="s">
        <v>1323</v>
      </c>
    </row>
    <row r="50" spans="2:3" x14ac:dyDescent="0.2">
      <c r="B50" t="str">
        <f t="shared" si="0"/>
        <v>1000009478505</v>
      </c>
      <c r="C50" t="s">
        <v>1324</v>
      </c>
    </row>
    <row r="51" spans="2:3" x14ac:dyDescent="0.2">
      <c r="B51" t="str">
        <f t="shared" si="0"/>
        <v>1000009478506</v>
      </c>
      <c r="C51" t="s">
        <v>1325</v>
      </c>
    </row>
    <row r="52" spans="2:3" x14ac:dyDescent="0.2">
      <c r="B52" t="str">
        <f t="shared" si="0"/>
        <v>1000009478507</v>
      </c>
      <c r="C52" t="s">
        <v>1326</v>
      </c>
    </row>
    <row r="53" spans="2:3" x14ac:dyDescent="0.2">
      <c r="B53" t="str">
        <f t="shared" si="0"/>
        <v>1000009478508</v>
      </c>
      <c r="C53" t="s">
        <v>1327</v>
      </c>
    </row>
    <row r="54" spans="2:3" x14ac:dyDescent="0.2">
      <c r="B54" t="str">
        <f t="shared" si="0"/>
        <v>1000009478509</v>
      </c>
      <c r="C54" t="s">
        <v>1328</v>
      </c>
    </row>
    <row r="55" spans="2:3" x14ac:dyDescent="0.2">
      <c r="B55" t="str">
        <f t="shared" si="0"/>
        <v>1000009478510</v>
      </c>
      <c r="C55" t="s">
        <v>1329</v>
      </c>
    </row>
    <row r="56" spans="2:3" x14ac:dyDescent="0.2">
      <c r="B56" t="str">
        <f t="shared" si="0"/>
        <v>1000009478511</v>
      </c>
      <c r="C56" t="s">
        <v>1330</v>
      </c>
    </row>
    <row r="57" spans="2:3" x14ac:dyDescent="0.2">
      <c r="B57" t="str">
        <f t="shared" si="0"/>
        <v>1000009478512</v>
      </c>
      <c r="C57" t="s">
        <v>1331</v>
      </c>
    </row>
    <row r="58" spans="2:3" x14ac:dyDescent="0.2">
      <c r="B58" t="str">
        <f t="shared" si="0"/>
        <v>1000009478513</v>
      </c>
      <c r="C58" t="s">
        <v>1332</v>
      </c>
    </row>
    <row r="59" spans="2:3" x14ac:dyDescent="0.2">
      <c r="B59" t="str">
        <f t="shared" si="0"/>
        <v>1000009478514</v>
      </c>
      <c r="C59" t="s">
        <v>1333</v>
      </c>
    </row>
    <row r="60" spans="2:3" x14ac:dyDescent="0.2">
      <c r="B60" t="str">
        <f t="shared" si="0"/>
        <v>1000009478515</v>
      </c>
      <c r="C60" t="s">
        <v>1334</v>
      </c>
    </row>
    <row r="61" spans="2:3" x14ac:dyDescent="0.2">
      <c r="B61" t="str">
        <f t="shared" si="0"/>
        <v>1000009478516</v>
      </c>
      <c r="C61" t="s">
        <v>1335</v>
      </c>
    </row>
    <row r="62" spans="2:3" x14ac:dyDescent="0.2">
      <c r="B62" t="str">
        <f t="shared" si="0"/>
        <v>1000009478517</v>
      </c>
      <c r="C62" t="s">
        <v>1336</v>
      </c>
    </row>
    <row r="63" spans="2:3" x14ac:dyDescent="0.2">
      <c r="B63" t="str">
        <f t="shared" si="0"/>
        <v>1000009478518</v>
      </c>
      <c r="C63" t="s">
        <v>1337</v>
      </c>
    </row>
    <row r="64" spans="2:3" x14ac:dyDescent="0.2">
      <c r="B64" t="str">
        <f t="shared" si="0"/>
        <v>1000009478519</v>
      </c>
      <c r="C64" t="s">
        <v>1338</v>
      </c>
    </row>
    <row r="65" spans="2:3" x14ac:dyDescent="0.2">
      <c r="B65" t="str">
        <f t="shared" si="0"/>
        <v>1000009478520</v>
      </c>
      <c r="C65" t="s">
        <v>1339</v>
      </c>
    </row>
    <row r="66" spans="2:3" x14ac:dyDescent="0.2">
      <c r="B66" t="str">
        <f t="shared" si="0"/>
        <v>1000009478521</v>
      </c>
      <c r="C66" t="s">
        <v>1340</v>
      </c>
    </row>
    <row r="67" spans="2:3" x14ac:dyDescent="0.2">
      <c r="B67" t="str">
        <f t="shared" si="0"/>
        <v>1000009478522</v>
      </c>
      <c r="C67" t="s">
        <v>1341</v>
      </c>
    </row>
    <row r="68" spans="2:3" x14ac:dyDescent="0.2">
      <c r="B68" t="str">
        <f t="shared" si="0"/>
        <v>1000009478523</v>
      </c>
      <c r="C68" t="s">
        <v>1342</v>
      </c>
    </row>
    <row r="69" spans="2:3" x14ac:dyDescent="0.2">
      <c r="B69" t="str">
        <f t="shared" si="0"/>
        <v>1000009478524</v>
      </c>
      <c r="C69" t="s">
        <v>1343</v>
      </c>
    </row>
    <row r="70" spans="2:3" x14ac:dyDescent="0.2">
      <c r="B70" t="str">
        <f t="shared" si="0"/>
        <v>1000009478525</v>
      </c>
      <c r="C70" t="s">
        <v>1344</v>
      </c>
    </row>
    <row r="71" spans="2:3" x14ac:dyDescent="0.2">
      <c r="B71" t="str">
        <f t="shared" si="0"/>
        <v>1000009478526</v>
      </c>
      <c r="C71" t="s">
        <v>1345</v>
      </c>
    </row>
    <row r="72" spans="2:3" x14ac:dyDescent="0.2">
      <c r="B72" t="str">
        <f t="shared" ref="B72:B135" si="1">MID(C72,10,13)</f>
        <v>1000009478527</v>
      </c>
      <c r="C72" t="s">
        <v>1346</v>
      </c>
    </row>
    <row r="73" spans="2:3" x14ac:dyDescent="0.2">
      <c r="B73" t="str">
        <f t="shared" si="1"/>
        <v>1000009478528</v>
      </c>
      <c r="C73" t="s">
        <v>1347</v>
      </c>
    </row>
    <row r="74" spans="2:3" x14ac:dyDescent="0.2">
      <c r="B74" t="str">
        <f t="shared" si="1"/>
        <v>1000009478529</v>
      </c>
      <c r="C74" t="s">
        <v>1348</v>
      </c>
    </row>
    <row r="75" spans="2:3" x14ac:dyDescent="0.2">
      <c r="B75" t="str">
        <f t="shared" si="1"/>
        <v>1000009478530</v>
      </c>
      <c r="C75" t="s">
        <v>1349</v>
      </c>
    </row>
    <row r="76" spans="2:3" x14ac:dyDescent="0.2">
      <c r="B76" t="str">
        <f t="shared" si="1"/>
        <v>1000009478531</v>
      </c>
      <c r="C76" t="s">
        <v>1350</v>
      </c>
    </row>
    <row r="77" spans="2:3" x14ac:dyDescent="0.2">
      <c r="B77" t="str">
        <f t="shared" si="1"/>
        <v>1000009478532</v>
      </c>
      <c r="C77" t="s">
        <v>1351</v>
      </c>
    </row>
    <row r="78" spans="2:3" x14ac:dyDescent="0.2">
      <c r="B78" t="str">
        <f t="shared" si="1"/>
        <v>1000009478533</v>
      </c>
      <c r="C78" t="s">
        <v>1352</v>
      </c>
    </row>
    <row r="79" spans="2:3" x14ac:dyDescent="0.2">
      <c r="B79" t="str">
        <f t="shared" si="1"/>
        <v>1000009478534</v>
      </c>
      <c r="C79" t="s">
        <v>1353</v>
      </c>
    </row>
    <row r="80" spans="2:3" x14ac:dyDescent="0.2">
      <c r="B80" t="str">
        <f t="shared" si="1"/>
        <v>1000009478535</v>
      </c>
      <c r="C80" t="s">
        <v>1354</v>
      </c>
    </row>
    <row r="81" spans="2:3" x14ac:dyDescent="0.2">
      <c r="B81" t="str">
        <f t="shared" si="1"/>
        <v>1000009478536</v>
      </c>
      <c r="C81" t="s">
        <v>1355</v>
      </c>
    </row>
    <row r="82" spans="2:3" x14ac:dyDescent="0.2">
      <c r="B82" t="str">
        <f t="shared" si="1"/>
        <v>1000009478537</v>
      </c>
      <c r="C82" t="s">
        <v>1356</v>
      </c>
    </row>
    <row r="83" spans="2:3" x14ac:dyDescent="0.2">
      <c r="B83" t="str">
        <f t="shared" si="1"/>
        <v>1000009478538</v>
      </c>
      <c r="C83" t="s">
        <v>1357</v>
      </c>
    </row>
    <row r="84" spans="2:3" x14ac:dyDescent="0.2">
      <c r="B84" t="str">
        <f t="shared" si="1"/>
        <v>1000009478539</v>
      </c>
      <c r="C84" t="s">
        <v>1358</v>
      </c>
    </row>
    <row r="85" spans="2:3" x14ac:dyDescent="0.2">
      <c r="B85" t="str">
        <f t="shared" si="1"/>
        <v>1000009478540</v>
      </c>
      <c r="C85" t="s">
        <v>1359</v>
      </c>
    </row>
    <row r="86" spans="2:3" x14ac:dyDescent="0.2">
      <c r="B86" t="str">
        <f t="shared" si="1"/>
        <v>1000009478541</v>
      </c>
      <c r="C86" t="s">
        <v>1360</v>
      </c>
    </row>
    <row r="87" spans="2:3" x14ac:dyDescent="0.2">
      <c r="B87" t="str">
        <f t="shared" si="1"/>
        <v>1000009478542</v>
      </c>
      <c r="C87" t="s">
        <v>1361</v>
      </c>
    </row>
    <row r="88" spans="2:3" x14ac:dyDescent="0.2">
      <c r="B88" t="str">
        <f t="shared" si="1"/>
        <v>1000009478543</v>
      </c>
      <c r="C88" t="s">
        <v>1362</v>
      </c>
    </row>
    <row r="89" spans="2:3" x14ac:dyDescent="0.2">
      <c r="B89" t="str">
        <f t="shared" si="1"/>
        <v>1000009478544</v>
      </c>
      <c r="C89" t="s">
        <v>1363</v>
      </c>
    </row>
    <row r="90" spans="2:3" x14ac:dyDescent="0.2">
      <c r="B90" t="str">
        <f t="shared" si="1"/>
        <v>1000009478545</v>
      </c>
      <c r="C90" t="s">
        <v>1364</v>
      </c>
    </row>
    <row r="91" spans="2:3" x14ac:dyDescent="0.2">
      <c r="B91" t="str">
        <f t="shared" si="1"/>
        <v>1000009478546</v>
      </c>
      <c r="C91" t="s">
        <v>1365</v>
      </c>
    </row>
    <row r="92" spans="2:3" x14ac:dyDescent="0.2">
      <c r="B92" t="str">
        <f t="shared" si="1"/>
        <v>1000009478547</v>
      </c>
      <c r="C92" t="s">
        <v>1366</v>
      </c>
    </row>
    <row r="93" spans="2:3" x14ac:dyDescent="0.2">
      <c r="B93" t="str">
        <f t="shared" si="1"/>
        <v>1000009478548</v>
      </c>
      <c r="C93" t="s">
        <v>1367</v>
      </c>
    </row>
    <row r="94" spans="2:3" x14ac:dyDescent="0.2">
      <c r="B94" t="str">
        <f t="shared" si="1"/>
        <v>1000009478549</v>
      </c>
      <c r="C94" t="s">
        <v>1368</v>
      </c>
    </row>
    <row r="95" spans="2:3" x14ac:dyDescent="0.2">
      <c r="B95" t="str">
        <f t="shared" si="1"/>
        <v>1000009478550</v>
      </c>
      <c r="C95" t="s">
        <v>1369</v>
      </c>
    </row>
    <row r="96" spans="2:3" x14ac:dyDescent="0.2">
      <c r="B96" t="str">
        <f t="shared" si="1"/>
        <v>1000009478551</v>
      </c>
      <c r="C96" t="s">
        <v>1370</v>
      </c>
    </row>
    <row r="97" spans="2:3" x14ac:dyDescent="0.2">
      <c r="B97" t="str">
        <f t="shared" si="1"/>
        <v>1000009478552</v>
      </c>
      <c r="C97" t="s">
        <v>1371</v>
      </c>
    </row>
    <row r="98" spans="2:3" x14ac:dyDescent="0.2">
      <c r="B98" t="str">
        <f t="shared" si="1"/>
        <v>1000009478553</v>
      </c>
      <c r="C98" t="s">
        <v>1372</v>
      </c>
    </row>
    <row r="99" spans="2:3" x14ac:dyDescent="0.2">
      <c r="B99" t="str">
        <f t="shared" si="1"/>
        <v>1000009478554</v>
      </c>
      <c r="C99" t="s">
        <v>1373</v>
      </c>
    </row>
    <row r="100" spans="2:3" x14ac:dyDescent="0.2">
      <c r="B100" t="str">
        <f t="shared" si="1"/>
        <v>1000009478555</v>
      </c>
      <c r="C100" t="s">
        <v>1374</v>
      </c>
    </row>
    <row r="101" spans="2:3" x14ac:dyDescent="0.2">
      <c r="B101" t="str">
        <f t="shared" si="1"/>
        <v>1000009478556</v>
      </c>
      <c r="C101" t="s">
        <v>1375</v>
      </c>
    </row>
    <row r="102" spans="2:3" x14ac:dyDescent="0.2">
      <c r="B102" t="str">
        <f t="shared" si="1"/>
        <v>1000009478557</v>
      </c>
      <c r="C102" t="s">
        <v>1376</v>
      </c>
    </row>
    <row r="103" spans="2:3" x14ac:dyDescent="0.2">
      <c r="B103" t="str">
        <f t="shared" si="1"/>
        <v>1000009478558</v>
      </c>
      <c r="C103" t="s">
        <v>1377</v>
      </c>
    </row>
    <row r="104" spans="2:3" x14ac:dyDescent="0.2">
      <c r="B104" t="str">
        <f t="shared" si="1"/>
        <v>1000009478559</v>
      </c>
      <c r="C104" t="s">
        <v>1378</v>
      </c>
    </row>
    <row r="105" spans="2:3" x14ac:dyDescent="0.2">
      <c r="B105" t="str">
        <f t="shared" si="1"/>
        <v>1000009478560</v>
      </c>
      <c r="C105" t="s">
        <v>1379</v>
      </c>
    </row>
    <row r="106" spans="2:3" x14ac:dyDescent="0.2">
      <c r="B106" t="str">
        <f t="shared" si="1"/>
        <v>1000009478561</v>
      </c>
      <c r="C106" t="s">
        <v>1380</v>
      </c>
    </row>
    <row r="107" spans="2:3" x14ac:dyDescent="0.2">
      <c r="B107" t="str">
        <f t="shared" si="1"/>
        <v>1000009478562</v>
      </c>
      <c r="C107" t="s">
        <v>1381</v>
      </c>
    </row>
    <row r="108" spans="2:3" x14ac:dyDescent="0.2">
      <c r="B108" t="str">
        <f t="shared" si="1"/>
        <v>1000009478563</v>
      </c>
      <c r="C108" t="s">
        <v>1382</v>
      </c>
    </row>
    <row r="109" spans="2:3" x14ac:dyDescent="0.2">
      <c r="B109" t="str">
        <f t="shared" si="1"/>
        <v>1000009478564</v>
      </c>
      <c r="C109" t="s">
        <v>1383</v>
      </c>
    </row>
    <row r="110" spans="2:3" x14ac:dyDescent="0.2">
      <c r="B110" t="str">
        <f t="shared" si="1"/>
        <v>1000009478565</v>
      </c>
      <c r="C110" t="s">
        <v>1384</v>
      </c>
    </row>
    <row r="111" spans="2:3" x14ac:dyDescent="0.2">
      <c r="B111" t="str">
        <f t="shared" si="1"/>
        <v>1000009478566</v>
      </c>
      <c r="C111" t="s">
        <v>1385</v>
      </c>
    </row>
    <row r="112" spans="2:3" x14ac:dyDescent="0.2">
      <c r="B112" t="str">
        <f t="shared" si="1"/>
        <v>1000009478567</v>
      </c>
      <c r="C112" t="s">
        <v>1386</v>
      </c>
    </row>
    <row r="113" spans="2:3" x14ac:dyDescent="0.2">
      <c r="B113" t="str">
        <f t="shared" si="1"/>
        <v>1000009478568</v>
      </c>
      <c r="C113" t="s">
        <v>1387</v>
      </c>
    </row>
    <row r="114" spans="2:3" x14ac:dyDescent="0.2">
      <c r="B114" t="str">
        <f t="shared" si="1"/>
        <v>1000009478569</v>
      </c>
      <c r="C114" t="s">
        <v>1388</v>
      </c>
    </row>
    <row r="115" spans="2:3" x14ac:dyDescent="0.2">
      <c r="B115" t="str">
        <f t="shared" si="1"/>
        <v>1000009478570</v>
      </c>
      <c r="C115" t="s">
        <v>1389</v>
      </c>
    </row>
    <row r="116" spans="2:3" x14ac:dyDescent="0.2">
      <c r="B116" t="str">
        <f t="shared" si="1"/>
        <v>1000009478571</v>
      </c>
      <c r="C116" t="s">
        <v>1390</v>
      </c>
    </row>
    <row r="117" spans="2:3" x14ac:dyDescent="0.2">
      <c r="B117" t="str">
        <f t="shared" si="1"/>
        <v>1000009478572</v>
      </c>
      <c r="C117" t="s">
        <v>1391</v>
      </c>
    </row>
    <row r="118" spans="2:3" x14ac:dyDescent="0.2">
      <c r="B118" t="str">
        <f t="shared" si="1"/>
        <v>1000009478573</v>
      </c>
      <c r="C118" t="s">
        <v>1392</v>
      </c>
    </row>
    <row r="119" spans="2:3" x14ac:dyDescent="0.2">
      <c r="B119" t="str">
        <f t="shared" si="1"/>
        <v>1000009478574</v>
      </c>
      <c r="C119" t="s">
        <v>1393</v>
      </c>
    </row>
    <row r="120" spans="2:3" x14ac:dyDescent="0.2">
      <c r="B120" t="str">
        <f t="shared" si="1"/>
        <v>1000009478575</v>
      </c>
      <c r="C120" t="s">
        <v>1394</v>
      </c>
    </row>
    <row r="121" spans="2:3" x14ac:dyDescent="0.2">
      <c r="B121" t="str">
        <f t="shared" si="1"/>
        <v>1000009478576</v>
      </c>
      <c r="C121" t="s">
        <v>1395</v>
      </c>
    </row>
    <row r="122" spans="2:3" x14ac:dyDescent="0.2">
      <c r="B122" t="str">
        <f t="shared" si="1"/>
        <v>1000009478577</v>
      </c>
      <c r="C122" t="s">
        <v>1396</v>
      </c>
    </row>
    <row r="123" spans="2:3" x14ac:dyDescent="0.2">
      <c r="B123" t="str">
        <f t="shared" si="1"/>
        <v>1000009478578</v>
      </c>
      <c r="C123" t="s">
        <v>1397</v>
      </c>
    </row>
    <row r="124" spans="2:3" x14ac:dyDescent="0.2">
      <c r="B124" t="str">
        <f t="shared" si="1"/>
        <v>1000009478579</v>
      </c>
      <c r="C124" t="s">
        <v>1398</v>
      </c>
    </row>
    <row r="125" spans="2:3" x14ac:dyDescent="0.2">
      <c r="B125" t="str">
        <f t="shared" si="1"/>
        <v>1000009478580</v>
      </c>
      <c r="C125" t="s">
        <v>1399</v>
      </c>
    </row>
    <row r="126" spans="2:3" x14ac:dyDescent="0.2">
      <c r="B126" t="str">
        <f t="shared" si="1"/>
        <v>1000009478581</v>
      </c>
      <c r="C126" t="s">
        <v>1400</v>
      </c>
    </row>
    <row r="127" spans="2:3" x14ac:dyDescent="0.2">
      <c r="B127" t="str">
        <f t="shared" si="1"/>
        <v>1000009478582</v>
      </c>
      <c r="C127" t="s">
        <v>1401</v>
      </c>
    </row>
    <row r="128" spans="2:3" x14ac:dyDescent="0.2">
      <c r="B128" t="str">
        <f t="shared" si="1"/>
        <v>1000009478583</v>
      </c>
      <c r="C128" t="s">
        <v>1402</v>
      </c>
    </row>
    <row r="129" spans="2:3" x14ac:dyDescent="0.2">
      <c r="B129" t="str">
        <f t="shared" si="1"/>
        <v>1000009478584</v>
      </c>
      <c r="C129" t="s">
        <v>1403</v>
      </c>
    </row>
    <row r="130" spans="2:3" x14ac:dyDescent="0.2">
      <c r="B130" t="str">
        <f t="shared" si="1"/>
        <v>1000009478585</v>
      </c>
      <c r="C130" t="s">
        <v>1404</v>
      </c>
    </row>
    <row r="131" spans="2:3" x14ac:dyDescent="0.2">
      <c r="B131" t="str">
        <f t="shared" si="1"/>
        <v>1000009478586</v>
      </c>
      <c r="C131" t="s">
        <v>1405</v>
      </c>
    </row>
    <row r="132" spans="2:3" x14ac:dyDescent="0.2">
      <c r="B132" t="str">
        <f t="shared" si="1"/>
        <v>1000009478587</v>
      </c>
      <c r="C132" t="s">
        <v>1406</v>
      </c>
    </row>
    <row r="133" spans="2:3" x14ac:dyDescent="0.2">
      <c r="B133" t="str">
        <f t="shared" si="1"/>
        <v>1000009478589</v>
      </c>
      <c r="C133" t="s">
        <v>1407</v>
      </c>
    </row>
    <row r="134" spans="2:3" x14ac:dyDescent="0.2">
      <c r="B134" t="str">
        <f t="shared" si="1"/>
        <v>1000009478590</v>
      </c>
      <c r="C134" t="s">
        <v>1408</v>
      </c>
    </row>
    <row r="135" spans="2:3" x14ac:dyDescent="0.2">
      <c r="B135" t="str">
        <f t="shared" si="1"/>
        <v>1000009478591</v>
      </c>
      <c r="C135" t="s">
        <v>1409</v>
      </c>
    </row>
    <row r="136" spans="2:3" x14ac:dyDescent="0.2">
      <c r="B136" t="str">
        <f t="shared" ref="B136:B199" si="2">MID(C136,10,13)</f>
        <v>1000009478592</v>
      </c>
      <c r="C136" t="s">
        <v>1410</v>
      </c>
    </row>
    <row r="137" spans="2:3" x14ac:dyDescent="0.2">
      <c r="B137" t="str">
        <f t="shared" si="2"/>
        <v>1000009478593</v>
      </c>
      <c r="C137" t="s">
        <v>1411</v>
      </c>
    </row>
    <row r="138" spans="2:3" x14ac:dyDescent="0.2">
      <c r="B138" t="str">
        <f t="shared" si="2"/>
        <v>1000009478594</v>
      </c>
      <c r="C138" t="s">
        <v>1412</v>
      </c>
    </row>
    <row r="139" spans="2:3" x14ac:dyDescent="0.2">
      <c r="B139" t="str">
        <f t="shared" si="2"/>
        <v>1000009478595</v>
      </c>
      <c r="C139" t="s">
        <v>1413</v>
      </c>
    </row>
    <row r="140" spans="2:3" x14ac:dyDescent="0.2">
      <c r="B140" t="str">
        <f t="shared" si="2"/>
        <v>1000009478596</v>
      </c>
      <c r="C140" t="s">
        <v>1414</v>
      </c>
    </row>
    <row r="141" spans="2:3" x14ac:dyDescent="0.2">
      <c r="B141" t="str">
        <f t="shared" si="2"/>
        <v>1000009478597</v>
      </c>
      <c r="C141" t="s">
        <v>1415</v>
      </c>
    </row>
    <row r="142" spans="2:3" x14ac:dyDescent="0.2">
      <c r="B142" t="str">
        <f t="shared" si="2"/>
        <v>1000009478598</v>
      </c>
      <c r="C142" t="s">
        <v>1416</v>
      </c>
    </row>
    <row r="143" spans="2:3" x14ac:dyDescent="0.2">
      <c r="B143" t="str">
        <f t="shared" si="2"/>
        <v>1000009478599</v>
      </c>
      <c r="C143" t="s">
        <v>1417</v>
      </c>
    </row>
    <row r="144" spans="2:3" x14ac:dyDescent="0.2">
      <c r="B144" t="str">
        <f t="shared" si="2"/>
        <v>1000009478601</v>
      </c>
      <c r="C144" t="s">
        <v>1418</v>
      </c>
    </row>
    <row r="145" spans="2:3" x14ac:dyDescent="0.2">
      <c r="B145" t="str">
        <f t="shared" si="2"/>
        <v>1000009478602</v>
      </c>
      <c r="C145" t="s">
        <v>1419</v>
      </c>
    </row>
    <row r="146" spans="2:3" x14ac:dyDescent="0.2">
      <c r="B146" t="str">
        <f t="shared" si="2"/>
        <v>1000009478603</v>
      </c>
      <c r="C146" t="s">
        <v>1420</v>
      </c>
    </row>
    <row r="147" spans="2:3" x14ac:dyDescent="0.2">
      <c r="B147" t="str">
        <f t="shared" si="2"/>
        <v>1000009478604</v>
      </c>
      <c r="C147" t="s">
        <v>1421</v>
      </c>
    </row>
    <row r="148" spans="2:3" x14ac:dyDescent="0.2">
      <c r="B148" t="str">
        <f t="shared" si="2"/>
        <v>1000009478605</v>
      </c>
      <c r="C148" t="s">
        <v>1422</v>
      </c>
    </row>
    <row r="149" spans="2:3" x14ac:dyDescent="0.2">
      <c r="B149" t="str">
        <f t="shared" si="2"/>
        <v>1000009478607</v>
      </c>
      <c r="C149" t="s">
        <v>1423</v>
      </c>
    </row>
    <row r="150" spans="2:3" x14ac:dyDescent="0.2">
      <c r="B150" t="str">
        <f t="shared" si="2"/>
        <v>1000009478608</v>
      </c>
      <c r="C150" t="s">
        <v>1424</v>
      </c>
    </row>
    <row r="151" spans="2:3" x14ac:dyDescent="0.2">
      <c r="B151" t="str">
        <f t="shared" si="2"/>
        <v>1000009478609</v>
      </c>
      <c r="C151" t="s">
        <v>1425</v>
      </c>
    </row>
    <row r="152" spans="2:3" x14ac:dyDescent="0.2">
      <c r="B152" t="str">
        <f t="shared" si="2"/>
        <v>1000009478610</v>
      </c>
      <c r="C152" t="s">
        <v>1426</v>
      </c>
    </row>
    <row r="153" spans="2:3" x14ac:dyDescent="0.2">
      <c r="B153" t="str">
        <f t="shared" si="2"/>
        <v>1000009478611</v>
      </c>
      <c r="C153" t="s">
        <v>1427</v>
      </c>
    </row>
    <row r="154" spans="2:3" x14ac:dyDescent="0.2">
      <c r="B154" t="str">
        <f t="shared" si="2"/>
        <v>1000009478612</v>
      </c>
      <c r="C154" t="s">
        <v>1428</v>
      </c>
    </row>
    <row r="155" spans="2:3" x14ac:dyDescent="0.2">
      <c r="B155" t="str">
        <f t="shared" si="2"/>
        <v>1000009478613</v>
      </c>
      <c r="C155" t="s">
        <v>1429</v>
      </c>
    </row>
    <row r="156" spans="2:3" x14ac:dyDescent="0.2">
      <c r="B156" t="str">
        <f t="shared" si="2"/>
        <v>1000009478614</v>
      </c>
      <c r="C156" t="s">
        <v>1430</v>
      </c>
    </row>
    <row r="157" spans="2:3" x14ac:dyDescent="0.2">
      <c r="B157" t="str">
        <f t="shared" si="2"/>
        <v>1000009478615</v>
      </c>
      <c r="C157" t="s">
        <v>1431</v>
      </c>
    </row>
    <row r="158" spans="2:3" x14ac:dyDescent="0.2">
      <c r="B158" t="str">
        <f t="shared" si="2"/>
        <v>1000009478616</v>
      </c>
      <c r="C158" t="s">
        <v>1432</v>
      </c>
    </row>
    <row r="159" spans="2:3" x14ac:dyDescent="0.2">
      <c r="B159" t="str">
        <f t="shared" si="2"/>
        <v>1000009478617</v>
      </c>
      <c r="C159" t="s">
        <v>1433</v>
      </c>
    </row>
    <row r="160" spans="2:3" x14ac:dyDescent="0.2">
      <c r="B160" t="str">
        <f t="shared" si="2"/>
        <v>1000009478618</v>
      </c>
      <c r="C160" t="s">
        <v>1434</v>
      </c>
    </row>
    <row r="161" spans="2:3" x14ac:dyDescent="0.2">
      <c r="B161" t="str">
        <f t="shared" si="2"/>
        <v>1000009478619</v>
      </c>
      <c r="C161" t="s">
        <v>1435</v>
      </c>
    </row>
    <row r="162" spans="2:3" x14ac:dyDescent="0.2">
      <c r="B162" t="str">
        <f t="shared" si="2"/>
        <v>1000009478620</v>
      </c>
      <c r="C162" t="s">
        <v>1436</v>
      </c>
    </row>
    <row r="163" spans="2:3" x14ac:dyDescent="0.2">
      <c r="B163" t="str">
        <f t="shared" si="2"/>
        <v>1000009478621</v>
      </c>
      <c r="C163" t="s">
        <v>1437</v>
      </c>
    </row>
    <row r="164" spans="2:3" x14ac:dyDescent="0.2">
      <c r="B164" t="str">
        <f t="shared" si="2"/>
        <v>1000009478622</v>
      </c>
      <c r="C164" t="s">
        <v>1438</v>
      </c>
    </row>
    <row r="165" spans="2:3" x14ac:dyDescent="0.2">
      <c r="B165" t="str">
        <f t="shared" si="2"/>
        <v>1000009478623</v>
      </c>
      <c r="C165" t="s">
        <v>1439</v>
      </c>
    </row>
    <row r="166" spans="2:3" x14ac:dyDescent="0.2">
      <c r="B166" t="str">
        <f t="shared" si="2"/>
        <v>1000009478624</v>
      </c>
      <c r="C166" t="s">
        <v>1440</v>
      </c>
    </row>
    <row r="167" spans="2:3" x14ac:dyDescent="0.2">
      <c r="B167" t="str">
        <f t="shared" si="2"/>
        <v>1000009478625</v>
      </c>
      <c r="C167" t="s">
        <v>1441</v>
      </c>
    </row>
    <row r="168" spans="2:3" x14ac:dyDescent="0.2">
      <c r="B168" t="str">
        <f t="shared" si="2"/>
        <v>1000009478626</v>
      </c>
      <c r="C168" t="s">
        <v>1442</v>
      </c>
    </row>
    <row r="169" spans="2:3" x14ac:dyDescent="0.2">
      <c r="B169" t="str">
        <f t="shared" si="2"/>
        <v>1000009478627</v>
      </c>
      <c r="C169" t="s">
        <v>1443</v>
      </c>
    </row>
    <row r="170" spans="2:3" x14ac:dyDescent="0.2">
      <c r="B170" t="str">
        <f t="shared" si="2"/>
        <v>1000009478628</v>
      </c>
      <c r="C170" t="s">
        <v>1444</v>
      </c>
    </row>
    <row r="171" spans="2:3" x14ac:dyDescent="0.2">
      <c r="B171" t="str">
        <f t="shared" si="2"/>
        <v>1000009478629</v>
      </c>
      <c r="C171" t="s">
        <v>1445</v>
      </c>
    </row>
    <row r="172" spans="2:3" x14ac:dyDescent="0.2">
      <c r="B172" t="str">
        <f t="shared" si="2"/>
        <v>1000009478630</v>
      </c>
      <c r="C172" t="s">
        <v>1446</v>
      </c>
    </row>
    <row r="173" spans="2:3" x14ac:dyDescent="0.2">
      <c r="B173" t="str">
        <f t="shared" si="2"/>
        <v>1000009478631</v>
      </c>
      <c r="C173" t="s">
        <v>1447</v>
      </c>
    </row>
    <row r="174" spans="2:3" x14ac:dyDescent="0.2">
      <c r="B174" t="str">
        <f t="shared" si="2"/>
        <v>1000009478632</v>
      </c>
      <c r="C174" t="s">
        <v>1448</v>
      </c>
    </row>
    <row r="175" spans="2:3" x14ac:dyDescent="0.2">
      <c r="B175" t="str">
        <f t="shared" si="2"/>
        <v>1000009478633</v>
      </c>
      <c r="C175" t="s">
        <v>1449</v>
      </c>
    </row>
    <row r="176" spans="2:3" x14ac:dyDescent="0.2">
      <c r="B176" t="str">
        <f t="shared" si="2"/>
        <v>1000009478634</v>
      </c>
      <c r="C176" t="s">
        <v>1450</v>
      </c>
    </row>
    <row r="177" spans="2:3" x14ac:dyDescent="0.2">
      <c r="B177" t="str">
        <f t="shared" si="2"/>
        <v>1000009478635</v>
      </c>
      <c r="C177" t="s">
        <v>1451</v>
      </c>
    </row>
    <row r="178" spans="2:3" x14ac:dyDescent="0.2">
      <c r="B178" t="str">
        <f t="shared" si="2"/>
        <v>1000009478636</v>
      </c>
      <c r="C178" t="s">
        <v>1452</v>
      </c>
    </row>
    <row r="179" spans="2:3" x14ac:dyDescent="0.2">
      <c r="B179" t="str">
        <f t="shared" si="2"/>
        <v>1000009478637</v>
      </c>
      <c r="C179" t="s">
        <v>1453</v>
      </c>
    </row>
    <row r="180" spans="2:3" x14ac:dyDescent="0.2">
      <c r="B180" t="str">
        <f t="shared" si="2"/>
        <v>1000009478638</v>
      </c>
      <c r="C180" t="s">
        <v>1454</v>
      </c>
    </row>
    <row r="181" spans="2:3" x14ac:dyDescent="0.2">
      <c r="B181" t="str">
        <f t="shared" si="2"/>
        <v>1000009478639</v>
      </c>
      <c r="C181" t="s">
        <v>1455</v>
      </c>
    </row>
    <row r="182" spans="2:3" x14ac:dyDescent="0.2">
      <c r="B182" t="str">
        <f t="shared" si="2"/>
        <v>1000009478640</v>
      </c>
      <c r="C182" t="s">
        <v>1456</v>
      </c>
    </row>
    <row r="183" spans="2:3" x14ac:dyDescent="0.2">
      <c r="B183" t="str">
        <f t="shared" si="2"/>
        <v>1000009478641</v>
      </c>
      <c r="C183" t="s">
        <v>1457</v>
      </c>
    </row>
    <row r="184" spans="2:3" x14ac:dyDescent="0.2">
      <c r="B184" t="str">
        <f t="shared" si="2"/>
        <v>1000009478642</v>
      </c>
      <c r="C184" t="s">
        <v>1458</v>
      </c>
    </row>
    <row r="185" spans="2:3" x14ac:dyDescent="0.2">
      <c r="B185" t="str">
        <f t="shared" si="2"/>
        <v>1000009478643</v>
      </c>
      <c r="C185" t="s">
        <v>1459</v>
      </c>
    </row>
    <row r="186" spans="2:3" x14ac:dyDescent="0.2">
      <c r="B186" t="str">
        <f t="shared" si="2"/>
        <v>1000009478644</v>
      </c>
      <c r="C186" t="s">
        <v>1460</v>
      </c>
    </row>
    <row r="187" spans="2:3" x14ac:dyDescent="0.2">
      <c r="B187" t="str">
        <f t="shared" si="2"/>
        <v>1000009478645</v>
      </c>
      <c r="C187" t="s">
        <v>1461</v>
      </c>
    </row>
    <row r="188" spans="2:3" x14ac:dyDescent="0.2">
      <c r="B188" t="str">
        <f t="shared" si="2"/>
        <v>1000009478646</v>
      </c>
      <c r="C188" t="s">
        <v>1462</v>
      </c>
    </row>
    <row r="189" spans="2:3" x14ac:dyDescent="0.2">
      <c r="B189" t="str">
        <f t="shared" si="2"/>
        <v>1000009478651</v>
      </c>
      <c r="C189" t="s">
        <v>1463</v>
      </c>
    </row>
    <row r="190" spans="2:3" x14ac:dyDescent="0.2">
      <c r="B190" t="str">
        <f t="shared" si="2"/>
        <v>1000009478652</v>
      </c>
      <c r="C190" t="s">
        <v>1464</v>
      </c>
    </row>
    <row r="191" spans="2:3" x14ac:dyDescent="0.2">
      <c r="B191" t="str">
        <f t="shared" si="2"/>
        <v>1000009478653</v>
      </c>
      <c r="C191" t="s">
        <v>1465</v>
      </c>
    </row>
    <row r="192" spans="2:3" x14ac:dyDescent="0.2">
      <c r="B192" t="str">
        <f t="shared" si="2"/>
        <v>1000009478654</v>
      </c>
      <c r="C192" t="s">
        <v>1466</v>
      </c>
    </row>
    <row r="193" spans="2:3" x14ac:dyDescent="0.2">
      <c r="B193" t="str">
        <f t="shared" si="2"/>
        <v>1000009478655</v>
      </c>
      <c r="C193" t="s">
        <v>1467</v>
      </c>
    </row>
    <row r="194" spans="2:3" x14ac:dyDescent="0.2">
      <c r="B194" t="str">
        <f t="shared" si="2"/>
        <v>1000009478656</v>
      </c>
      <c r="C194" t="s">
        <v>1468</v>
      </c>
    </row>
    <row r="195" spans="2:3" x14ac:dyDescent="0.2">
      <c r="B195" t="str">
        <f t="shared" si="2"/>
        <v>1000009478657</v>
      </c>
      <c r="C195" t="s">
        <v>1469</v>
      </c>
    </row>
    <row r="196" spans="2:3" x14ac:dyDescent="0.2">
      <c r="B196" t="str">
        <f t="shared" si="2"/>
        <v>1000009478658</v>
      </c>
      <c r="C196" t="s">
        <v>1470</v>
      </c>
    </row>
    <row r="197" spans="2:3" x14ac:dyDescent="0.2">
      <c r="B197" t="str">
        <f t="shared" si="2"/>
        <v>1000009478659</v>
      </c>
      <c r="C197" t="s">
        <v>1471</v>
      </c>
    </row>
    <row r="198" spans="2:3" x14ac:dyDescent="0.2">
      <c r="B198" t="str">
        <f t="shared" si="2"/>
        <v>1000009478660</v>
      </c>
      <c r="C198" t="s">
        <v>1472</v>
      </c>
    </row>
    <row r="199" spans="2:3" x14ac:dyDescent="0.2">
      <c r="B199" t="str">
        <f t="shared" si="2"/>
        <v>1000009478661</v>
      </c>
      <c r="C199" t="s">
        <v>1473</v>
      </c>
    </row>
    <row r="200" spans="2:3" x14ac:dyDescent="0.2">
      <c r="B200" t="str">
        <f t="shared" ref="B200:B260" si="3">MID(C200,10,13)</f>
        <v>1000009478662</v>
      </c>
      <c r="C200" t="s">
        <v>1474</v>
      </c>
    </row>
    <row r="201" spans="2:3" x14ac:dyDescent="0.2">
      <c r="B201" t="str">
        <f t="shared" si="3"/>
        <v>1000009478663</v>
      </c>
      <c r="C201" t="s">
        <v>1475</v>
      </c>
    </row>
    <row r="202" spans="2:3" x14ac:dyDescent="0.2">
      <c r="B202" t="str">
        <f t="shared" si="3"/>
        <v>1000009478664</v>
      </c>
      <c r="C202" t="s">
        <v>1476</v>
      </c>
    </row>
    <row r="203" spans="2:3" x14ac:dyDescent="0.2">
      <c r="B203" t="str">
        <f t="shared" si="3"/>
        <v>1000009478665</v>
      </c>
      <c r="C203" t="s">
        <v>1477</v>
      </c>
    </row>
    <row r="204" spans="2:3" x14ac:dyDescent="0.2">
      <c r="B204" t="str">
        <f t="shared" si="3"/>
        <v>1000009478666</v>
      </c>
      <c r="C204" t="s">
        <v>1478</v>
      </c>
    </row>
    <row r="205" spans="2:3" x14ac:dyDescent="0.2">
      <c r="B205" t="str">
        <f t="shared" si="3"/>
        <v>1000009478667</v>
      </c>
      <c r="C205" t="s">
        <v>1479</v>
      </c>
    </row>
    <row r="206" spans="2:3" x14ac:dyDescent="0.2">
      <c r="B206" t="str">
        <f t="shared" si="3"/>
        <v>1000009478668</v>
      </c>
      <c r="C206" t="s">
        <v>1480</v>
      </c>
    </row>
    <row r="207" spans="2:3" x14ac:dyDescent="0.2">
      <c r="B207" t="str">
        <f t="shared" si="3"/>
        <v>1000009478669</v>
      </c>
      <c r="C207" t="s">
        <v>1481</v>
      </c>
    </row>
    <row r="208" spans="2:3" x14ac:dyDescent="0.2">
      <c r="B208" t="str">
        <f t="shared" si="3"/>
        <v>1000009478670</v>
      </c>
      <c r="C208" t="s">
        <v>1482</v>
      </c>
    </row>
    <row r="209" spans="2:3" x14ac:dyDescent="0.2">
      <c r="B209" t="str">
        <f t="shared" si="3"/>
        <v>1000009478671</v>
      </c>
      <c r="C209" t="s">
        <v>1483</v>
      </c>
    </row>
    <row r="210" spans="2:3" x14ac:dyDescent="0.2">
      <c r="B210" t="str">
        <f t="shared" si="3"/>
        <v>1000009478672</v>
      </c>
      <c r="C210" t="s">
        <v>1484</v>
      </c>
    </row>
    <row r="211" spans="2:3" x14ac:dyDescent="0.2">
      <c r="B211" t="str">
        <f t="shared" si="3"/>
        <v>1000009478673</v>
      </c>
      <c r="C211" t="s">
        <v>1485</v>
      </c>
    </row>
    <row r="212" spans="2:3" x14ac:dyDescent="0.2">
      <c r="B212" t="str">
        <f t="shared" si="3"/>
        <v>1000009478674</v>
      </c>
      <c r="C212" t="s">
        <v>1486</v>
      </c>
    </row>
    <row r="213" spans="2:3" x14ac:dyDescent="0.2">
      <c r="B213" t="str">
        <f t="shared" si="3"/>
        <v>1000009478675</v>
      </c>
      <c r="C213" t="s">
        <v>1487</v>
      </c>
    </row>
    <row r="214" spans="2:3" x14ac:dyDescent="0.2">
      <c r="B214" t="str">
        <f t="shared" si="3"/>
        <v>1000009478676</v>
      </c>
      <c r="C214" t="s">
        <v>1488</v>
      </c>
    </row>
    <row r="215" spans="2:3" x14ac:dyDescent="0.2">
      <c r="B215" t="str">
        <f t="shared" si="3"/>
        <v>1000009478677</v>
      </c>
      <c r="C215" t="s">
        <v>1489</v>
      </c>
    </row>
    <row r="216" spans="2:3" x14ac:dyDescent="0.2">
      <c r="B216" t="str">
        <f t="shared" si="3"/>
        <v>1000009478678</v>
      </c>
      <c r="C216" t="s">
        <v>1490</v>
      </c>
    </row>
    <row r="217" spans="2:3" x14ac:dyDescent="0.2">
      <c r="B217" t="str">
        <f t="shared" si="3"/>
        <v>1000009478679</v>
      </c>
      <c r="C217" t="s">
        <v>1491</v>
      </c>
    </row>
    <row r="218" spans="2:3" x14ac:dyDescent="0.2">
      <c r="B218" t="str">
        <f t="shared" si="3"/>
        <v>1000009478680</v>
      </c>
      <c r="C218" t="s">
        <v>1492</v>
      </c>
    </row>
    <row r="219" spans="2:3" x14ac:dyDescent="0.2">
      <c r="B219" t="str">
        <f t="shared" si="3"/>
        <v>1000009478681</v>
      </c>
      <c r="C219" t="s">
        <v>1493</v>
      </c>
    </row>
    <row r="220" spans="2:3" x14ac:dyDescent="0.2">
      <c r="B220" t="str">
        <f t="shared" si="3"/>
        <v>1000009478682</v>
      </c>
      <c r="C220" t="s">
        <v>1494</v>
      </c>
    </row>
    <row r="221" spans="2:3" x14ac:dyDescent="0.2">
      <c r="B221" t="str">
        <f t="shared" si="3"/>
        <v>1000009478683</v>
      </c>
      <c r="C221" t="s">
        <v>1495</v>
      </c>
    </row>
    <row r="222" spans="2:3" x14ac:dyDescent="0.2">
      <c r="B222" t="str">
        <f t="shared" si="3"/>
        <v>1000009478684</v>
      </c>
      <c r="C222" t="s">
        <v>1496</v>
      </c>
    </row>
    <row r="223" spans="2:3" x14ac:dyDescent="0.2">
      <c r="B223" t="str">
        <f t="shared" si="3"/>
        <v>1000009478685</v>
      </c>
      <c r="C223" t="s">
        <v>1497</v>
      </c>
    </row>
    <row r="224" spans="2:3" x14ac:dyDescent="0.2">
      <c r="B224" t="str">
        <f t="shared" si="3"/>
        <v>1000009478686</v>
      </c>
      <c r="C224" t="s">
        <v>1498</v>
      </c>
    </row>
    <row r="225" spans="2:3" x14ac:dyDescent="0.2">
      <c r="B225" t="str">
        <f t="shared" si="3"/>
        <v>1000009478687</v>
      </c>
      <c r="C225" t="s">
        <v>1499</v>
      </c>
    </row>
    <row r="226" spans="2:3" x14ac:dyDescent="0.2">
      <c r="B226" t="str">
        <f t="shared" si="3"/>
        <v>1000009478688</v>
      </c>
      <c r="C226" t="s">
        <v>1500</v>
      </c>
    </row>
    <row r="227" spans="2:3" x14ac:dyDescent="0.2">
      <c r="B227" t="str">
        <f t="shared" si="3"/>
        <v>1000009478689</v>
      </c>
      <c r="C227" t="s">
        <v>1501</v>
      </c>
    </row>
    <row r="228" spans="2:3" x14ac:dyDescent="0.2">
      <c r="B228" t="str">
        <f t="shared" si="3"/>
        <v>1000009478690</v>
      </c>
      <c r="C228" t="s">
        <v>1502</v>
      </c>
    </row>
    <row r="229" spans="2:3" x14ac:dyDescent="0.2">
      <c r="B229" t="str">
        <f t="shared" si="3"/>
        <v>1000009478691</v>
      </c>
      <c r="C229" t="s">
        <v>1503</v>
      </c>
    </row>
    <row r="230" spans="2:3" x14ac:dyDescent="0.2">
      <c r="B230" t="str">
        <f t="shared" si="3"/>
        <v>1000009478692</v>
      </c>
      <c r="C230" t="s">
        <v>1504</v>
      </c>
    </row>
    <row r="231" spans="2:3" x14ac:dyDescent="0.2">
      <c r="B231" t="str">
        <f t="shared" si="3"/>
        <v>1000009478693</v>
      </c>
      <c r="C231" t="s">
        <v>1505</v>
      </c>
    </row>
    <row r="232" spans="2:3" x14ac:dyDescent="0.2">
      <c r="B232" t="str">
        <f t="shared" si="3"/>
        <v>1000009478694</v>
      </c>
      <c r="C232" t="s">
        <v>1506</v>
      </c>
    </row>
    <row r="233" spans="2:3" x14ac:dyDescent="0.2">
      <c r="B233" t="str">
        <f t="shared" si="3"/>
        <v>1000009478695</v>
      </c>
      <c r="C233" t="s">
        <v>1507</v>
      </c>
    </row>
    <row r="234" spans="2:3" x14ac:dyDescent="0.2">
      <c r="B234" t="str">
        <f t="shared" si="3"/>
        <v>1000009478696</v>
      </c>
      <c r="C234" t="s">
        <v>1508</v>
      </c>
    </row>
    <row r="235" spans="2:3" x14ac:dyDescent="0.2">
      <c r="B235" t="str">
        <f t="shared" si="3"/>
        <v>1000009478697</v>
      </c>
      <c r="C235" t="s">
        <v>1509</v>
      </c>
    </row>
    <row r="236" spans="2:3" x14ac:dyDescent="0.2">
      <c r="B236" t="str">
        <f t="shared" si="3"/>
        <v>1000009478698</v>
      </c>
      <c r="C236" t="s">
        <v>1510</v>
      </c>
    </row>
    <row r="237" spans="2:3" x14ac:dyDescent="0.2">
      <c r="B237" t="str">
        <f t="shared" si="3"/>
        <v>1000009478699</v>
      </c>
      <c r="C237" t="s">
        <v>1511</v>
      </c>
    </row>
    <row r="238" spans="2:3" x14ac:dyDescent="0.2">
      <c r="B238" t="str">
        <f t="shared" si="3"/>
        <v>1000009478918</v>
      </c>
      <c r="C238" t="s">
        <v>1512</v>
      </c>
    </row>
    <row r="239" spans="2:3" x14ac:dyDescent="0.2">
      <c r="B239" t="str">
        <f t="shared" si="3"/>
        <v>1000009478920</v>
      </c>
      <c r="C239" t="s">
        <v>1513</v>
      </c>
    </row>
    <row r="240" spans="2:3" x14ac:dyDescent="0.2">
      <c r="B240" t="str">
        <f t="shared" si="3"/>
        <v>1000009478921</v>
      </c>
      <c r="C240" t="s">
        <v>1514</v>
      </c>
    </row>
    <row r="241" spans="2:3" x14ac:dyDescent="0.2">
      <c r="B241" t="str">
        <f t="shared" si="3"/>
        <v>1000009478922</v>
      </c>
      <c r="C241" t="s">
        <v>1515</v>
      </c>
    </row>
    <row r="242" spans="2:3" x14ac:dyDescent="0.2">
      <c r="B242" t="str">
        <f t="shared" si="3"/>
        <v>1000009678953</v>
      </c>
      <c r="C242" t="s">
        <v>1516</v>
      </c>
    </row>
    <row r="243" spans="2:3" x14ac:dyDescent="0.2">
      <c r="B243" t="str">
        <f t="shared" si="3"/>
        <v>1000009678954</v>
      </c>
      <c r="C243" t="s">
        <v>1517</v>
      </c>
    </row>
    <row r="244" spans="2:3" x14ac:dyDescent="0.2">
      <c r="B244" t="str">
        <f t="shared" si="3"/>
        <v>1000009678955</v>
      </c>
      <c r="C244" t="s">
        <v>1518</v>
      </c>
    </row>
    <row r="245" spans="2:3" x14ac:dyDescent="0.2">
      <c r="B245" t="str">
        <f t="shared" si="3"/>
        <v>1000009678956</v>
      </c>
      <c r="C245" t="s">
        <v>1519</v>
      </c>
    </row>
    <row r="246" spans="2:3" x14ac:dyDescent="0.2">
      <c r="B246" t="str">
        <f t="shared" si="3"/>
        <v>1000009678957</v>
      </c>
      <c r="C246" t="s">
        <v>1520</v>
      </c>
    </row>
    <row r="247" spans="2:3" x14ac:dyDescent="0.2">
      <c r="B247" t="str">
        <f t="shared" si="3"/>
        <v>1000009678958</v>
      </c>
      <c r="C247" t="s">
        <v>1521</v>
      </c>
    </row>
    <row r="248" spans="2:3" x14ac:dyDescent="0.2">
      <c r="B248" t="str">
        <f t="shared" si="3"/>
        <v>1000009678959</v>
      </c>
      <c r="C248" t="s">
        <v>1522</v>
      </c>
    </row>
    <row r="249" spans="2:3" x14ac:dyDescent="0.2">
      <c r="B249" t="str">
        <f t="shared" si="3"/>
        <v>1000009678960</v>
      </c>
      <c r="C249" t="s">
        <v>1523</v>
      </c>
    </row>
    <row r="250" spans="2:3" x14ac:dyDescent="0.2">
      <c r="B250" t="str">
        <f t="shared" si="3"/>
        <v>1000009678961</v>
      </c>
      <c r="C250" t="s">
        <v>1524</v>
      </c>
    </row>
    <row r="251" spans="2:3" x14ac:dyDescent="0.2">
      <c r="B251" t="str">
        <f t="shared" si="3"/>
        <v>1000009678962</v>
      </c>
      <c r="C251" t="s">
        <v>1525</v>
      </c>
    </row>
    <row r="252" spans="2:3" x14ac:dyDescent="0.2">
      <c r="B252" t="str">
        <f t="shared" si="3"/>
        <v>1000010135089</v>
      </c>
      <c r="C252" t="s">
        <v>1526</v>
      </c>
    </row>
    <row r="253" spans="2:3" x14ac:dyDescent="0.2">
      <c r="B253" t="str">
        <f t="shared" si="3"/>
        <v>1000015743653</v>
      </c>
      <c r="C253" t="s">
        <v>1527</v>
      </c>
    </row>
    <row r="254" spans="2:3" x14ac:dyDescent="0.2">
      <c r="B254" t="str">
        <f t="shared" si="3"/>
        <v>1000016727214</v>
      </c>
      <c r="C254" t="s">
        <v>1528</v>
      </c>
    </row>
    <row r="255" spans="2:3" x14ac:dyDescent="0.2">
      <c r="B255" t="str">
        <f t="shared" si="3"/>
        <v>1000032483106</v>
      </c>
      <c r="C255" t="s">
        <v>1529</v>
      </c>
    </row>
    <row r="256" spans="2:3" x14ac:dyDescent="0.2">
      <c r="B256" t="str">
        <f t="shared" si="3"/>
        <v>1000041525017</v>
      </c>
      <c r="C256" t="s">
        <v>1530</v>
      </c>
    </row>
    <row r="257" spans="2:3" x14ac:dyDescent="0.2">
      <c r="B257" t="str">
        <f t="shared" si="3"/>
        <v>1000041525018</v>
      </c>
      <c r="C257" t="s">
        <v>1531</v>
      </c>
    </row>
    <row r="258" spans="2:3" x14ac:dyDescent="0.2">
      <c r="B258" t="str">
        <f t="shared" si="3"/>
        <v>1000070548130</v>
      </c>
      <c r="C258" t="s">
        <v>1532</v>
      </c>
    </row>
    <row r="259" spans="2:3" x14ac:dyDescent="0.2">
      <c r="B259" t="str">
        <f t="shared" si="3"/>
        <v>1000041525017</v>
      </c>
      <c r="C259" t="s">
        <v>1533</v>
      </c>
    </row>
    <row r="260" spans="2:3" x14ac:dyDescent="0.2">
      <c r="B260" t="str">
        <f t="shared" si="3"/>
        <v>1000041525018</v>
      </c>
      <c r="C260" t="s">
        <v>1534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3:L125"/>
  <sheetViews>
    <sheetView topLeftCell="A25" workbookViewId="0">
      <selection activeCell="I6" sqref="I6"/>
    </sheetView>
  </sheetViews>
  <sheetFormatPr baseColWidth="10" defaultColWidth="11.5546875" defaultRowHeight="12.75" x14ac:dyDescent="0.2"/>
  <cols>
    <col min="1" max="1" width="4.88671875" style="74" customWidth="1"/>
    <col min="2" max="2" width="5" style="38" customWidth="1"/>
    <col min="3" max="3" width="4.88671875" style="74" customWidth="1"/>
    <col min="4" max="4" width="5.21875" style="38" customWidth="1"/>
    <col min="5" max="5" width="11.5546875" style="74"/>
    <col min="6" max="6" width="8.6640625" style="38" customWidth="1"/>
    <col min="7" max="7" width="50.77734375" style="74" customWidth="1"/>
    <col min="8" max="8" width="13.109375" style="74" hidden="1" customWidth="1"/>
    <col min="9" max="9" width="20.21875" style="74" customWidth="1"/>
    <col min="10" max="10" width="16.88671875" style="74" customWidth="1"/>
    <col min="11" max="11" width="16.33203125" style="74" customWidth="1"/>
    <col min="12" max="16384" width="11.5546875" style="74"/>
  </cols>
  <sheetData>
    <row r="3" spans="1:10" x14ac:dyDescent="0.2">
      <c r="A3" s="10" t="s">
        <v>97</v>
      </c>
      <c r="B3" s="23"/>
      <c r="C3" s="10"/>
      <c r="D3" s="22"/>
      <c r="E3" s="10"/>
      <c r="F3" s="23"/>
      <c r="G3" s="10"/>
    </row>
    <row r="4" spans="1:10" x14ac:dyDescent="0.2">
      <c r="A4" s="10" t="s">
        <v>11</v>
      </c>
      <c r="B4" s="23"/>
      <c r="C4" s="10">
        <v>775</v>
      </c>
      <c r="D4" s="22"/>
      <c r="E4" s="10"/>
      <c r="F4" s="23" t="s">
        <v>1266</v>
      </c>
      <c r="G4" s="10"/>
    </row>
    <row r="5" spans="1:10" x14ac:dyDescent="0.2">
      <c r="A5" s="10" t="s">
        <v>19</v>
      </c>
      <c r="B5" s="23"/>
      <c r="C5" s="10" t="s">
        <v>98</v>
      </c>
      <c r="D5" s="22"/>
      <c r="E5" s="10" t="s">
        <v>22</v>
      </c>
      <c r="F5" s="23"/>
      <c r="G5" s="10"/>
    </row>
    <row r="6" spans="1:10" x14ac:dyDescent="0.2">
      <c r="A6" s="10" t="s">
        <v>13</v>
      </c>
      <c r="B6" s="23"/>
      <c r="C6" s="10" t="s">
        <v>32</v>
      </c>
      <c r="D6" s="22"/>
      <c r="E6" s="10"/>
      <c r="F6" s="23"/>
      <c r="G6" s="10"/>
      <c r="I6" s="74">
        <v>5309270100000710</v>
      </c>
    </row>
    <row r="7" spans="1:10" x14ac:dyDescent="0.2">
      <c r="A7" s="12" t="s">
        <v>17</v>
      </c>
      <c r="B7" s="23"/>
      <c r="C7" s="10" t="s">
        <v>346</v>
      </c>
      <c r="D7" s="22"/>
      <c r="E7" s="10"/>
      <c r="F7" s="23"/>
      <c r="G7" s="10"/>
    </row>
    <row r="8" spans="1:10" x14ac:dyDescent="0.2">
      <c r="A8" s="12" t="s">
        <v>0</v>
      </c>
      <c r="B8" s="23"/>
      <c r="C8" s="10"/>
      <c r="D8" s="22"/>
      <c r="E8" s="10"/>
      <c r="F8" s="23"/>
      <c r="G8" s="10"/>
    </row>
    <row r="9" spans="1:10" x14ac:dyDescent="0.2">
      <c r="A9" s="13" t="s">
        <v>2</v>
      </c>
      <c r="B9" s="29" t="s">
        <v>1</v>
      </c>
      <c r="C9" s="12" t="s">
        <v>3</v>
      </c>
      <c r="D9" s="22">
        <v>757</v>
      </c>
      <c r="E9" s="12" t="s">
        <v>4</v>
      </c>
      <c r="F9" s="23"/>
      <c r="G9" s="10"/>
    </row>
    <row r="10" spans="1:10" x14ac:dyDescent="0.2">
      <c r="A10" s="19"/>
      <c r="B10" s="23"/>
      <c r="C10" s="10"/>
      <c r="D10" s="22"/>
      <c r="E10" s="10"/>
      <c r="F10" s="23"/>
      <c r="G10" s="10"/>
    </row>
    <row r="11" spans="1:10" ht="38.25" x14ac:dyDescent="0.2">
      <c r="A11" s="15" t="s">
        <v>5</v>
      </c>
      <c r="B11" s="24" t="s">
        <v>12</v>
      </c>
      <c r="C11" s="16" t="s">
        <v>6</v>
      </c>
      <c r="D11" s="25" t="s">
        <v>217</v>
      </c>
      <c r="E11" s="16" t="s">
        <v>7</v>
      </c>
      <c r="F11" s="24" t="s">
        <v>29</v>
      </c>
      <c r="G11" s="16" t="s">
        <v>8</v>
      </c>
      <c r="H11" s="18" t="s">
        <v>337</v>
      </c>
      <c r="I11" s="467"/>
      <c r="J11" s="467"/>
    </row>
    <row r="12" spans="1:10" ht="25.5" x14ac:dyDescent="0.2">
      <c r="A12" s="10">
        <v>1</v>
      </c>
      <c r="B12" s="23">
        <v>1</v>
      </c>
      <c r="C12" s="10">
        <v>8</v>
      </c>
      <c r="D12" s="22">
        <v>8</v>
      </c>
      <c r="E12" s="12" t="s">
        <v>329</v>
      </c>
      <c r="F12" s="23" t="s">
        <v>30</v>
      </c>
      <c r="G12" s="27" t="s">
        <v>218</v>
      </c>
    </row>
    <row r="13" spans="1:10" x14ac:dyDescent="0.2">
      <c r="A13" s="10">
        <v>2</v>
      </c>
      <c r="B13" s="23">
        <f>D12+1</f>
        <v>9</v>
      </c>
      <c r="C13" s="10">
        <v>6</v>
      </c>
      <c r="D13" s="22">
        <f>D12+C13</f>
        <v>14</v>
      </c>
      <c r="E13" s="12" t="s">
        <v>329</v>
      </c>
      <c r="F13" s="10" t="s">
        <v>47</v>
      </c>
      <c r="G13" s="27" t="s">
        <v>275</v>
      </c>
    </row>
    <row r="14" spans="1:10" x14ac:dyDescent="0.2">
      <c r="A14" s="10">
        <v>3</v>
      </c>
      <c r="B14" s="23">
        <f>D13+1</f>
        <v>15</v>
      </c>
      <c r="C14" s="10">
        <v>15</v>
      </c>
      <c r="D14" s="22">
        <f>D13+C14</f>
        <v>29</v>
      </c>
      <c r="E14" s="12" t="s">
        <v>329</v>
      </c>
      <c r="F14" s="23"/>
      <c r="G14" s="27" t="s">
        <v>125</v>
      </c>
    </row>
    <row r="15" spans="1:10" x14ac:dyDescent="0.2">
      <c r="A15" s="10">
        <v>4</v>
      </c>
      <c r="B15" s="23">
        <f>D14+1</f>
        <v>30</v>
      </c>
      <c r="C15" s="10">
        <v>745</v>
      </c>
      <c r="D15" s="22">
        <f>D14+C15</f>
        <v>774</v>
      </c>
      <c r="E15" s="12"/>
      <c r="F15" s="23"/>
      <c r="G15" s="12" t="s">
        <v>352</v>
      </c>
    </row>
    <row r="16" spans="1:10" x14ac:dyDescent="0.2">
      <c r="A16" s="10"/>
      <c r="B16" s="23"/>
      <c r="C16" s="10"/>
      <c r="D16" s="22"/>
      <c r="E16" s="12"/>
      <c r="F16" s="23"/>
      <c r="G16" s="12"/>
    </row>
    <row r="17" spans="1:12" x14ac:dyDescent="0.2">
      <c r="A17" s="10"/>
      <c r="B17" s="23"/>
      <c r="C17" s="10"/>
      <c r="D17" s="22"/>
      <c r="E17" s="10"/>
      <c r="F17" s="23"/>
      <c r="G17" s="10"/>
    </row>
    <row r="18" spans="1:12" x14ac:dyDescent="0.2">
      <c r="A18" s="13" t="s">
        <v>10</v>
      </c>
      <c r="B18" s="29"/>
      <c r="C18" s="12" t="s">
        <v>3</v>
      </c>
      <c r="D18" s="22">
        <v>757</v>
      </c>
      <c r="E18" s="12" t="s">
        <v>4</v>
      </c>
      <c r="F18" s="23"/>
      <c r="G18" s="10"/>
    </row>
    <row r="19" spans="1:12" x14ac:dyDescent="0.2">
      <c r="A19" s="19"/>
      <c r="B19" s="23"/>
      <c r="C19" s="10"/>
      <c r="D19" s="22"/>
      <c r="E19" s="10"/>
      <c r="F19" s="23"/>
      <c r="G19" s="10"/>
    </row>
    <row r="20" spans="1:12" ht="38.25" x14ac:dyDescent="0.2">
      <c r="A20" s="15" t="s">
        <v>5</v>
      </c>
      <c r="B20" s="24" t="s">
        <v>12</v>
      </c>
      <c r="C20" s="16" t="s">
        <v>6</v>
      </c>
      <c r="D20" s="25" t="s">
        <v>217</v>
      </c>
      <c r="E20" s="16" t="s">
        <v>7</v>
      </c>
      <c r="F20" s="30" t="s">
        <v>29</v>
      </c>
      <c r="G20" s="16" t="s">
        <v>8</v>
      </c>
      <c r="H20" s="18" t="s">
        <v>337</v>
      </c>
      <c r="I20" s="467"/>
      <c r="J20" s="467"/>
    </row>
    <row r="21" spans="1:12" ht="25.5" x14ac:dyDescent="0.2">
      <c r="A21" s="10">
        <v>1</v>
      </c>
      <c r="B21" s="23">
        <v>1</v>
      </c>
      <c r="C21" s="10">
        <v>3</v>
      </c>
      <c r="D21" s="22">
        <f>C21</f>
        <v>3</v>
      </c>
      <c r="E21" s="12" t="s">
        <v>329</v>
      </c>
      <c r="F21" s="23" t="s">
        <v>283</v>
      </c>
      <c r="G21" s="12" t="s">
        <v>99</v>
      </c>
      <c r="I21" s="74" t="str">
        <f>MID($A$121,$B21,$C21)</f>
        <v>604</v>
      </c>
      <c r="J21" s="74" t="str">
        <f>MID($A$122,$B21,$C21)</f>
        <v>604</v>
      </c>
      <c r="K21" s="74" t="str">
        <f>MID($A$124,$B21,$C21)</f>
        <v>604</v>
      </c>
      <c r="L21" s="74" t="s">
        <v>1213</v>
      </c>
    </row>
    <row r="22" spans="1:12" x14ac:dyDescent="0.2">
      <c r="A22" s="10">
        <f>A21+1</f>
        <v>2</v>
      </c>
      <c r="B22" s="23">
        <f>D21+1</f>
        <v>4</v>
      </c>
      <c r="C22" s="21">
        <v>3</v>
      </c>
      <c r="D22" s="22">
        <f>D21+C22</f>
        <v>6</v>
      </c>
      <c r="E22" s="12" t="s">
        <v>329</v>
      </c>
      <c r="F22" s="23"/>
      <c r="G22" s="12" t="s">
        <v>181</v>
      </c>
      <c r="I22" s="74" t="str">
        <f t="shared" ref="I22:I85" si="0">MID($A$121,$B22,$C22)</f>
        <v>191</v>
      </c>
      <c r="J22" s="74" t="str">
        <f t="shared" ref="J22:J85" si="1">MID($A$122,$B22,$C22)</f>
        <v>191</v>
      </c>
      <c r="K22" s="74" t="str">
        <f t="shared" ref="K22:K85" si="2">MID($A$124,B22,C22)</f>
        <v>181</v>
      </c>
      <c r="L22" s="74" t="s">
        <v>1198</v>
      </c>
    </row>
    <row r="23" spans="1:12" x14ac:dyDescent="0.2">
      <c r="A23" s="369">
        <f t="shared" ref="A23:A55" si="3">A22+1</f>
        <v>3</v>
      </c>
      <c r="B23" s="306">
        <f t="shared" ref="B23:B55" si="4">D22+1</f>
        <v>7</v>
      </c>
      <c r="C23" s="370">
        <v>19</v>
      </c>
      <c r="D23" s="308">
        <f t="shared" ref="D23:D86" si="5">D22+C23</f>
        <v>25</v>
      </c>
      <c r="E23" s="309" t="s">
        <v>330</v>
      </c>
      <c r="F23" s="306"/>
      <c r="G23" s="309" t="s">
        <v>49</v>
      </c>
      <c r="I23" s="74" t="str">
        <f>MID($A$121,$B23,$C23)</f>
        <v>0005309270100000713</v>
      </c>
      <c r="J23" s="74" t="str">
        <f t="shared" si="1"/>
        <v>0005309270100000078</v>
      </c>
      <c r="K23" s="74" t="str">
        <f t="shared" si="2"/>
        <v>0005450280000000564</v>
      </c>
      <c r="L23" s="74" t="s">
        <v>1261</v>
      </c>
    </row>
    <row r="24" spans="1:12" x14ac:dyDescent="0.2">
      <c r="A24" s="375">
        <f t="shared" si="3"/>
        <v>4</v>
      </c>
      <c r="B24" s="376">
        <f t="shared" si="4"/>
        <v>26</v>
      </c>
      <c r="C24" s="377">
        <v>19</v>
      </c>
      <c r="D24" s="378">
        <f t="shared" si="5"/>
        <v>44</v>
      </c>
      <c r="E24" s="374" t="s">
        <v>330</v>
      </c>
      <c r="F24" s="376" t="s">
        <v>1</v>
      </c>
      <c r="G24" s="374" t="s">
        <v>1268</v>
      </c>
      <c r="I24" s="74" t="str">
        <f t="shared" si="0"/>
        <v>0010191000007601347</v>
      </c>
      <c r="J24" s="74" t="str">
        <f t="shared" si="1"/>
        <v>0010191000007601347</v>
      </c>
      <c r="K24" s="74" t="str">
        <f t="shared" si="2"/>
        <v>0010181000007753617</v>
      </c>
      <c r="L24" s="360" t="s">
        <v>1262</v>
      </c>
    </row>
    <row r="25" spans="1:12" x14ac:dyDescent="0.2">
      <c r="A25" s="10">
        <f t="shared" si="3"/>
        <v>5</v>
      </c>
      <c r="B25" s="23">
        <f t="shared" si="4"/>
        <v>45</v>
      </c>
      <c r="C25" s="21">
        <v>3</v>
      </c>
      <c r="D25" s="22">
        <f t="shared" si="5"/>
        <v>47</v>
      </c>
      <c r="E25" s="12" t="s">
        <v>329</v>
      </c>
      <c r="F25" s="23"/>
      <c r="G25" s="309" t="s">
        <v>1263</v>
      </c>
      <c r="I25" s="74" t="str">
        <f t="shared" si="0"/>
        <v>001</v>
      </c>
      <c r="J25" s="74" t="str">
        <f t="shared" si="1"/>
        <v>001</v>
      </c>
      <c r="K25" s="74" t="str">
        <f t="shared" si="2"/>
        <v>001</v>
      </c>
      <c r="L25" s="74" t="s">
        <v>1199</v>
      </c>
    </row>
    <row r="26" spans="1:12" x14ac:dyDescent="0.2">
      <c r="A26" s="10">
        <f t="shared" si="3"/>
        <v>6</v>
      </c>
      <c r="B26" s="23">
        <f t="shared" si="4"/>
        <v>48</v>
      </c>
      <c r="C26" s="74">
        <v>15</v>
      </c>
      <c r="D26" s="22">
        <f t="shared" si="5"/>
        <v>62</v>
      </c>
      <c r="E26" s="12" t="s">
        <v>330</v>
      </c>
      <c r="G26" s="12" t="s">
        <v>1264</v>
      </c>
      <c r="I26" s="468" t="str">
        <f t="shared" si="0"/>
        <v>DEMETRIO MANDUJ</v>
      </c>
      <c r="J26" s="468" t="str">
        <f t="shared" si="1"/>
        <v>DEMETRIO MANDUJ</v>
      </c>
      <c r="K26" s="74" t="str">
        <f t="shared" si="2"/>
        <v>JOSE MENENDEZ R</v>
      </c>
      <c r="L26" s="74" t="s">
        <v>1214</v>
      </c>
    </row>
    <row r="27" spans="1:12" ht="63.75" x14ac:dyDescent="0.2">
      <c r="A27" s="373">
        <f t="shared" si="3"/>
        <v>7</v>
      </c>
      <c r="B27" s="361">
        <f t="shared" si="4"/>
        <v>63</v>
      </c>
      <c r="C27" s="362">
        <v>19</v>
      </c>
      <c r="D27" s="363">
        <f t="shared" si="5"/>
        <v>81</v>
      </c>
      <c r="E27" s="364" t="s">
        <v>330</v>
      </c>
      <c r="F27" s="365" t="s">
        <v>1</v>
      </c>
      <c r="G27" s="359" t="s">
        <v>433</v>
      </c>
      <c r="I27" s="74" t="str">
        <f t="shared" si="0"/>
        <v>0000191000007601347</v>
      </c>
      <c r="J27" s="74" t="str">
        <f t="shared" si="1"/>
        <v>0000191000007601347</v>
      </c>
      <c r="K27" s="74" t="str">
        <f t="shared" si="2"/>
        <v>0000181000007753617</v>
      </c>
      <c r="L27" s="360" t="s">
        <v>1238</v>
      </c>
    </row>
    <row r="28" spans="1:12" x14ac:dyDescent="0.2">
      <c r="A28" s="10">
        <f t="shared" si="3"/>
        <v>8</v>
      </c>
      <c r="B28" s="23">
        <f t="shared" si="4"/>
        <v>82</v>
      </c>
      <c r="C28" s="74">
        <v>3</v>
      </c>
      <c r="D28" s="22">
        <f t="shared" si="5"/>
        <v>84</v>
      </c>
      <c r="E28" s="12" t="s">
        <v>330</v>
      </c>
      <c r="F28" s="38" t="s">
        <v>1</v>
      </c>
      <c r="G28" s="12" t="s">
        <v>284</v>
      </c>
      <c r="I28" s="74" t="str">
        <f t="shared" si="0"/>
        <v>STD</v>
      </c>
      <c r="J28" s="74" t="str">
        <f t="shared" si="1"/>
        <v>STD</v>
      </c>
      <c r="K28" s="74" t="str">
        <f t="shared" si="2"/>
        <v>STD</v>
      </c>
      <c r="L28" s="74" t="s">
        <v>1215</v>
      </c>
    </row>
    <row r="29" spans="1:12" x14ac:dyDescent="0.2">
      <c r="A29" s="10">
        <f t="shared" si="3"/>
        <v>9</v>
      </c>
      <c r="B29" s="23">
        <f t="shared" si="4"/>
        <v>85</v>
      </c>
      <c r="C29" s="74">
        <v>3</v>
      </c>
      <c r="D29" s="22">
        <f t="shared" si="5"/>
        <v>87</v>
      </c>
      <c r="E29" s="12" t="s">
        <v>329</v>
      </c>
      <c r="F29" s="38" t="s">
        <v>1</v>
      </c>
      <c r="G29" s="12" t="s">
        <v>126</v>
      </c>
      <c r="H29" s="74" t="s">
        <v>127</v>
      </c>
      <c r="I29" s="74" t="str">
        <f t="shared" si="0"/>
        <v>000</v>
      </c>
      <c r="J29" s="74" t="str">
        <f t="shared" si="1"/>
        <v>000</v>
      </c>
      <c r="K29" s="74" t="str">
        <f t="shared" si="2"/>
        <v>000</v>
      </c>
      <c r="L29" s="74" t="s">
        <v>1216</v>
      </c>
    </row>
    <row r="30" spans="1:12" x14ac:dyDescent="0.2">
      <c r="A30" s="10">
        <f t="shared" si="3"/>
        <v>10</v>
      </c>
      <c r="B30" s="23">
        <f t="shared" si="4"/>
        <v>88</v>
      </c>
      <c r="C30" s="436">
        <v>3</v>
      </c>
      <c r="D30" s="437">
        <f t="shared" si="5"/>
        <v>90</v>
      </c>
      <c r="E30" s="438" t="s">
        <v>329</v>
      </c>
      <c r="F30" s="464"/>
      <c r="G30" s="438" t="s">
        <v>285</v>
      </c>
      <c r="H30" s="74" t="s">
        <v>127</v>
      </c>
      <c r="I30" s="74" t="str">
        <f t="shared" si="0"/>
        <v>000</v>
      </c>
      <c r="J30" s="74" t="str">
        <f t="shared" si="1"/>
        <v>000</v>
      </c>
      <c r="K30" s="74" t="str">
        <f t="shared" si="2"/>
        <v>000</v>
      </c>
      <c r="L30" s="74" t="s">
        <v>1216</v>
      </c>
    </row>
    <row r="31" spans="1:12" x14ac:dyDescent="0.2">
      <c r="A31" s="10">
        <f t="shared" si="3"/>
        <v>11</v>
      </c>
      <c r="B31" s="23">
        <f t="shared" si="4"/>
        <v>91</v>
      </c>
      <c r="C31" s="74">
        <v>19</v>
      </c>
      <c r="D31" s="22">
        <f t="shared" si="5"/>
        <v>109</v>
      </c>
      <c r="E31" s="12" t="s">
        <v>330</v>
      </c>
      <c r="G31" s="12" t="s">
        <v>286</v>
      </c>
      <c r="H31" s="74" t="s">
        <v>127</v>
      </c>
      <c r="I31" s="74" t="str">
        <f t="shared" si="0"/>
        <v xml:space="preserve">                   </v>
      </c>
      <c r="J31" s="74" t="str">
        <f t="shared" si="1"/>
        <v>0000000000000000000</v>
      </c>
      <c r="K31" s="74" t="str">
        <f t="shared" si="2"/>
        <v>0000000000000000000</v>
      </c>
      <c r="L31" s="74" t="s">
        <v>1217</v>
      </c>
    </row>
    <row r="32" spans="1:12" x14ac:dyDescent="0.2">
      <c r="A32" s="10">
        <f t="shared" si="3"/>
        <v>12</v>
      </c>
      <c r="B32" s="23">
        <f t="shared" si="4"/>
        <v>110</v>
      </c>
      <c r="C32" s="74">
        <v>1</v>
      </c>
      <c r="D32" s="22">
        <f t="shared" si="5"/>
        <v>110</v>
      </c>
      <c r="E32" s="12" t="s">
        <v>330</v>
      </c>
      <c r="G32" s="74" t="s">
        <v>129</v>
      </c>
      <c r="H32" s="74" t="s">
        <v>128</v>
      </c>
      <c r="I32" s="74" t="str">
        <f t="shared" si="0"/>
        <v xml:space="preserve"> </v>
      </c>
      <c r="J32" s="74" t="str">
        <f t="shared" si="1"/>
        <v>P</v>
      </c>
      <c r="K32" s="74" t="str">
        <f t="shared" si="2"/>
        <v xml:space="preserve"> </v>
      </c>
      <c r="L32" s="74" t="s">
        <v>1</v>
      </c>
    </row>
    <row r="33" spans="1:12" x14ac:dyDescent="0.2">
      <c r="A33" s="10">
        <f t="shared" si="3"/>
        <v>13</v>
      </c>
      <c r="B33" s="23">
        <f t="shared" si="4"/>
        <v>111</v>
      </c>
      <c r="C33" s="74">
        <v>1</v>
      </c>
      <c r="D33" s="22">
        <f t="shared" si="5"/>
        <v>111</v>
      </c>
      <c r="E33" s="12" t="s">
        <v>330</v>
      </c>
      <c r="G33" s="74" t="s">
        <v>130</v>
      </c>
      <c r="H33" s="74" t="s">
        <v>1</v>
      </c>
      <c r="I33" s="74" t="str">
        <f t="shared" si="0"/>
        <v>D</v>
      </c>
      <c r="J33" s="74" t="str">
        <f t="shared" si="1"/>
        <v>A</v>
      </c>
      <c r="K33" s="74" t="str">
        <f t="shared" si="2"/>
        <v>A</v>
      </c>
      <c r="L33" s="74" t="s">
        <v>1218</v>
      </c>
    </row>
    <row r="34" spans="1:12" x14ac:dyDescent="0.2">
      <c r="A34" s="10">
        <f t="shared" si="3"/>
        <v>14</v>
      </c>
      <c r="B34" s="23">
        <f t="shared" si="4"/>
        <v>112</v>
      </c>
      <c r="C34" s="74">
        <v>1</v>
      </c>
      <c r="D34" s="22">
        <f t="shared" si="5"/>
        <v>112</v>
      </c>
      <c r="E34" s="12" t="s">
        <v>330</v>
      </c>
      <c r="G34" s="74" t="s">
        <v>131</v>
      </c>
      <c r="H34" s="74" t="s">
        <v>132</v>
      </c>
      <c r="I34" s="74" t="str">
        <f t="shared" si="0"/>
        <v xml:space="preserve"> </v>
      </c>
      <c r="J34" s="74" t="str">
        <f t="shared" si="1"/>
        <v>0</v>
      </c>
      <c r="K34" s="74" t="str">
        <f t="shared" si="2"/>
        <v>0</v>
      </c>
      <c r="L34" s="74" t="s">
        <v>1219</v>
      </c>
    </row>
    <row r="35" spans="1:12" x14ac:dyDescent="0.2">
      <c r="A35" s="10">
        <f t="shared" si="3"/>
        <v>15</v>
      </c>
      <c r="B35" s="23">
        <f t="shared" si="4"/>
        <v>113</v>
      </c>
      <c r="C35" s="74">
        <v>1</v>
      </c>
      <c r="D35" s="22">
        <f t="shared" si="5"/>
        <v>113</v>
      </c>
      <c r="E35" s="12" t="s">
        <v>330</v>
      </c>
      <c r="G35" s="74" t="s">
        <v>133</v>
      </c>
      <c r="H35" s="74" t="s">
        <v>1</v>
      </c>
      <c r="I35" s="74" t="str">
        <f t="shared" si="0"/>
        <v>R</v>
      </c>
      <c r="J35" s="74" t="str">
        <f t="shared" si="1"/>
        <v>N</v>
      </c>
      <c r="K35" s="74" t="str">
        <f t="shared" si="2"/>
        <v>N</v>
      </c>
      <c r="L35" s="74" t="s">
        <v>701</v>
      </c>
    </row>
    <row r="36" spans="1:12" x14ac:dyDescent="0.2">
      <c r="A36" s="369">
        <f t="shared" si="3"/>
        <v>16</v>
      </c>
      <c r="B36" s="306">
        <f t="shared" si="4"/>
        <v>114</v>
      </c>
      <c r="C36" s="307">
        <v>1</v>
      </c>
      <c r="D36" s="308">
        <f t="shared" si="5"/>
        <v>114</v>
      </c>
      <c r="E36" s="309" t="s">
        <v>330</v>
      </c>
      <c r="F36" s="310"/>
      <c r="G36" s="307" t="s">
        <v>134</v>
      </c>
      <c r="H36" s="74" t="s">
        <v>1</v>
      </c>
      <c r="I36" s="468" t="str">
        <f t="shared" si="0"/>
        <v>R</v>
      </c>
      <c r="J36" s="468" t="str">
        <f t="shared" si="1"/>
        <v>N</v>
      </c>
      <c r="K36" s="74" t="str">
        <f t="shared" si="2"/>
        <v>N</v>
      </c>
      <c r="L36" s="74" t="s">
        <v>701</v>
      </c>
    </row>
    <row r="37" spans="1:12" x14ac:dyDescent="0.2">
      <c r="A37" s="375">
        <f t="shared" si="3"/>
        <v>17</v>
      </c>
      <c r="B37" s="376">
        <f t="shared" si="4"/>
        <v>115</v>
      </c>
      <c r="C37" s="273">
        <v>2</v>
      </c>
      <c r="D37" s="378">
        <f t="shared" si="5"/>
        <v>116</v>
      </c>
      <c r="E37" s="374" t="s">
        <v>329</v>
      </c>
      <c r="F37" s="379"/>
      <c r="G37" s="273" t="s">
        <v>287</v>
      </c>
      <c r="H37" s="74" t="s">
        <v>1</v>
      </c>
      <c r="I37" s="74" t="str">
        <f t="shared" si="0"/>
        <v>05</v>
      </c>
      <c r="J37" s="74" t="str">
        <f t="shared" si="1"/>
        <v>07</v>
      </c>
      <c r="K37" s="74" t="str">
        <f t="shared" si="2"/>
        <v>10</v>
      </c>
      <c r="L37" s="74" t="s">
        <v>1210</v>
      </c>
    </row>
    <row r="38" spans="1:12" x14ac:dyDescent="0.2">
      <c r="A38" s="10">
        <f t="shared" si="3"/>
        <v>18</v>
      </c>
      <c r="B38" s="23">
        <f t="shared" si="4"/>
        <v>117</v>
      </c>
      <c r="C38" s="74">
        <v>8</v>
      </c>
      <c r="D38" s="22">
        <f t="shared" si="5"/>
        <v>124</v>
      </c>
      <c r="E38" s="12" t="s">
        <v>329</v>
      </c>
      <c r="F38" s="38" t="s">
        <v>168</v>
      </c>
      <c r="G38" s="74" t="s">
        <v>135</v>
      </c>
      <c r="H38" s="74" t="s">
        <v>1</v>
      </c>
      <c r="I38" s="74" t="str">
        <f t="shared" si="0"/>
        <v>20241020</v>
      </c>
      <c r="J38" s="74" t="str">
        <f t="shared" si="1"/>
        <v>20240211</v>
      </c>
      <c r="K38" s="74" t="str">
        <f t="shared" si="2"/>
        <v>20120701</v>
      </c>
      <c r="L38" s="74" t="s">
        <v>1220</v>
      </c>
    </row>
    <row r="39" spans="1:12" x14ac:dyDescent="0.2">
      <c r="A39" s="10">
        <f>A38+1</f>
        <v>19</v>
      </c>
      <c r="B39" s="23">
        <f>D38+1</f>
        <v>125</v>
      </c>
      <c r="C39" s="74">
        <v>8</v>
      </c>
      <c r="D39" s="22">
        <f>D38+C39</f>
        <v>132</v>
      </c>
      <c r="E39" s="12" t="s">
        <v>329</v>
      </c>
      <c r="F39" s="38" t="s">
        <v>168</v>
      </c>
      <c r="G39" s="74" t="s">
        <v>136</v>
      </c>
      <c r="I39" s="74" t="str">
        <f t="shared" si="0"/>
        <v>20241020</v>
      </c>
      <c r="J39" s="74" t="str">
        <f t="shared" si="1"/>
        <v>20241016</v>
      </c>
      <c r="K39" s="74" t="str">
        <f t="shared" si="2"/>
        <v>20120917</v>
      </c>
      <c r="L39" s="74" t="s">
        <v>1221</v>
      </c>
    </row>
    <row r="40" spans="1:12" x14ac:dyDescent="0.2">
      <c r="A40" s="10">
        <f t="shared" si="3"/>
        <v>20</v>
      </c>
      <c r="B40" s="306">
        <f t="shared" si="4"/>
        <v>133</v>
      </c>
      <c r="C40" s="307">
        <v>8</v>
      </c>
      <c r="D40" s="308">
        <f t="shared" si="5"/>
        <v>140</v>
      </c>
      <c r="E40" s="309" t="s">
        <v>329</v>
      </c>
      <c r="F40" s="310" t="s">
        <v>168</v>
      </c>
      <c r="G40" s="307" t="s">
        <v>137</v>
      </c>
      <c r="H40" s="307"/>
      <c r="I40" s="468" t="str">
        <f t="shared" si="0"/>
        <v>20241020</v>
      </c>
      <c r="J40" s="468" t="str">
        <f t="shared" si="1"/>
        <v>20241016</v>
      </c>
      <c r="K40" s="307" t="str">
        <f t="shared" si="2"/>
        <v>20130226</v>
      </c>
      <c r="L40" s="74" t="s">
        <v>1206</v>
      </c>
    </row>
    <row r="41" spans="1:12" x14ac:dyDescent="0.2">
      <c r="A41" s="10">
        <f t="shared" si="3"/>
        <v>21</v>
      </c>
      <c r="B41" s="23">
        <f t="shared" si="4"/>
        <v>141</v>
      </c>
      <c r="C41" s="74">
        <v>8</v>
      </c>
      <c r="D41" s="22">
        <f t="shared" si="5"/>
        <v>148</v>
      </c>
      <c r="E41" s="12" t="s">
        <v>329</v>
      </c>
      <c r="F41" s="38" t="s">
        <v>168</v>
      </c>
      <c r="G41" s="74" t="s">
        <v>138</v>
      </c>
      <c r="H41" s="74" t="s">
        <v>1</v>
      </c>
      <c r="I41" s="74" t="str">
        <f t="shared" si="0"/>
        <v>00000000</v>
      </c>
      <c r="J41" s="74" t="str">
        <f t="shared" si="1"/>
        <v>00000000</v>
      </c>
      <c r="K41" s="74" t="str">
        <f t="shared" si="2"/>
        <v>00000000</v>
      </c>
      <c r="L41" s="74" t="s">
        <v>1222</v>
      </c>
    </row>
    <row r="42" spans="1:12" x14ac:dyDescent="0.2">
      <c r="A42" s="10">
        <f t="shared" si="3"/>
        <v>22</v>
      </c>
      <c r="B42" s="23">
        <f t="shared" si="4"/>
        <v>149</v>
      </c>
      <c r="C42" s="74">
        <v>8</v>
      </c>
      <c r="D42" s="22">
        <f t="shared" si="5"/>
        <v>156</v>
      </c>
      <c r="E42" s="12" t="s">
        <v>329</v>
      </c>
      <c r="F42" s="38" t="s">
        <v>168</v>
      </c>
      <c r="G42" s="74" t="s">
        <v>139</v>
      </c>
      <c r="H42" s="74" t="s">
        <v>132</v>
      </c>
      <c r="I42" s="74" t="str">
        <f t="shared" si="0"/>
        <v>00000000</v>
      </c>
      <c r="J42" s="74" t="str">
        <f t="shared" si="1"/>
        <v>00000000</v>
      </c>
      <c r="K42" s="74" t="str">
        <f t="shared" si="2"/>
        <v>00000000</v>
      </c>
      <c r="L42" s="74" t="s">
        <v>1222</v>
      </c>
    </row>
    <row r="43" spans="1:12" x14ac:dyDescent="0.2">
      <c r="A43" s="10">
        <f t="shared" si="3"/>
        <v>23</v>
      </c>
      <c r="B43" s="23">
        <f t="shared" si="4"/>
        <v>157</v>
      </c>
      <c r="C43" s="74">
        <v>8</v>
      </c>
      <c r="D43" s="22">
        <f t="shared" si="5"/>
        <v>164</v>
      </c>
      <c r="E43" s="12" t="s">
        <v>329</v>
      </c>
      <c r="F43" s="38" t="s">
        <v>168</v>
      </c>
      <c r="G43" s="74" t="s">
        <v>288</v>
      </c>
      <c r="H43" s="74" t="s">
        <v>1</v>
      </c>
      <c r="I43" s="74" t="str">
        <f t="shared" si="0"/>
        <v>00000000</v>
      </c>
      <c r="J43" s="74" t="str">
        <f t="shared" si="1"/>
        <v>00000000</v>
      </c>
      <c r="K43" s="74" t="str">
        <f t="shared" si="2"/>
        <v>00000000</v>
      </c>
      <c r="L43" s="74" t="s">
        <v>1222</v>
      </c>
    </row>
    <row r="44" spans="1:12" x14ac:dyDescent="0.2">
      <c r="A44" s="10">
        <f t="shared" si="3"/>
        <v>24</v>
      </c>
      <c r="B44" s="23">
        <f t="shared" si="4"/>
        <v>165</v>
      </c>
      <c r="C44" s="74">
        <v>8</v>
      </c>
      <c r="D44" s="22">
        <f t="shared" si="5"/>
        <v>172</v>
      </c>
      <c r="E44" s="12" t="s">
        <v>329</v>
      </c>
      <c r="F44" s="269" t="s">
        <v>168</v>
      </c>
      <c r="G44" s="270" t="s">
        <v>289</v>
      </c>
      <c r="H44" s="74" t="s">
        <v>1</v>
      </c>
      <c r="I44" s="74" t="str">
        <f t="shared" si="0"/>
        <v>00000000</v>
      </c>
      <c r="J44" s="74" t="str">
        <f t="shared" si="1"/>
        <v>20241020</v>
      </c>
      <c r="K44" s="74" t="str">
        <f t="shared" si="2"/>
        <v>20130222</v>
      </c>
      <c r="L44" s="74" t="s">
        <v>1223</v>
      </c>
    </row>
    <row r="45" spans="1:12" x14ac:dyDescent="0.2">
      <c r="A45" s="10">
        <f t="shared" si="3"/>
        <v>25</v>
      </c>
      <c r="B45" s="23">
        <f t="shared" si="4"/>
        <v>173</v>
      </c>
      <c r="C45" s="74">
        <v>8</v>
      </c>
      <c r="D45" s="22">
        <f t="shared" si="5"/>
        <v>180</v>
      </c>
      <c r="E45" s="12" t="s">
        <v>329</v>
      </c>
      <c r="G45" s="74" t="s">
        <v>290</v>
      </c>
      <c r="H45" s="74" t="s">
        <v>1</v>
      </c>
      <c r="I45" s="74" t="str">
        <f t="shared" si="0"/>
        <v>00000000</v>
      </c>
      <c r="J45" s="74" t="str">
        <f t="shared" si="1"/>
        <v>20241007</v>
      </c>
      <c r="K45" s="74" t="str">
        <f t="shared" si="2"/>
        <v>20120810</v>
      </c>
      <c r="L45" s="74" t="s">
        <v>1224</v>
      </c>
    </row>
    <row r="46" spans="1:12" x14ac:dyDescent="0.2">
      <c r="A46" s="10">
        <f t="shared" si="3"/>
        <v>26</v>
      </c>
      <c r="B46" s="23">
        <f t="shared" si="4"/>
        <v>181</v>
      </c>
      <c r="C46" s="74">
        <v>8</v>
      </c>
      <c r="D46" s="22">
        <f t="shared" si="5"/>
        <v>188</v>
      </c>
      <c r="E46" s="12" t="s">
        <v>329</v>
      </c>
      <c r="F46" s="38" t="s">
        <v>168</v>
      </c>
      <c r="G46" s="74" t="s">
        <v>140</v>
      </c>
      <c r="H46" s="74" t="s">
        <v>1</v>
      </c>
      <c r="I46" s="74" t="str">
        <f t="shared" si="0"/>
        <v>00000000</v>
      </c>
      <c r="J46" s="74" t="str">
        <f t="shared" si="1"/>
        <v>00000000</v>
      </c>
      <c r="K46" s="74" t="str">
        <f t="shared" si="2"/>
        <v>00000000</v>
      </c>
      <c r="L46" s="74" t="s">
        <v>1222</v>
      </c>
    </row>
    <row r="47" spans="1:12" x14ac:dyDescent="0.2">
      <c r="A47" s="10">
        <f t="shared" si="3"/>
        <v>27</v>
      </c>
      <c r="B47" s="23">
        <f t="shared" si="4"/>
        <v>189</v>
      </c>
      <c r="C47" s="74">
        <v>8</v>
      </c>
      <c r="D47" s="22">
        <f t="shared" si="5"/>
        <v>196</v>
      </c>
      <c r="E47" s="12" t="s">
        <v>329</v>
      </c>
      <c r="F47" s="38" t="s">
        <v>168</v>
      </c>
      <c r="G47" s="74" t="s">
        <v>141</v>
      </c>
      <c r="H47" s="74" t="s">
        <v>1</v>
      </c>
      <c r="I47" s="74" t="str">
        <f t="shared" si="0"/>
        <v>00000000</v>
      </c>
      <c r="J47" s="74" t="str">
        <f t="shared" si="1"/>
        <v>20241019</v>
      </c>
      <c r="K47" s="74" t="str">
        <f t="shared" si="2"/>
        <v>00000000</v>
      </c>
      <c r="L47" s="74" t="s">
        <v>1222</v>
      </c>
    </row>
    <row r="48" spans="1:12" x14ac:dyDescent="0.2">
      <c r="A48" s="10">
        <f t="shared" si="3"/>
        <v>28</v>
      </c>
      <c r="B48" s="23">
        <f t="shared" si="4"/>
        <v>197</v>
      </c>
      <c r="C48" s="74">
        <v>8</v>
      </c>
      <c r="D48" s="22">
        <f t="shared" si="5"/>
        <v>204</v>
      </c>
      <c r="E48" s="12" t="s">
        <v>329</v>
      </c>
      <c r="F48" s="38" t="s">
        <v>168</v>
      </c>
      <c r="G48" s="74" t="s">
        <v>291</v>
      </c>
      <c r="H48" s="74" t="s">
        <v>1</v>
      </c>
      <c r="I48" s="74" t="str">
        <f t="shared" si="0"/>
        <v>00000000</v>
      </c>
      <c r="J48" s="74" t="str">
        <f t="shared" si="1"/>
        <v>00000000</v>
      </c>
      <c r="K48" s="74" t="str">
        <f t="shared" si="2"/>
        <v>00000000</v>
      </c>
      <c r="L48" s="74" t="s">
        <v>1222</v>
      </c>
    </row>
    <row r="49" spans="1:12" x14ac:dyDescent="0.2">
      <c r="A49" s="10">
        <f t="shared" si="3"/>
        <v>29</v>
      </c>
      <c r="B49" s="23">
        <f t="shared" si="4"/>
        <v>205</v>
      </c>
      <c r="C49" s="74">
        <v>8</v>
      </c>
      <c r="D49" s="22">
        <f t="shared" si="5"/>
        <v>212</v>
      </c>
      <c r="E49" s="12" t="s">
        <v>329</v>
      </c>
      <c r="F49" s="38" t="s">
        <v>168</v>
      </c>
      <c r="G49" s="74" t="s">
        <v>142</v>
      </c>
      <c r="H49" s="74" t="s">
        <v>1</v>
      </c>
      <c r="I49" s="74" t="str">
        <f t="shared" si="0"/>
        <v>20241020</v>
      </c>
      <c r="J49" s="74" t="str">
        <f t="shared" si="1"/>
        <v>20241022</v>
      </c>
      <c r="K49" s="74" t="str">
        <f t="shared" si="2"/>
        <v>20120924</v>
      </c>
      <c r="L49" s="74" t="s">
        <v>1225</v>
      </c>
    </row>
    <row r="50" spans="1:12" x14ac:dyDescent="0.2">
      <c r="A50" s="10">
        <f t="shared" si="3"/>
        <v>30</v>
      </c>
      <c r="B50" s="23">
        <f t="shared" si="4"/>
        <v>213</v>
      </c>
      <c r="C50" s="74">
        <v>8</v>
      </c>
      <c r="D50" s="22">
        <f t="shared" si="5"/>
        <v>220</v>
      </c>
      <c r="E50" s="12" t="s">
        <v>329</v>
      </c>
      <c r="F50" s="38" t="s">
        <v>168</v>
      </c>
      <c r="G50" s="74" t="s">
        <v>143</v>
      </c>
      <c r="H50" s="74" t="s">
        <v>1</v>
      </c>
      <c r="I50" s="74" t="str">
        <f t="shared" si="0"/>
        <v>19441017</v>
      </c>
      <c r="J50" s="74" t="str">
        <f t="shared" si="1"/>
        <v>19441017</v>
      </c>
      <c r="K50" s="74" t="str">
        <f t="shared" si="2"/>
        <v>19520303</v>
      </c>
      <c r="L50" s="74" t="s">
        <v>1226</v>
      </c>
    </row>
    <row r="51" spans="1:12" x14ac:dyDescent="0.2">
      <c r="A51" s="10">
        <f t="shared" si="3"/>
        <v>31</v>
      </c>
      <c r="B51" s="23">
        <f t="shared" si="4"/>
        <v>221</v>
      </c>
      <c r="C51" s="74">
        <v>8</v>
      </c>
      <c r="D51" s="22">
        <f t="shared" si="5"/>
        <v>228</v>
      </c>
      <c r="E51" s="12" t="s">
        <v>329</v>
      </c>
      <c r="F51" s="38" t="s">
        <v>168</v>
      </c>
      <c r="G51" s="74" t="s">
        <v>292</v>
      </c>
      <c r="I51" s="74" t="str">
        <f t="shared" si="0"/>
        <v>20290228</v>
      </c>
      <c r="J51" s="74" t="str">
        <f t="shared" si="1"/>
        <v>20290228</v>
      </c>
      <c r="K51" s="74" t="str">
        <f t="shared" si="2"/>
        <v>20150917</v>
      </c>
      <c r="L51" s="74" t="s">
        <v>1227</v>
      </c>
    </row>
    <row r="52" spans="1:12" ht="25.5" x14ac:dyDescent="0.2">
      <c r="A52" s="10">
        <f t="shared" si="3"/>
        <v>32</v>
      </c>
      <c r="B52" s="439">
        <f t="shared" si="4"/>
        <v>229</v>
      </c>
      <c r="C52" s="436">
        <v>13</v>
      </c>
      <c r="D52" s="437">
        <f t="shared" si="5"/>
        <v>241</v>
      </c>
      <c r="E52" s="438" t="s">
        <v>329</v>
      </c>
      <c r="F52" s="439" t="s">
        <v>499</v>
      </c>
      <c r="G52" s="436" t="s">
        <v>293</v>
      </c>
      <c r="I52" s="74" t="str">
        <f t="shared" si="0"/>
        <v>0000000007000</v>
      </c>
      <c r="J52" s="74" t="str">
        <f t="shared" si="1"/>
        <v>0000000900000</v>
      </c>
      <c r="K52" s="74" t="str">
        <f t="shared" si="2"/>
        <v>0000000001000</v>
      </c>
      <c r="L52" s="74" t="s">
        <v>1228</v>
      </c>
    </row>
    <row r="53" spans="1:12" x14ac:dyDescent="0.2">
      <c r="A53" s="10">
        <f t="shared" si="3"/>
        <v>33</v>
      </c>
      <c r="B53" s="23">
        <f t="shared" si="4"/>
        <v>242</v>
      </c>
      <c r="C53" s="78">
        <v>1</v>
      </c>
      <c r="D53" s="22">
        <f t="shared" si="5"/>
        <v>242</v>
      </c>
      <c r="E53" s="12" t="s">
        <v>330</v>
      </c>
      <c r="F53" s="555" t="s">
        <v>144</v>
      </c>
      <c r="G53" s="276" t="s">
        <v>294</v>
      </c>
      <c r="I53" s="74" t="str">
        <f t="shared" si="0"/>
        <v>+</v>
      </c>
      <c r="J53" s="74" t="str">
        <f t="shared" si="1"/>
        <v>+</v>
      </c>
      <c r="K53" s="74" t="str">
        <f t="shared" si="2"/>
        <v>+</v>
      </c>
      <c r="L53" s="74" t="s">
        <v>1229</v>
      </c>
    </row>
    <row r="54" spans="1:12" x14ac:dyDescent="0.2">
      <c r="A54" s="10">
        <f t="shared" si="3"/>
        <v>34</v>
      </c>
      <c r="B54" s="23">
        <f t="shared" si="4"/>
        <v>243</v>
      </c>
      <c r="C54" s="74">
        <v>13</v>
      </c>
      <c r="D54" s="22">
        <f t="shared" si="5"/>
        <v>255</v>
      </c>
      <c r="E54" s="12" t="s">
        <v>329</v>
      </c>
      <c r="G54" s="74" t="s">
        <v>145</v>
      </c>
      <c r="I54" s="74" t="str">
        <f t="shared" si="0"/>
        <v>0000000000000</v>
      </c>
      <c r="J54" s="74" t="str">
        <f t="shared" si="1"/>
        <v>0000000000000</v>
      </c>
      <c r="K54" s="74" t="str">
        <f t="shared" si="2"/>
        <v>0000000000000</v>
      </c>
      <c r="L54" s="74" t="s">
        <v>1230</v>
      </c>
    </row>
    <row r="55" spans="1:12" x14ac:dyDescent="0.2">
      <c r="A55" s="10">
        <f t="shared" si="3"/>
        <v>35</v>
      </c>
      <c r="B55" s="23">
        <f t="shared" si="4"/>
        <v>256</v>
      </c>
      <c r="C55" s="74">
        <v>1</v>
      </c>
      <c r="D55" s="22">
        <f t="shared" si="5"/>
        <v>256</v>
      </c>
      <c r="E55" s="12" t="s">
        <v>330</v>
      </c>
      <c r="F55" s="39" t="s">
        <v>144</v>
      </c>
      <c r="G55" s="74" t="s">
        <v>146</v>
      </c>
      <c r="I55" s="74" t="str">
        <f t="shared" si="0"/>
        <v>+</v>
      </c>
      <c r="J55" s="74" t="str">
        <f t="shared" si="1"/>
        <v>+</v>
      </c>
      <c r="K55" s="74" t="str">
        <f t="shared" si="2"/>
        <v>+</v>
      </c>
      <c r="L55" s="74" t="s">
        <v>1229</v>
      </c>
    </row>
    <row r="56" spans="1:12" x14ac:dyDescent="0.2">
      <c r="A56" s="10">
        <f t="shared" ref="A56:A118" si="6">A55+1</f>
        <v>36</v>
      </c>
      <c r="B56" s="23">
        <f t="shared" ref="B56:B118" si="7">D55+1</f>
        <v>257</v>
      </c>
      <c r="C56" s="74">
        <v>13</v>
      </c>
      <c r="D56" s="22">
        <f t="shared" si="5"/>
        <v>269</v>
      </c>
      <c r="E56" s="12" t="s">
        <v>329</v>
      </c>
      <c r="G56" s="74" t="s">
        <v>147</v>
      </c>
      <c r="I56" s="74" t="str">
        <f t="shared" si="0"/>
        <v>0000000000000</v>
      </c>
      <c r="J56" s="74" t="str">
        <f t="shared" si="1"/>
        <v>0000000000000</v>
      </c>
      <c r="K56" s="74" t="str">
        <f t="shared" si="2"/>
        <v>0000000000000</v>
      </c>
      <c r="L56" s="74" t="s">
        <v>1230</v>
      </c>
    </row>
    <row r="57" spans="1:12" x14ac:dyDescent="0.2">
      <c r="A57" s="10">
        <f t="shared" si="6"/>
        <v>37</v>
      </c>
      <c r="B57" s="23">
        <f t="shared" si="7"/>
        <v>270</v>
      </c>
      <c r="C57" s="74">
        <v>1</v>
      </c>
      <c r="D57" s="22">
        <f t="shared" si="5"/>
        <v>270</v>
      </c>
      <c r="E57" s="12" t="s">
        <v>330</v>
      </c>
      <c r="F57" s="39" t="s">
        <v>144</v>
      </c>
      <c r="G57" s="74" t="s">
        <v>148</v>
      </c>
      <c r="I57" s="74" t="str">
        <f t="shared" si="0"/>
        <v>+</v>
      </c>
      <c r="J57" s="74" t="str">
        <f t="shared" si="1"/>
        <v>+</v>
      </c>
      <c r="K57" s="74" t="str">
        <f t="shared" si="2"/>
        <v>+</v>
      </c>
      <c r="L57" s="74" t="s">
        <v>1229</v>
      </c>
    </row>
    <row r="58" spans="1:12" x14ac:dyDescent="0.2">
      <c r="A58" s="10">
        <f t="shared" si="6"/>
        <v>38</v>
      </c>
      <c r="B58" s="23">
        <f t="shared" si="7"/>
        <v>271</v>
      </c>
      <c r="C58" s="74">
        <v>13</v>
      </c>
      <c r="D58" s="22">
        <f t="shared" si="5"/>
        <v>283</v>
      </c>
      <c r="E58" s="12" t="s">
        <v>329</v>
      </c>
      <c r="G58" s="74" t="s">
        <v>295</v>
      </c>
      <c r="I58" s="74" t="str">
        <f t="shared" si="0"/>
        <v>0000000000000</v>
      </c>
      <c r="J58" s="74" t="str">
        <f t="shared" si="1"/>
        <v>0000000000000</v>
      </c>
      <c r="K58" s="74" t="str">
        <f t="shared" si="2"/>
        <v>0000000000000</v>
      </c>
      <c r="L58" s="74" t="s">
        <v>1230</v>
      </c>
    </row>
    <row r="59" spans="1:12" x14ac:dyDescent="0.2">
      <c r="A59" s="10">
        <f t="shared" si="6"/>
        <v>39</v>
      </c>
      <c r="B59" s="23">
        <f t="shared" si="7"/>
        <v>284</v>
      </c>
      <c r="C59" s="74">
        <v>13</v>
      </c>
      <c r="D59" s="22">
        <f t="shared" si="5"/>
        <v>296</v>
      </c>
      <c r="E59" s="12" t="s">
        <v>329</v>
      </c>
      <c r="G59" s="74" t="s">
        <v>296</v>
      </c>
      <c r="I59" s="74" t="str">
        <f t="shared" si="0"/>
        <v>0000000000000</v>
      </c>
      <c r="J59" s="74" t="str">
        <f t="shared" si="1"/>
        <v>0000000000000</v>
      </c>
      <c r="K59" s="74" t="str">
        <f t="shared" si="2"/>
        <v>0000000000000</v>
      </c>
      <c r="L59" s="74" t="s">
        <v>1230</v>
      </c>
    </row>
    <row r="60" spans="1:12" x14ac:dyDescent="0.2">
      <c r="A60" s="10">
        <f t="shared" si="6"/>
        <v>40</v>
      </c>
      <c r="B60" s="23">
        <f t="shared" si="7"/>
        <v>297</v>
      </c>
      <c r="C60" s="74">
        <v>13</v>
      </c>
      <c r="D60" s="22">
        <f t="shared" si="5"/>
        <v>309</v>
      </c>
      <c r="E60" s="12" t="s">
        <v>329</v>
      </c>
      <c r="G60" s="74" t="s">
        <v>297</v>
      </c>
      <c r="I60" s="74" t="str">
        <f t="shared" si="0"/>
        <v>0000000000000</v>
      </c>
      <c r="J60" s="74" t="str">
        <f t="shared" si="1"/>
        <v>0000000000000</v>
      </c>
      <c r="K60" s="74" t="str">
        <f t="shared" si="2"/>
        <v>0000000000000</v>
      </c>
      <c r="L60" s="74" t="s">
        <v>1230</v>
      </c>
    </row>
    <row r="61" spans="1:12" x14ac:dyDescent="0.2">
      <c r="A61" s="10">
        <f t="shared" si="6"/>
        <v>41</v>
      </c>
      <c r="B61" s="23">
        <f t="shared" si="7"/>
        <v>310</v>
      </c>
      <c r="C61" s="74">
        <v>13</v>
      </c>
      <c r="D61" s="22">
        <f t="shared" si="5"/>
        <v>322</v>
      </c>
      <c r="E61" s="12" t="s">
        <v>329</v>
      </c>
      <c r="G61" s="74" t="s">
        <v>298</v>
      </c>
      <c r="I61" s="74" t="str">
        <f t="shared" si="0"/>
        <v>0000000000000</v>
      </c>
      <c r="J61" s="74" t="str">
        <f t="shared" si="1"/>
        <v>0000000000000</v>
      </c>
      <c r="K61" s="74" t="str">
        <f t="shared" si="2"/>
        <v>0000000000000</v>
      </c>
      <c r="L61" s="74" t="s">
        <v>1230</v>
      </c>
    </row>
    <row r="62" spans="1:12" x14ac:dyDescent="0.2">
      <c r="A62" s="10">
        <f t="shared" si="6"/>
        <v>42</v>
      </c>
      <c r="B62" s="23">
        <f t="shared" si="7"/>
        <v>323</v>
      </c>
      <c r="C62" s="74">
        <v>13</v>
      </c>
      <c r="D62" s="22">
        <f t="shared" si="5"/>
        <v>335</v>
      </c>
      <c r="E62" s="12" t="s">
        <v>329</v>
      </c>
      <c r="G62" s="74" t="s">
        <v>299</v>
      </c>
      <c r="I62" s="74" t="str">
        <f t="shared" si="0"/>
        <v>0000000000000</v>
      </c>
      <c r="J62" s="74" t="str">
        <f t="shared" si="1"/>
        <v>0000000000000</v>
      </c>
      <c r="K62" s="74" t="str">
        <f t="shared" si="2"/>
        <v>0000000000000</v>
      </c>
      <c r="L62" s="74" t="s">
        <v>1230</v>
      </c>
    </row>
    <row r="63" spans="1:12" x14ac:dyDescent="0.2">
      <c r="A63" s="10">
        <f t="shared" si="6"/>
        <v>43</v>
      </c>
      <c r="B63" s="23">
        <f t="shared" si="7"/>
        <v>336</v>
      </c>
      <c r="C63" s="74">
        <v>13</v>
      </c>
      <c r="D63" s="22">
        <f t="shared" si="5"/>
        <v>348</v>
      </c>
      <c r="E63" s="12" t="s">
        <v>329</v>
      </c>
      <c r="G63" s="74" t="s">
        <v>300</v>
      </c>
      <c r="I63" s="74" t="str">
        <f t="shared" si="0"/>
        <v>0000000000000</v>
      </c>
      <c r="J63" s="74" t="str">
        <f t="shared" si="1"/>
        <v>0000000000000</v>
      </c>
      <c r="K63" s="74" t="str">
        <f t="shared" si="2"/>
        <v>0000000000000</v>
      </c>
      <c r="L63" s="74" t="s">
        <v>1230</v>
      </c>
    </row>
    <row r="64" spans="1:12" x14ac:dyDescent="0.2">
      <c r="A64" s="10">
        <f t="shared" si="6"/>
        <v>44</v>
      </c>
      <c r="B64" s="23">
        <f t="shared" si="7"/>
        <v>349</v>
      </c>
      <c r="C64" s="74">
        <v>13</v>
      </c>
      <c r="D64" s="22">
        <f t="shared" si="5"/>
        <v>361</v>
      </c>
      <c r="E64" s="12" t="s">
        <v>329</v>
      </c>
      <c r="G64" s="74" t="s">
        <v>301</v>
      </c>
      <c r="I64" s="74" t="str">
        <f t="shared" si="0"/>
        <v>0000000000000</v>
      </c>
      <c r="J64" s="74" t="str">
        <f t="shared" si="1"/>
        <v>0000000000000</v>
      </c>
      <c r="K64" s="74" t="str">
        <f t="shared" si="2"/>
        <v>0000000000000</v>
      </c>
      <c r="L64" s="74" t="s">
        <v>1230</v>
      </c>
    </row>
    <row r="65" spans="1:12" x14ac:dyDescent="0.2">
      <c r="A65" s="10">
        <f t="shared" si="6"/>
        <v>45</v>
      </c>
      <c r="B65" s="23">
        <f t="shared" si="7"/>
        <v>362</v>
      </c>
      <c r="C65" s="74">
        <v>13</v>
      </c>
      <c r="D65" s="22">
        <f t="shared" si="5"/>
        <v>374</v>
      </c>
      <c r="E65" s="12" t="s">
        <v>329</v>
      </c>
      <c r="G65" s="74" t="s">
        <v>302</v>
      </c>
      <c r="I65" s="74" t="str">
        <f t="shared" si="0"/>
        <v>0000000000000</v>
      </c>
      <c r="J65" s="74" t="str">
        <f t="shared" si="1"/>
        <v>0000000000000</v>
      </c>
      <c r="K65" s="74" t="str">
        <f t="shared" si="2"/>
        <v>0000000000000</v>
      </c>
      <c r="L65" s="74" t="s">
        <v>1230</v>
      </c>
    </row>
    <row r="66" spans="1:12" x14ac:dyDescent="0.2">
      <c r="A66" s="10">
        <f t="shared" si="6"/>
        <v>46</v>
      </c>
      <c r="B66" s="23">
        <f t="shared" si="7"/>
        <v>375</v>
      </c>
      <c r="C66" s="436">
        <v>13</v>
      </c>
      <c r="D66" s="437">
        <f t="shared" si="5"/>
        <v>387</v>
      </c>
      <c r="E66" s="438" t="s">
        <v>329</v>
      </c>
      <c r="F66" s="464"/>
      <c r="G66" s="436" t="s">
        <v>149</v>
      </c>
      <c r="I66" s="74" t="str">
        <f t="shared" si="0"/>
        <v>0000000000000</v>
      </c>
      <c r="J66" s="74" t="str">
        <f t="shared" si="1"/>
        <v>0000000094000</v>
      </c>
      <c r="K66" s="74" t="str">
        <f t="shared" si="2"/>
        <v>0000000000000</v>
      </c>
      <c r="L66" s="74" t="s">
        <v>1230</v>
      </c>
    </row>
    <row r="67" spans="1:12" x14ac:dyDescent="0.2">
      <c r="A67" s="10">
        <f t="shared" si="6"/>
        <v>47</v>
      </c>
      <c r="B67" s="23">
        <f t="shared" si="7"/>
        <v>388</v>
      </c>
      <c r="C67" s="78">
        <v>1</v>
      </c>
      <c r="D67" s="22">
        <f t="shared" si="5"/>
        <v>388</v>
      </c>
      <c r="E67" s="12" t="s">
        <v>330</v>
      </c>
      <c r="F67" s="39" t="s">
        <v>144</v>
      </c>
      <c r="G67" s="276" t="s">
        <v>150</v>
      </c>
      <c r="I67" s="74" t="str">
        <f t="shared" si="0"/>
        <v>+</v>
      </c>
      <c r="J67" s="74" t="str">
        <f t="shared" si="1"/>
        <v>+</v>
      </c>
      <c r="K67" s="74" t="str">
        <f t="shared" si="2"/>
        <v>+</v>
      </c>
      <c r="L67" s="74" t="s">
        <v>1229</v>
      </c>
    </row>
    <row r="68" spans="1:12" x14ac:dyDescent="0.2">
      <c r="A68" s="10">
        <f t="shared" si="6"/>
        <v>48</v>
      </c>
      <c r="B68" s="23">
        <f t="shared" si="7"/>
        <v>389</v>
      </c>
      <c r="C68" s="436">
        <v>13</v>
      </c>
      <c r="D68" s="437">
        <f t="shared" si="5"/>
        <v>401</v>
      </c>
      <c r="E68" s="438" t="s">
        <v>329</v>
      </c>
      <c r="F68" s="464"/>
      <c r="G68" s="436" t="s">
        <v>151</v>
      </c>
      <c r="I68" s="74" t="str">
        <f t="shared" si="0"/>
        <v>0000000000000</v>
      </c>
      <c r="J68" s="74" t="str">
        <f t="shared" si="1"/>
        <v>0000000899060</v>
      </c>
      <c r="K68" s="74" t="str">
        <f t="shared" si="2"/>
        <v>0000000000780</v>
      </c>
      <c r="L68" s="74" t="s">
        <v>1231</v>
      </c>
    </row>
    <row r="69" spans="1:12" x14ac:dyDescent="0.2">
      <c r="A69" s="10">
        <f t="shared" si="6"/>
        <v>49</v>
      </c>
      <c r="B69" s="23">
        <f t="shared" si="7"/>
        <v>402</v>
      </c>
      <c r="C69" s="74">
        <v>1</v>
      </c>
      <c r="D69" s="22">
        <f t="shared" si="5"/>
        <v>402</v>
      </c>
      <c r="E69" s="12" t="s">
        <v>330</v>
      </c>
      <c r="F69" s="39" t="s">
        <v>144</v>
      </c>
      <c r="G69" s="276" t="s">
        <v>152</v>
      </c>
      <c r="I69" s="74" t="str">
        <f t="shared" si="0"/>
        <v>+</v>
      </c>
      <c r="J69" s="74" t="str">
        <f t="shared" si="1"/>
        <v>+</v>
      </c>
      <c r="K69" s="74" t="str">
        <f t="shared" si="2"/>
        <v>+</v>
      </c>
      <c r="L69" s="74" t="s">
        <v>1229</v>
      </c>
    </row>
    <row r="70" spans="1:12" x14ac:dyDescent="0.2">
      <c r="A70" s="10">
        <f t="shared" si="6"/>
        <v>50</v>
      </c>
      <c r="B70" s="23">
        <f t="shared" si="7"/>
        <v>403</v>
      </c>
      <c r="C70" s="74">
        <v>13</v>
      </c>
      <c r="D70" s="22">
        <f t="shared" si="5"/>
        <v>415</v>
      </c>
      <c r="E70" s="12" t="s">
        <v>329</v>
      </c>
      <c r="G70" s="74" t="s">
        <v>153</v>
      </c>
      <c r="I70" s="74" t="str">
        <f t="shared" si="0"/>
        <v>0000000000000</v>
      </c>
      <c r="J70" s="74" t="str">
        <f t="shared" si="1"/>
        <v>0000000027000</v>
      </c>
      <c r="K70" s="74" t="str">
        <f t="shared" si="2"/>
        <v>0000000000000</v>
      </c>
      <c r="L70" s="74" t="s">
        <v>1230</v>
      </c>
    </row>
    <row r="71" spans="1:12" x14ac:dyDescent="0.2">
      <c r="A71" s="10">
        <f t="shared" si="6"/>
        <v>51</v>
      </c>
      <c r="B71" s="23">
        <f t="shared" si="7"/>
        <v>416</v>
      </c>
      <c r="C71" s="74">
        <v>1</v>
      </c>
      <c r="D71" s="22">
        <f t="shared" si="5"/>
        <v>416</v>
      </c>
      <c r="E71" s="12" t="s">
        <v>330</v>
      </c>
      <c r="F71" s="39" t="s">
        <v>144</v>
      </c>
      <c r="G71" s="74" t="s">
        <v>154</v>
      </c>
      <c r="I71" s="74" t="str">
        <f t="shared" si="0"/>
        <v>+</v>
      </c>
      <c r="J71" s="74" t="str">
        <f t="shared" si="1"/>
        <v>+</v>
      </c>
      <c r="K71" s="74" t="str">
        <f t="shared" si="2"/>
        <v>+</v>
      </c>
      <c r="L71" s="74" t="s">
        <v>1229</v>
      </c>
    </row>
    <row r="72" spans="1:12" x14ac:dyDescent="0.2">
      <c r="A72" s="10">
        <f t="shared" si="6"/>
        <v>52</v>
      </c>
      <c r="B72" s="23">
        <f t="shared" si="7"/>
        <v>417</v>
      </c>
      <c r="C72" s="74">
        <v>13</v>
      </c>
      <c r="D72" s="22">
        <f t="shared" si="5"/>
        <v>429</v>
      </c>
      <c r="E72" s="12" t="s">
        <v>329</v>
      </c>
      <c r="G72" s="74" t="s">
        <v>155</v>
      </c>
      <c r="I72" s="74" t="str">
        <f t="shared" si="0"/>
        <v>0000000000000</v>
      </c>
      <c r="J72" s="74" t="str">
        <f t="shared" si="1"/>
        <v>0000000078000</v>
      </c>
      <c r="K72" s="74" t="str">
        <f t="shared" si="2"/>
        <v>0000000000000</v>
      </c>
      <c r="L72" s="74" t="s">
        <v>1230</v>
      </c>
    </row>
    <row r="73" spans="1:12" x14ac:dyDescent="0.2">
      <c r="A73" s="10">
        <f t="shared" si="6"/>
        <v>53</v>
      </c>
      <c r="B73" s="23">
        <f t="shared" si="7"/>
        <v>430</v>
      </c>
      <c r="C73" s="74">
        <v>1</v>
      </c>
      <c r="D73" s="22">
        <f t="shared" si="5"/>
        <v>430</v>
      </c>
      <c r="E73" s="12" t="s">
        <v>330</v>
      </c>
      <c r="F73" s="39" t="s">
        <v>144</v>
      </c>
      <c r="G73" s="74" t="s">
        <v>156</v>
      </c>
      <c r="I73" s="74" t="str">
        <f t="shared" si="0"/>
        <v>+</v>
      </c>
      <c r="J73" s="74" t="str">
        <f t="shared" si="1"/>
        <v>+</v>
      </c>
      <c r="K73" s="74" t="str">
        <f t="shared" si="2"/>
        <v>+</v>
      </c>
      <c r="L73" s="74" t="s">
        <v>1229</v>
      </c>
    </row>
    <row r="74" spans="1:12" x14ac:dyDescent="0.2">
      <c r="A74" s="10">
        <f t="shared" si="6"/>
        <v>54</v>
      </c>
      <c r="B74" s="23">
        <f t="shared" si="7"/>
        <v>431</v>
      </c>
      <c r="C74" s="436">
        <v>13</v>
      </c>
      <c r="D74" s="437">
        <f t="shared" si="5"/>
        <v>443</v>
      </c>
      <c r="E74" s="438" t="s">
        <v>329</v>
      </c>
      <c r="F74" s="464"/>
      <c r="G74" s="436" t="s">
        <v>157</v>
      </c>
      <c r="I74" s="74" t="str">
        <f t="shared" si="0"/>
        <v>0000000007000</v>
      </c>
      <c r="J74" s="74" t="str">
        <f t="shared" si="1"/>
        <v>0000000899060</v>
      </c>
      <c r="K74" s="74" t="str">
        <f t="shared" si="2"/>
        <v>0000000000780</v>
      </c>
      <c r="L74" s="74" t="s">
        <v>1231</v>
      </c>
    </row>
    <row r="75" spans="1:12" x14ac:dyDescent="0.2">
      <c r="A75" s="10">
        <f t="shared" si="6"/>
        <v>55</v>
      </c>
      <c r="B75" s="23">
        <f t="shared" si="7"/>
        <v>444</v>
      </c>
      <c r="C75" s="74">
        <v>1</v>
      </c>
      <c r="D75" s="22">
        <f t="shared" si="5"/>
        <v>444</v>
      </c>
      <c r="E75" s="12" t="s">
        <v>330</v>
      </c>
      <c r="F75" s="39" t="s">
        <v>144</v>
      </c>
      <c r="G75" s="276" t="s">
        <v>158</v>
      </c>
      <c r="I75" s="74" t="str">
        <f t="shared" si="0"/>
        <v>+</v>
      </c>
      <c r="J75" s="74" t="str">
        <f t="shared" si="1"/>
        <v>+</v>
      </c>
      <c r="K75" s="74" t="str">
        <f t="shared" si="2"/>
        <v>+</v>
      </c>
      <c r="L75" s="74" t="s">
        <v>1229</v>
      </c>
    </row>
    <row r="76" spans="1:12" x14ac:dyDescent="0.2">
      <c r="A76" s="10">
        <f t="shared" si="6"/>
        <v>56</v>
      </c>
      <c r="B76" s="23">
        <f t="shared" si="7"/>
        <v>445</v>
      </c>
      <c r="C76" s="436">
        <v>13</v>
      </c>
      <c r="D76" s="437">
        <f t="shared" si="5"/>
        <v>457</v>
      </c>
      <c r="E76" s="438" t="s">
        <v>329</v>
      </c>
      <c r="F76" s="464"/>
      <c r="G76" s="436" t="s">
        <v>159</v>
      </c>
      <c r="I76" s="74" t="str">
        <f t="shared" si="0"/>
        <v>0000000000000</v>
      </c>
      <c r="J76" s="74" t="str">
        <f t="shared" si="1"/>
        <v>0000000094000</v>
      </c>
      <c r="K76" s="74" t="str">
        <f t="shared" si="2"/>
        <v>0000000000000</v>
      </c>
      <c r="L76" s="74" t="s">
        <v>1230</v>
      </c>
    </row>
    <row r="77" spans="1:12" x14ac:dyDescent="0.2">
      <c r="A77" s="10">
        <f t="shared" si="6"/>
        <v>57</v>
      </c>
      <c r="B77" s="23">
        <f t="shared" si="7"/>
        <v>458</v>
      </c>
      <c r="C77" s="74">
        <v>1</v>
      </c>
      <c r="D77" s="22">
        <f t="shared" si="5"/>
        <v>458</v>
      </c>
      <c r="E77" s="12" t="s">
        <v>330</v>
      </c>
      <c r="F77" s="39" t="s">
        <v>144</v>
      </c>
      <c r="G77" s="276" t="s">
        <v>160</v>
      </c>
      <c r="I77" s="74" t="str">
        <f t="shared" si="0"/>
        <v>+</v>
      </c>
      <c r="J77" s="74" t="str">
        <f t="shared" si="1"/>
        <v>+</v>
      </c>
      <c r="K77" s="74" t="str">
        <f t="shared" si="2"/>
        <v>+</v>
      </c>
      <c r="L77" s="74" t="s">
        <v>1229</v>
      </c>
    </row>
    <row r="78" spans="1:12" x14ac:dyDescent="0.2">
      <c r="A78" s="10">
        <f t="shared" si="6"/>
        <v>58</v>
      </c>
      <c r="B78" s="23">
        <f t="shared" si="7"/>
        <v>459</v>
      </c>
      <c r="C78" s="436">
        <v>13</v>
      </c>
      <c r="D78" s="437">
        <f t="shared" si="5"/>
        <v>471</v>
      </c>
      <c r="E78" s="438" t="s">
        <v>329</v>
      </c>
      <c r="F78" s="464"/>
      <c r="G78" s="436" t="s">
        <v>303</v>
      </c>
      <c r="I78" s="74" t="str">
        <f t="shared" si="0"/>
        <v>0000000700000</v>
      </c>
      <c r="J78" s="74" t="str">
        <f t="shared" si="1"/>
        <v>0000090000000</v>
      </c>
      <c r="K78" s="74" t="str">
        <f t="shared" si="2"/>
        <v>0000000100000</v>
      </c>
      <c r="L78" s="74" t="s">
        <v>1232</v>
      </c>
    </row>
    <row r="79" spans="1:12" x14ac:dyDescent="0.2">
      <c r="A79" s="10">
        <f t="shared" si="6"/>
        <v>59</v>
      </c>
      <c r="B79" s="23">
        <f t="shared" si="7"/>
        <v>472</v>
      </c>
      <c r="C79" s="74">
        <v>1</v>
      </c>
      <c r="D79" s="22">
        <f t="shared" si="5"/>
        <v>472</v>
      </c>
      <c r="E79" s="12" t="s">
        <v>330</v>
      </c>
      <c r="F79" s="39" t="s">
        <v>144</v>
      </c>
      <c r="G79" s="276" t="s">
        <v>304</v>
      </c>
      <c r="I79" s="74" t="str">
        <f t="shared" si="0"/>
        <v>+</v>
      </c>
      <c r="J79" s="74" t="str">
        <f t="shared" si="1"/>
        <v>+</v>
      </c>
      <c r="K79" s="74" t="str">
        <f t="shared" si="2"/>
        <v>+</v>
      </c>
      <c r="L79" s="74" t="s">
        <v>1229</v>
      </c>
    </row>
    <row r="80" spans="1:12" x14ac:dyDescent="0.2">
      <c r="A80" s="10">
        <f t="shared" si="6"/>
        <v>60</v>
      </c>
      <c r="B80" s="23">
        <f t="shared" si="7"/>
        <v>473</v>
      </c>
      <c r="C80" s="74">
        <v>5</v>
      </c>
      <c r="D80" s="22">
        <f t="shared" si="5"/>
        <v>477</v>
      </c>
      <c r="E80" s="12" t="s">
        <v>329</v>
      </c>
      <c r="G80" s="74" t="s">
        <v>162</v>
      </c>
      <c r="I80" s="74" t="str">
        <f t="shared" si="0"/>
        <v>00248</v>
      </c>
      <c r="J80" s="74" t="str">
        <f t="shared" si="1"/>
        <v>00248</v>
      </c>
      <c r="K80" s="74" t="str">
        <f t="shared" si="2"/>
        <v>00248</v>
      </c>
      <c r="L80" s="74" t="s">
        <v>1233</v>
      </c>
    </row>
    <row r="81" spans="1:12" x14ac:dyDescent="0.2">
      <c r="A81" s="10">
        <f t="shared" si="6"/>
        <v>61</v>
      </c>
      <c r="B81" s="23">
        <f t="shared" si="7"/>
        <v>478</v>
      </c>
      <c r="C81" s="74">
        <v>5</v>
      </c>
      <c r="D81" s="22">
        <f t="shared" si="5"/>
        <v>482</v>
      </c>
      <c r="E81" s="12" t="s">
        <v>329</v>
      </c>
      <c r="G81" s="74" t="s">
        <v>161</v>
      </c>
      <c r="I81" s="74" t="str">
        <f t="shared" si="0"/>
        <v>00148</v>
      </c>
      <c r="J81" s="74" t="str">
        <f t="shared" si="1"/>
        <v>00148</v>
      </c>
      <c r="K81" s="74" t="str">
        <f t="shared" si="2"/>
        <v>00148</v>
      </c>
      <c r="L81" s="74" t="s">
        <v>1234</v>
      </c>
    </row>
    <row r="82" spans="1:12" x14ac:dyDescent="0.2">
      <c r="A82" s="10">
        <f t="shared" si="6"/>
        <v>62</v>
      </c>
      <c r="B82" s="23">
        <f t="shared" si="7"/>
        <v>483</v>
      </c>
      <c r="C82" s="74">
        <v>5</v>
      </c>
      <c r="D82" s="22">
        <f t="shared" si="5"/>
        <v>487</v>
      </c>
      <c r="E82" s="12" t="s">
        <v>330</v>
      </c>
      <c r="G82" s="74" t="s">
        <v>163</v>
      </c>
      <c r="H82" s="74" t="s">
        <v>132</v>
      </c>
      <c r="I82" s="74" t="str">
        <f t="shared" si="0"/>
        <v>00000</v>
      </c>
      <c r="J82" s="74" t="str">
        <f t="shared" si="1"/>
        <v>00000</v>
      </c>
      <c r="K82" s="74" t="str">
        <f t="shared" si="2"/>
        <v>00000</v>
      </c>
      <c r="L82" s="74" t="s">
        <v>1235</v>
      </c>
    </row>
    <row r="83" spans="1:12" x14ac:dyDescent="0.2">
      <c r="A83" s="10">
        <f t="shared" si="6"/>
        <v>63</v>
      </c>
      <c r="B83" s="23">
        <f t="shared" si="7"/>
        <v>488</v>
      </c>
      <c r="C83" s="436">
        <v>5</v>
      </c>
      <c r="D83" s="437">
        <f t="shared" si="5"/>
        <v>492</v>
      </c>
      <c r="E83" s="438" t="s">
        <v>329</v>
      </c>
      <c r="G83" s="436" t="s">
        <v>305</v>
      </c>
      <c r="I83" s="74" t="str">
        <f t="shared" si="0"/>
        <v>00000</v>
      </c>
      <c r="J83" s="74" t="str">
        <f t="shared" si="1"/>
        <v>00000</v>
      </c>
      <c r="K83" s="74" t="str">
        <f t="shared" si="2"/>
        <v>00000</v>
      </c>
      <c r="L83" s="74" t="s">
        <v>1235</v>
      </c>
    </row>
    <row r="84" spans="1:12" x14ac:dyDescent="0.2">
      <c r="A84" s="10">
        <f t="shared" si="6"/>
        <v>64</v>
      </c>
      <c r="B84" s="23">
        <f t="shared" si="7"/>
        <v>493</v>
      </c>
      <c r="C84" s="74">
        <v>19</v>
      </c>
      <c r="D84" s="22">
        <f t="shared" si="5"/>
        <v>511</v>
      </c>
      <c r="E84" s="12" t="s">
        <v>330</v>
      </c>
      <c r="G84" s="74" t="s">
        <v>101</v>
      </c>
      <c r="I84" s="74" t="str">
        <f t="shared" si="0"/>
        <v xml:space="preserve">                   </v>
      </c>
      <c r="J84" s="74" t="str">
        <f t="shared" si="1"/>
        <v>0005309270100001144</v>
      </c>
      <c r="K84" s="74" t="str">
        <f t="shared" si="2"/>
        <v>0005450280000000564</v>
      </c>
      <c r="L84" s="74" t="s">
        <v>1201</v>
      </c>
    </row>
    <row r="85" spans="1:12" x14ac:dyDescent="0.2">
      <c r="A85" s="10">
        <f t="shared" si="6"/>
        <v>65</v>
      </c>
      <c r="B85" s="23">
        <f t="shared" si="7"/>
        <v>512</v>
      </c>
      <c r="C85" s="74">
        <v>8</v>
      </c>
      <c r="D85" s="22">
        <f t="shared" si="5"/>
        <v>519</v>
      </c>
      <c r="E85" s="12" t="s">
        <v>329</v>
      </c>
      <c r="G85" s="305" t="s">
        <v>306</v>
      </c>
      <c r="I85" s="74" t="str">
        <f t="shared" si="0"/>
        <v>00000000</v>
      </c>
      <c r="J85" s="74" t="str">
        <f t="shared" si="1"/>
        <v>20240211</v>
      </c>
      <c r="K85" s="74" t="str">
        <f t="shared" si="2"/>
        <v>20120917</v>
      </c>
      <c r="L85" s="74" t="s">
        <v>1221</v>
      </c>
    </row>
    <row r="86" spans="1:12" x14ac:dyDescent="0.2">
      <c r="A86" s="10">
        <f t="shared" si="6"/>
        <v>66</v>
      </c>
      <c r="B86" s="23">
        <f t="shared" si="7"/>
        <v>520</v>
      </c>
      <c r="C86" s="74">
        <v>8</v>
      </c>
      <c r="D86" s="22">
        <f t="shared" si="5"/>
        <v>527</v>
      </c>
      <c r="E86" s="12" t="s">
        <v>329</v>
      </c>
      <c r="G86" s="74" t="s">
        <v>102</v>
      </c>
      <c r="I86" s="74" t="str">
        <f t="shared" ref="I86:I119" si="8">MID($A$121,$B86,$C86)</f>
        <v>00000000</v>
      </c>
      <c r="J86" s="74" t="str">
        <f t="shared" ref="J86:J119" si="9">MID($A$122,$B86,$C86)</f>
        <v>20290228</v>
      </c>
      <c r="K86" s="74" t="str">
        <f t="shared" ref="K86:K118" si="10">MID($A$124,B86,C86)</f>
        <v>20150917</v>
      </c>
      <c r="L86" s="74" t="s">
        <v>1227</v>
      </c>
    </row>
    <row r="87" spans="1:12" x14ac:dyDescent="0.2">
      <c r="A87" s="10">
        <f t="shared" si="6"/>
        <v>67</v>
      </c>
      <c r="B87" s="23">
        <f t="shared" si="7"/>
        <v>528</v>
      </c>
      <c r="C87" s="74">
        <v>8</v>
      </c>
      <c r="D87" s="22">
        <f t="shared" ref="D87:D118" si="11">D86+C87</f>
        <v>535</v>
      </c>
      <c r="E87" s="12" t="s">
        <v>329</v>
      </c>
      <c r="G87" s="74" t="s">
        <v>103</v>
      </c>
      <c r="I87" s="74" t="str">
        <f t="shared" si="8"/>
        <v>00000000</v>
      </c>
      <c r="J87" s="74" t="str">
        <f t="shared" si="9"/>
        <v>00000000</v>
      </c>
      <c r="K87" s="74" t="str">
        <f t="shared" si="10"/>
        <v>00000000</v>
      </c>
      <c r="L87" s="74" t="s">
        <v>1222</v>
      </c>
    </row>
    <row r="88" spans="1:12" x14ac:dyDescent="0.2">
      <c r="A88" s="10">
        <f t="shared" si="6"/>
        <v>68</v>
      </c>
      <c r="B88" s="23">
        <f t="shared" si="7"/>
        <v>536</v>
      </c>
      <c r="C88" s="74">
        <v>1</v>
      </c>
      <c r="D88" s="22">
        <f t="shared" si="11"/>
        <v>536</v>
      </c>
      <c r="E88" s="12" t="s">
        <v>330</v>
      </c>
      <c r="G88" s="74" t="s">
        <v>104</v>
      </c>
      <c r="I88" s="74" t="str">
        <f t="shared" si="8"/>
        <v xml:space="preserve"> </v>
      </c>
      <c r="J88" s="74" t="str">
        <f t="shared" si="9"/>
        <v>T</v>
      </c>
      <c r="K88" s="74" t="str">
        <f t="shared" si="10"/>
        <v>T</v>
      </c>
      <c r="L88" s="74" t="s">
        <v>1236</v>
      </c>
    </row>
    <row r="89" spans="1:12" x14ac:dyDescent="0.2">
      <c r="A89" s="10">
        <f t="shared" si="6"/>
        <v>69</v>
      </c>
      <c r="B89" s="23">
        <f t="shared" si="7"/>
        <v>537</v>
      </c>
      <c r="C89" s="74">
        <v>19</v>
      </c>
      <c r="D89" s="22">
        <f t="shared" si="11"/>
        <v>555</v>
      </c>
      <c r="E89" s="12" t="s">
        <v>330</v>
      </c>
      <c r="G89" s="74" t="s">
        <v>105</v>
      </c>
      <c r="I89" s="74" t="str">
        <f t="shared" si="8"/>
        <v xml:space="preserve">                   </v>
      </c>
      <c r="J89" s="74" t="str">
        <f t="shared" si="9"/>
        <v xml:space="preserve">                   </v>
      </c>
      <c r="K89" s="74" t="str">
        <f t="shared" si="10"/>
        <v>0005450280000001034</v>
      </c>
      <c r="L89" s="74" t="s">
        <v>1200</v>
      </c>
    </row>
    <row r="90" spans="1:12" x14ac:dyDescent="0.2">
      <c r="A90" s="10">
        <f t="shared" si="6"/>
        <v>70</v>
      </c>
      <c r="B90" s="23">
        <f t="shared" si="7"/>
        <v>556</v>
      </c>
      <c r="C90" s="74">
        <v>8</v>
      </c>
      <c r="D90" s="22">
        <f t="shared" si="11"/>
        <v>563</v>
      </c>
      <c r="E90" s="12" t="s">
        <v>329</v>
      </c>
      <c r="G90" s="74" t="s">
        <v>106</v>
      </c>
      <c r="I90" s="74" t="str">
        <f t="shared" si="8"/>
        <v>00000000</v>
      </c>
      <c r="J90" s="74" t="str">
        <f t="shared" si="9"/>
        <v>00000000</v>
      </c>
      <c r="K90" s="74" t="str">
        <f t="shared" si="10"/>
        <v>20121021</v>
      </c>
      <c r="L90" s="74" t="s">
        <v>1205</v>
      </c>
    </row>
    <row r="91" spans="1:12" x14ac:dyDescent="0.2">
      <c r="A91" s="10">
        <f t="shared" si="6"/>
        <v>71</v>
      </c>
      <c r="B91" s="23">
        <f t="shared" si="7"/>
        <v>564</v>
      </c>
      <c r="C91" s="74">
        <v>8</v>
      </c>
      <c r="D91" s="22">
        <f t="shared" si="11"/>
        <v>571</v>
      </c>
      <c r="E91" s="12" t="s">
        <v>329</v>
      </c>
      <c r="G91" s="74" t="s">
        <v>107</v>
      </c>
      <c r="I91" s="74" t="str">
        <f t="shared" si="8"/>
        <v>00000000</v>
      </c>
      <c r="J91" s="74" t="str">
        <f t="shared" si="9"/>
        <v>00000000</v>
      </c>
      <c r="K91" s="74" t="str">
        <f t="shared" si="10"/>
        <v>20171021</v>
      </c>
      <c r="L91" s="74" t="s">
        <v>1204</v>
      </c>
    </row>
    <row r="92" spans="1:12" x14ac:dyDescent="0.2">
      <c r="A92" s="10">
        <f t="shared" si="6"/>
        <v>72</v>
      </c>
      <c r="B92" s="23">
        <f t="shared" si="7"/>
        <v>572</v>
      </c>
      <c r="C92" s="74">
        <v>8</v>
      </c>
      <c r="D92" s="22">
        <f t="shared" si="11"/>
        <v>579</v>
      </c>
      <c r="E92" s="12" t="s">
        <v>329</v>
      </c>
      <c r="G92" s="74" t="s">
        <v>108</v>
      </c>
      <c r="I92" s="74" t="str">
        <f t="shared" si="8"/>
        <v>00000000</v>
      </c>
      <c r="J92" s="74" t="str">
        <f t="shared" si="9"/>
        <v>00000000</v>
      </c>
      <c r="K92" s="74" t="str">
        <f t="shared" si="10"/>
        <v>00000000</v>
      </c>
      <c r="L92" s="74" t="s">
        <v>1222</v>
      </c>
    </row>
    <row r="93" spans="1:12" x14ac:dyDescent="0.2">
      <c r="A93" s="10">
        <f t="shared" si="6"/>
        <v>73</v>
      </c>
      <c r="B93" s="23">
        <f t="shared" si="7"/>
        <v>580</v>
      </c>
      <c r="C93" s="74">
        <v>1</v>
      </c>
      <c r="D93" s="22">
        <f t="shared" si="11"/>
        <v>580</v>
      </c>
      <c r="E93" s="12" t="s">
        <v>330</v>
      </c>
      <c r="G93" s="74" t="s">
        <v>104</v>
      </c>
      <c r="I93" s="74" t="str">
        <f t="shared" si="8"/>
        <v xml:space="preserve"> </v>
      </c>
      <c r="J93" s="74" t="str">
        <f t="shared" si="9"/>
        <v xml:space="preserve"> </v>
      </c>
      <c r="K93" s="74" t="str">
        <f t="shared" si="10"/>
        <v>T</v>
      </c>
      <c r="L93" s="74" t="s">
        <v>1236</v>
      </c>
    </row>
    <row r="94" spans="1:12" x14ac:dyDescent="0.2">
      <c r="A94" s="10">
        <f t="shared" si="6"/>
        <v>74</v>
      </c>
      <c r="B94" s="23">
        <f t="shared" si="7"/>
        <v>581</v>
      </c>
      <c r="C94" s="74">
        <v>19</v>
      </c>
      <c r="D94" s="22">
        <f t="shared" si="11"/>
        <v>599</v>
      </c>
      <c r="E94" s="12" t="s">
        <v>330</v>
      </c>
      <c r="G94" s="74" t="s">
        <v>109</v>
      </c>
      <c r="I94" s="74" t="str">
        <f t="shared" si="8"/>
        <v xml:space="preserve">                   </v>
      </c>
      <c r="J94" s="74" t="str">
        <f t="shared" si="9"/>
        <v xml:space="preserve">                   </v>
      </c>
      <c r="K94" s="74" t="str">
        <f t="shared" si="10"/>
        <v xml:space="preserve">                   </v>
      </c>
      <c r="L94" s="74" t="s">
        <v>1237</v>
      </c>
    </row>
    <row r="95" spans="1:12" x14ac:dyDescent="0.2">
      <c r="A95" s="10">
        <f t="shared" si="6"/>
        <v>75</v>
      </c>
      <c r="B95" s="23">
        <f t="shared" si="7"/>
        <v>600</v>
      </c>
      <c r="C95" s="74">
        <v>8</v>
      </c>
      <c r="D95" s="22">
        <f t="shared" si="11"/>
        <v>607</v>
      </c>
      <c r="E95" s="12" t="s">
        <v>329</v>
      </c>
      <c r="G95" s="74" t="s">
        <v>110</v>
      </c>
      <c r="I95" s="74" t="str">
        <f t="shared" si="8"/>
        <v>00000000</v>
      </c>
      <c r="J95" s="74" t="str">
        <f t="shared" si="9"/>
        <v>00000000</v>
      </c>
      <c r="K95" s="74" t="str">
        <f t="shared" si="10"/>
        <v>00000000</v>
      </c>
      <c r="L95" s="74" t="s">
        <v>1222</v>
      </c>
    </row>
    <row r="96" spans="1:12" x14ac:dyDescent="0.2">
      <c r="A96" s="10">
        <f t="shared" si="6"/>
        <v>76</v>
      </c>
      <c r="B96" s="23">
        <f t="shared" si="7"/>
        <v>608</v>
      </c>
      <c r="C96" s="74">
        <v>8</v>
      </c>
      <c r="D96" s="22">
        <f t="shared" si="11"/>
        <v>615</v>
      </c>
      <c r="E96" s="12" t="s">
        <v>329</v>
      </c>
      <c r="G96" s="74" t="s">
        <v>111</v>
      </c>
      <c r="I96" s="74" t="str">
        <f t="shared" si="8"/>
        <v>00000000</v>
      </c>
      <c r="J96" s="74" t="str">
        <f t="shared" si="9"/>
        <v>00000000</v>
      </c>
      <c r="K96" s="74" t="str">
        <f t="shared" si="10"/>
        <v>00000000</v>
      </c>
      <c r="L96" s="74" t="s">
        <v>1222</v>
      </c>
    </row>
    <row r="97" spans="1:12" x14ac:dyDescent="0.2">
      <c r="A97" s="10">
        <f t="shared" si="6"/>
        <v>77</v>
      </c>
      <c r="B97" s="23">
        <f t="shared" si="7"/>
        <v>616</v>
      </c>
      <c r="C97" s="74">
        <v>8</v>
      </c>
      <c r="D97" s="22">
        <f t="shared" si="11"/>
        <v>623</v>
      </c>
      <c r="E97" s="12" t="s">
        <v>329</v>
      </c>
      <c r="G97" s="74" t="s">
        <v>112</v>
      </c>
      <c r="I97" s="74" t="str">
        <f t="shared" si="8"/>
        <v>00000000</v>
      </c>
      <c r="J97" s="74" t="str">
        <f t="shared" si="9"/>
        <v>00000000</v>
      </c>
      <c r="K97" s="74" t="str">
        <f t="shared" si="10"/>
        <v>00000000</v>
      </c>
      <c r="L97" s="74" t="s">
        <v>1222</v>
      </c>
    </row>
    <row r="98" spans="1:12" x14ac:dyDescent="0.2">
      <c r="A98" s="10">
        <f t="shared" si="6"/>
        <v>78</v>
      </c>
      <c r="B98" s="23">
        <f t="shared" si="7"/>
        <v>624</v>
      </c>
      <c r="C98" s="74">
        <v>1</v>
      </c>
      <c r="D98" s="22">
        <f t="shared" si="11"/>
        <v>624</v>
      </c>
      <c r="E98" s="12" t="s">
        <v>330</v>
      </c>
      <c r="G98" s="74" t="s">
        <v>104</v>
      </c>
      <c r="I98" s="74" t="str">
        <f t="shared" si="8"/>
        <v xml:space="preserve"> </v>
      </c>
      <c r="J98" s="74" t="str">
        <f t="shared" si="9"/>
        <v xml:space="preserve"> </v>
      </c>
      <c r="K98" s="74" t="str">
        <f t="shared" si="10"/>
        <v xml:space="preserve"> </v>
      </c>
      <c r="L98" s="74" t="s">
        <v>1</v>
      </c>
    </row>
    <row r="99" spans="1:12" x14ac:dyDescent="0.2">
      <c r="A99" s="10">
        <f t="shared" si="6"/>
        <v>79</v>
      </c>
      <c r="B99" s="23">
        <f t="shared" si="7"/>
        <v>625</v>
      </c>
      <c r="C99" s="74">
        <v>19</v>
      </c>
      <c r="D99" s="22">
        <f t="shared" si="11"/>
        <v>643</v>
      </c>
      <c r="E99" s="12" t="s">
        <v>330</v>
      </c>
      <c r="G99" s="74" t="s">
        <v>113</v>
      </c>
      <c r="I99" s="74" t="str">
        <f t="shared" si="8"/>
        <v xml:space="preserve">                   </v>
      </c>
      <c r="J99" s="74" t="str">
        <f t="shared" si="9"/>
        <v xml:space="preserve">                   </v>
      </c>
      <c r="K99" s="74" t="str">
        <f t="shared" si="10"/>
        <v xml:space="preserve">                   </v>
      </c>
      <c r="L99" s="74" t="s">
        <v>1237</v>
      </c>
    </row>
    <row r="100" spans="1:12" x14ac:dyDescent="0.2">
      <c r="A100" s="10">
        <f t="shared" si="6"/>
        <v>80</v>
      </c>
      <c r="B100" s="23">
        <f t="shared" si="7"/>
        <v>644</v>
      </c>
      <c r="C100" s="74">
        <v>8</v>
      </c>
      <c r="D100" s="22">
        <f t="shared" si="11"/>
        <v>651</v>
      </c>
      <c r="E100" s="12" t="s">
        <v>329</v>
      </c>
      <c r="G100" s="74" t="s">
        <v>114</v>
      </c>
      <c r="I100" s="74" t="str">
        <f t="shared" si="8"/>
        <v>00000000</v>
      </c>
      <c r="J100" s="74" t="str">
        <f t="shared" si="9"/>
        <v>00000000</v>
      </c>
      <c r="K100" s="74" t="str">
        <f t="shared" si="10"/>
        <v>00000000</v>
      </c>
      <c r="L100" s="74" t="s">
        <v>1222</v>
      </c>
    </row>
    <row r="101" spans="1:12" x14ac:dyDescent="0.2">
      <c r="A101" s="10">
        <f t="shared" si="6"/>
        <v>81</v>
      </c>
      <c r="B101" s="23">
        <f t="shared" si="7"/>
        <v>652</v>
      </c>
      <c r="C101" s="74">
        <v>8</v>
      </c>
      <c r="D101" s="22">
        <f t="shared" si="11"/>
        <v>659</v>
      </c>
      <c r="E101" s="12" t="s">
        <v>329</v>
      </c>
      <c r="G101" s="74" t="s">
        <v>115</v>
      </c>
      <c r="I101" s="74" t="str">
        <f t="shared" si="8"/>
        <v>00000000</v>
      </c>
      <c r="J101" s="74" t="str">
        <f t="shared" si="9"/>
        <v>00000000</v>
      </c>
      <c r="K101" s="74" t="str">
        <f t="shared" si="10"/>
        <v>00000000</v>
      </c>
      <c r="L101" s="74" t="s">
        <v>1222</v>
      </c>
    </row>
    <row r="102" spans="1:12" x14ac:dyDescent="0.2">
      <c r="A102" s="10">
        <f t="shared" si="6"/>
        <v>82</v>
      </c>
      <c r="B102" s="23">
        <f t="shared" si="7"/>
        <v>660</v>
      </c>
      <c r="C102" s="74">
        <v>8</v>
      </c>
      <c r="D102" s="22">
        <f t="shared" si="11"/>
        <v>667</v>
      </c>
      <c r="E102" s="12" t="s">
        <v>329</v>
      </c>
      <c r="G102" s="74" t="s">
        <v>116</v>
      </c>
      <c r="I102" s="74" t="str">
        <f t="shared" si="8"/>
        <v>00000000</v>
      </c>
      <c r="J102" s="74" t="str">
        <f t="shared" si="9"/>
        <v>00000000</v>
      </c>
      <c r="K102" s="74" t="str">
        <f t="shared" si="10"/>
        <v>00000000</v>
      </c>
      <c r="L102" s="74" t="s">
        <v>1222</v>
      </c>
    </row>
    <row r="103" spans="1:12" x14ac:dyDescent="0.2">
      <c r="A103" s="10">
        <f t="shared" si="6"/>
        <v>83</v>
      </c>
      <c r="B103" s="23">
        <f t="shared" si="7"/>
        <v>668</v>
      </c>
      <c r="C103" s="74">
        <v>1</v>
      </c>
      <c r="D103" s="22">
        <f t="shared" si="11"/>
        <v>668</v>
      </c>
      <c r="E103" s="12" t="s">
        <v>330</v>
      </c>
      <c r="G103" s="74" t="s">
        <v>104</v>
      </c>
      <c r="I103" s="74" t="str">
        <f t="shared" si="8"/>
        <v xml:space="preserve"> </v>
      </c>
      <c r="J103" s="74" t="str">
        <f t="shared" si="9"/>
        <v xml:space="preserve"> </v>
      </c>
      <c r="K103" s="74" t="str">
        <f t="shared" si="10"/>
        <v xml:space="preserve"> </v>
      </c>
      <c r="L103" s="74" t="s">
        <v>1</v>
      </c>
    </row>
    <row r="104" spans="1:12" x14ac:dyDescent="0.2">
      <c r="A104" s="10">
        <f t="shared" si="6"/>
        <v>84</v>
      </c>
      <c r="B104" s="23">
        <f t="shared" si="7"/>
        <v>669</v>
      </c>
      <c r="C104" s="74">
        <v>19</v>
      </c>
      <c r="D104" s="22">
        <f t="shared" si="11"/>
        <v>687</v>
      </c>
      <c r="E104" s="12" t="s">
        <v>330</v>
      </c>
      <c r="G104" s="74" t="s">
        <v>117</v>
      </c>
      <c r="I104" s="74" t="str">
        <f t="shared" si="8"/>
        <v xml:space="preserve">                   </v>
      </c>
      <c r="J104" s="74" t="str">
        <f t="shared" si="9"/>
        <v xml:space="preserve">                   </v>
      </c>
      <c r="K104" s="74" t="str">
        <f t="shared" si="10"/>
        <v xml:space="preserve">                   </v>
      </c>
      <c r="L104" s="74" t="s">
        <v>1237</v>
      </c>
    </row>
    <row r="105" spans="1:12" x14ac:dyDescent="0.2">
      <c r="A105" s="10">
        <f t="shared" si="6"/>
        <v>85</v>
      </c>
      <c r="B105" s="23">
        <f t="shared" si="7"/>
        <v>688</v>
      </c>
      <c r="C105" s="74">
        <v>8</v>
      </c>
      <c r="D105" s="22">
        <f t="shared" si="11"/>
        <v>695</v>
      </c>
      <c r="E105" s="12" t="s">
        <v>329</v>
      </c>
      <c r="G105" s="74" t="s">
        <v>118</v>
      </c>
      <c r="I105" s="74" t="str">
        <f t="shared" si="8"/>
        <v>00000000</v>
      </c>
      <c r="J105" s="74" t="str">
        <f t="shared" si="9"/>
        <v>00000000</v>
      </c>
      <c r="K105" s="74" t="str">
        <f t="shared" si="10"/>
        <v>00000000</v>
      </c>
      <c r="L105" s="74" t="s">
        <v>1222</v>
      </c>
    </row>
    <row r="106" spans="1:12" x14ac:dyDescent="0.2">
      <c r="A106" s="10">
        <f t="shared" si="6"/>
        <v>86</v>
      </c>
      <c r="B106" s="23">
        <f t="shared" si="7"/>
        <v>696</v>
      </c>
      <c r="C106" s="74">
        <v>8</v>
      </c>
      <c r="D106" s="22">
        <f t="shared" si="11"/>
        <v>703</v>
      </c>
      <c r="E106" s="12" t="s">
        <v>329</v>
      </c>
      <c r="G106" s="74" t="s">
        <v>119</v>
      </c>
      <c r="I106" s="74" t="str">
        <f t="shared" si="8"/>
        <v>00000000</v>
      </c>
      <c r="J106" s="74" t="str">
        <f t="shared" si="9"/>
        <v>00000000</v>
      </c>
      <c r="K106" s="74" t="str">
        <f t="shared" si="10"/>
        <v>00000000</v>
      </c>
      <c r="L106" s="74" t="s">
        <v>1222</v>
      </c>
    </row>
    <row r="107" spans="1:12" x14ac:dyDescent="0.2">
      <c r="A107" s="10">
        <f t="shared" si="6"/>
        <v>87</v>
      </c>
      <c r="B107" s="23">
        <f t="shared" si="7"/>
        <v>704</v>
      </c>
      <c r="C107" s="74">
        <v>8</v>
      </c>
      <c r="D107" s="22">
        <f t="shared" si="11"/>
        <v>711</v>
      </c>
      <c r="E107" s="12" t="s">
        <v>329</v>
      </c>
      <c r="G107" s="74" t="s">
        <v>120</v>
      </c>
      <c r="I107" s="74" t="str">
        <f t="shared" si="8"/>
        <v>00000000</v>
      </c>
      <c r="J107" s="74" t="str">
        <f t="shared" si="9"/>
        <v>00000000</v>
      </c>
      <c r="K107" s="74" t="str">
        <f t="shared" si="10"/>
        <v>00000000</v>
      </c>
      <c r="L107" s="74" t="s">
        <v>1222</v>
      </c>
    </row>
    <row r="108" spans="1:12" x14ac:dyDescent="0.2">
      <c r="A108" s="10">
        <f t="shared" si="6"/>
        <v>88</v>
      </c>
      <c r="B108" s="23">
        <f t="shared" si="7"/>
        <v>712</v>
      </c>
      <c r="C108" s="74">
        <v>1</v>
      </c>
      <c r="D108" s="22">
        <f t="shared" si="11"/>
        <v>712</v>
      </c>
      <c r="E108" s="12" t="s">
        <v>330</v>
      </c>
      <c r="G108" s="74" t="s">
        <v>104</v>
      </c>
      <c r="I108" s="74" t="str">
        <f t="shared" si="8"/>
        <v xml:space="preserve"> </v>
      </c>
      <c r="J108" s="74" t="str">
        <f t="shared" si="9"/>
        <v xml:space="preserve"> </v>
      </c>
      <c r="K108" s="74" t="str">
        <f t="shared" si="10"/>
        <v xml:space="preserve"> </v>
      </c>
      <c r="L108" s="74" t="s">
        <v>1</v>
      </c>
    </row>
    <row r="109" spans="1:12" x14ac:dyDescent="0.2">
      <c r="A109" s="10">
        <f t="shared" si="6"/>
        <v>89</v>
      </c>
      <c r="B109" s="23">
        <f t="shared" si="7"/>
        <v>713</v>
      </c>
      <c r="C109" s="74">
        <v>1</v>
      </c>
      <c r="D109" s="22">
        <f t="shared" si="11"/>
        <v>713</v>
      </c>
      <c r="E109" s="12" t="s">
        <v>330</v>
      </c>
      <c r="G109" s="74" t="s">
        <v>121</v>
      </c>
      <c r="I109" s="74" t="str">
        <f t="shared" si="8"/>
        <v>0</v>
      </c>
      <c r="J109" s="74" t="str">
        <f t="shared" si="9"/>
        <v>0</v>
      </c>
      <c r="K109" s="74" t="str">
        <f t="shared" si="10"/>
        <v>0</v>
      </c>
      <c r="L109" s="74" t="s">
        <v>1219</v>
      </c>
    </row>
    <row r="110" spans="1:12" x14ac:dyDescent="0.2">
      <c r="A110" s="10">
        <f t="shared" si="6"/>
        <v>90</v>
      </c>
      <c r="B110" s="23">
        <f t="shared" si="7"/>
        <v>714</v>
      </c>
      <c r="C110" s="74">
        <v>8</v>
      </c>
      <c r="D110" s="22">
        <f t="shared" si="11"/>
        <v>721</v>
      </c>
      <c r="E110" s="12" t="s">
        <v>329</v>
      </c>
      <c r="G110" s="74" t="s">
        <v>122</v>
      </c>
      <c r="H110" s="74" t="s">
        <v>132</v>
      </c>
      <c r="I110" s="74" t="str">
        <f t="shared" si="8"/>
        <v>00000000</v>
      </c>
      <c r="J110" s="74" t="str">
        <f t="shared" si="9"/>
        <v>00000000</v>
      </c>
      <c r="K110" s="74" t="str">
        <f t="shared" si="10"/>
        <v>00000000</v>
      </c>
      <c r="L110" s="74" t="s">
        <v>1222</v>
      </c>
    </row>
    <row r="111" spans="1:12" x14ac:dyDescent="0.2">
      <c r="A111" s="10">
        <f t="shared" si="6"/>
        <v>91</v>
      </c>
      <c r="B111" s="23">
        <f t="shared" si="7"/>
        <v>722</v>
      </c>
      <c r="C111" s="74">
        <v>8</v>
      </c>
      <c r="D111" s="22">
        <f t="shared" si="11"/>
        <v>729</v>
      </c>
      <c r="E111" s="12" t="s">
        <v>329</v>
      </c>
      <c r="G111" s="74" t="s">
        <v>123</v>
      </c>
      <c r="H111" s="74" t="s">
        <v>132</v>
      </c>
      <c r="I111" s="74" t="str">
        <f t="shared" si="8"/>
        <v>00000000</v>
      </c>
      <c r="J111" s="74" t="str">
        <f t="shared" si="9"/>
        <v>00000000</v>
      </c>
      <c r="K111" s="74" t="str">
        <f t="shared" si="10"/>
        <v>00000000</v>
      </c>
      <c r="L111" s="74" t="s">
        <v>1222</v>
      </c>
    </row>
    <row r="112" spans="1:12" x14ac:dyDescent="0.2">
      <c r="A112" s="10">
        <f t="shared" si="6"/>
        <v>92</v>
      </c>
      <c r="B112" s="23">
        <f t="shared" si="7"/>
        <v>730</v>
      </c>
      <c r="C112" s="74">
        <v>8</v>
      </c>
      <c r="D112" s="22">
        <f t="shared" si="11"/>
        <v>737</v>
      </c>
      <c r="E112" s="12" t="s">
        <v>329</v>
      </c>
      <c r="G112" s="74" t="s">
        <v>124</v>
      </c>
      <c r="H112" s="74" t="s">
        <v>132</v>
      </c>
      <c r="I112" s="74" t="str">
        <f t="shared" si="8"/>
        <v>00000000</v>
      </c>
      <c r="J112" s="74" t="str">
        <f t="shared" si="9"/>
        <v>00000000</v>
      </c>
      <c r="K112" s="74" t="str">
        <f t="shared" si="10"/>
        <v>00000000</v>
      </c>
      <c r="L112" s="74" t="s">
        <v>1222</v>
      </c>
    </row>
    <row r="113" spans="1:12" x14ac:dyDescent="0.2">
      <c r="A113" s="10">
        <f t="shared" si="6"/>
        <v>93</v>
      </c>
      <c r="B113" s="23">
        <f t="shared" si="7"/>
        <v>738</v>
      </c>
      <c r="C113" s="74">
        <v>8</v>
      </c>
      <c r="D113" s="22">
        <f t="shared" si="11"/>
        <v>745</v>
      </c>
      <c r="E113" s="12" t="s">
        <v>329</v>
      </c>
      <c r="G113" s="74" t="s">
        <v>307</v>
      </c>
      <c r="H113" s="74" t="s">
        <v>132</v>
      </c>
      <c r="I113" s="74" t="str">
        <f t="shared" si="8"/>
        <v>00000000</v>
      </c>
      <c r="J113" s="74" t="str">
        <f t="shared" si="9"/>
        <v>00000000</v>
      </c>
      <c r="K113" s="74" t="str">
        <f t="shared" si="10"/>
        <v>00000000</v>
      </c>
      <c r="L113" s="74" t="s">
        <v>1222</v>
      </c>
    </row>
    <row r="114" spans="1:12" x14ac:dyDescent="0.2">
      <c r="A114" s="10">
        <f t="shared" si="6"/>
        <v>94</v>
      </c>
      <c r="B114" s="23">
        <f t="shared" si="7"/>
        <v>746</v>
      </c>
      <c r="C114" s="74">
        <v>1</v>
      </c>
      <c r="D114" s="22">
        <f t="shared" si="11"/>
        <v>746</v>
      </c>
      <c r="E114" s="12" t="s">
        <v>330</v>
      </c>
      <c r="F114" s="39" t="s">
        <v>144</v>
      </c>
      <c r="G114" s="74" t="s">
        <v>164</v>
      </c>
      <c r="H114" s="74" t="s">
        <v>132</v>
      </c>
      <c r="I114" s="74" t="str">
        <f t="shared" si="8"/>
        <v xml:space="preserve"> </v>
      </c>
      <c r="J114" s="74" t="str">
        <f t="shared" si="9"/>
        <v xml:space="preserve"> </v>
      </c>
      <c r="K114" s="74" t="str">
        <f t="shared" si="10"/>
        <v xml:space="preserve"> </v>
      </c>
      <c r="L114" s="74" t="s">
        <v>1</v>
      </c>
    </row>
    <row r="115" spans="1:12" x14ac:dyDescent="0.2">
      <c r="A115" s="10">
        <f t="shared" si="6"/>
        <v>95</v>
      </c>
      <c r="B115" s="23">
        <f t="shared" si="7"/>
        <v>747</v>
      </c>
      <c r="C115" s="74">
        <v>1</v>
      </c>
      <c r="D115" s="22">
        <f t="shared" si="11"/>
        <v>747</v>
      </c>
      <c r="E115" s="12" t="s">
        <v>330</v>
      </c>
      <c r="G115" s="74" t="s">
        <v>165</v>
      </c>
      <c r="I115" s="74" t="str">
        <f t="shared" si="8"/>
        <v xml:space="preserve"> </v>
      </c>
      <c r="J115" s="74" t="str">
        <f t="shared" si="9"/>
        <v xml:space="preserve"> </v>
      </c>
      <c r="K115" s="74" t="str">
        <f t="shared" si="10"/>
        <v xml:space="preserve"> </v>
      </c>
      <c r="L115" s="74" t="s">
        <v>1</v>
      </c>
    </row>
    <row r="116" spans="1:12" x14ac:dyDescent="0.2">
      <c r="A116" s="10">
        <f t="shared" si="6"/>
        <v>96</v>
      </c>
      <c r="B116" s="23">
        <f t="shared" si="7"/>
        <v>748</v>
      </c>
      <c r="C116" s="74">
        <v>1</v>
      </c>
      <c r="D116" s="22">
        <f t="shared" si="11"/>
        <v>748</v>
      </c>
      <c r="E116" s="12" t="s">
        <v>330</v>
      </c>
      <c r="G116" s="74" t="s">
        <v>166</v>
      </c>
      <c r="I116" s="74" t="str">
        <f t="shared" si="8"/>
        <v xml:space="preserve"> </v>
      </c>
      <c r="J116" s="74" t="str">
        <f t="shared" si="9"/>
        <v xml:space="preserve"> </v>
      </c>
      <c r="K116" s="74" t="str">
        <f t="shared" si="10"/>
        <v xml:space="preserve"> </v>
      </c>
      <c r="L116" s="74" t="s">
        <v>1</v>
      </c>
    </row>
    <row r="117" spans="1:12" x14ac:dyDescent="0.2">
      <c r="A117" s="10">
        <f t="shared" si="6"/>
        <v>97</v>
      </c>
      <c r="B117" s="23">
        <f t="shared" si="7"/>
        <v>749</v>
      </c>
      <c r="C117" s="74">
        <v>1</v>
      </c>
      <c r="D117" s="22">
        <f t="shared" si="11"/>
        <v>749</v>
      </c>
      <c r="E117" s="12" t="s">
        <v>330</v>
      </c>
      <c r="G117" s="74" t="s">
        <v>167</v>
      </c>
      <c r="I117" s="74" t="str">
        <f t="shared" si="8"/>
        <v xml:space="preserve"> </v>
      </c>
      <c r="J117" s="74" t="str">
        <f t="shared" si="9"/>
        <v xml:space="preserve"> </v>
      </c>
      <c r="K117" s="74" t="str">
        <f t="shared" si="10"/>
        <v xml:space="preserve"> </v>
      </c>
      <c r="L117" s="74" t="s">
        <v>1</v>
      </c>
    </row>
    <row r="118" spans="1:12" x14ac:dyDescent="0.2">
      <c r="A118" s="10">
        <f t="shared" si="6"/>
        <v>98</v>
      </c>
      <c r="B118" s="23">
        <f t="shared" si="7"/>
        <v>750</v>
      </c>
      <c r="C118" s="74">
        <v>8</v>
      </c>
      <c r="D118" s="22">
        <f t="shared" si="11"/>
        <v>757</v>
      </c>
      <c r="E118" s="12" t="s">
        <v>329</v>
      </c>
      <c r="F118" s="271" t="s">
        <v>168</v>
      </c>
      <c r="G118" s="272" t="s">
        <v>308</v>
      </c>
      <c r="I118" s="74" t="str">
        <f t="shared" si="8"/>
        <v>00000000</v>
      </c>
      <c r="J118" s="74" t="str">
        <f t="shared" si="9"/>
        <v>00000000</v>
      </c>
      <c r="K118" s="74" t="str">
        <f t="shared" si="10"/>
        <v>00000000</v>
      </c>
      <c r="L118" s="74" t="s">
        <v>1222</v>
      </c>
    </row>
    <row r="119" spans="1:12" x14ac:dyDescent="0.2">
      <c r="A119" s="465">
        <v>99</v>
      </c>
      <c r="B119" s="466">
        <v>758</v>
      </c>
      <c r="C119" s="465">
        <v>17</v>
      </c>
      <c r="D119" s="466">
        <v>774</v>
      </c>
      <c r="E119" s="465" t="s">
        <v>330</v>
      </c>
      <c r="F119" s="465"/>
      <c r="G119" s="465" t="s">
        <v>1265</v>
      </c>
      <c r="H119" s="307"/>
      <c r="I119" s="74" t="str">
        <f t="shared" si="8"/>
        <v>99999999999999999</v>
      </c>
      <c r="J119" s="74" t="str">
        <f t="shared" si="9"/>
        <v>99999999999999999</v>
      </c>
    </row>
    <row r="121" spans="1:12" x14ac:dyDescent="0.2">
      <c r="A121" s="74" t="s">
        <v>1540</v>
      </c>
    </row>
    <row r="122" spans="1:12" x14ac:dyDescent="0.2">
      <c r="A122" s="74" t="s">
        <v>1541</v>
      </c>
    </row>
    <row r="124" spans="1:12" hidden="1" x14ac:dyDescent="0.2">
      <c r="A124" s="74" t="s">
        <v>1197</v>
      </c>
    </row>
    <row r="125" spans="1:12" x14ac:dyDescent="0.2">
      <c r="A125" s="74">
        <v>6</v>
      </c>
    </row>
  </sheetData>
  <phoneticPr fontId="5" type="noConversion"/>
  <pageMargins left="0.75" right="0.75" top="1" bottom="1" header="0" footer="0"/>
  <pageSetup scale="80" fitToHeight="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6146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0</xdr:colOff>
                <xdr:row>2</xdr:row>
                <xdr:rowOff>0</xdr:rowOff>
              </to>
            </anchor>
          </objectPr>
        </oleObject>
      </mc:Choice>
      <mc:Fallback>
        <oleObject progId="MSPhotoEd.3" shapeId="6146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2:H57"/>
  <sheetViews>
    <sheetView zoomScale="90" zoomScaleNormal="90" workbookViewId="0">
      <selection activeCell="C5" sqref="C5"/>
    </sheetView>
  </sheetViews>
  <sheetFormatPr baseColWidth="10" defaultColWidth="11.5546875" defaultRowHeight="15.75" x14ac:dyDescent="0.25"/>
  <cols>
    <col min="1" max="1" width="8.109375" style="74" customWidth="1"/>
    <col min="2" max="2" width="6.6640625" style="38" customWidth="1"/>
    <col min="3" max="3" width="6" style="74" customWidth="1"/>
    <col min="4" max="4" width="9.33203125" style="38" customWidth="1"/>
    <col min="5" max="5" width="11.5546875" style="74"/>
    <col min="6" max="6" width="10.109375" style="38" customWidth="1"/>
    <col min="7" max="7" width="21.21875" style="38" customWidth="1"/>
    <col min="8" max="8" width="24" style="446" customWidth="1"/>
    <col min="9" max="16384" width="11.5546875" style="74"/>
  </cols>
  <sheetData>
    <row r="2" spans="1:8" x14ac:dyDescent="0.25">
      <c r="G2" s="38">
        <v>8</v>
      </c>
    </row>
    <row r="3" spans="1:8" x14ac:dyDescent="0.25">
      <c r="A3" s="10" t="s">
        <v>92</v>
      </c>
      <c r="B3" s="23"/>
      <c r="C3" s="10"/>
      <c r="D3" s="22"/>
      <c r="E3" s="10"/>
      <c r="F3" s="23"/>
      <c r="G3" s="22" t="s">
        <v>1239</v>
      </c>
    </row>
    <row r="4" spans="1:8" x14ac:dyDescent="0.25">
      <c r="A4" s="10" t="s">
        <v>11</v>
      </c>
      <c r="B4" s="23"/>
      <c r="C4" s="10">
        <v>861</v>
      </c>
      <c r="D4" s="22"/>
      <c r="E4" s="10"/>
      <c r="F4" s="23"/>
      <c r="G4" s="23"/>
    </row>
    <row r="5" spans="1:8" x14ac:dyDescent="0.25">
      <c r="A5" s="10" t="s">
        <v>19</v>
      </c>
      <c r="B5" s="23"/>
      <c r="C5" s="10" t="s">
        <v>345</v>
      </c>
      <c r="D5" s="22"/>
      <c r="E5" s="10" t="s">
        <v>22</v>
      </c>
      <c r="F5" s="23"/>
      <c r="G5" s="23"/>
    </row>
    <row r="6" spans="1:8" x14ac:dyDescent="0.25">
      <c r="A6" s="10" t="s">
        <v>13</v>
      </c>
      <c r="B6" s="23"/>
      <c r="C6" s="10" t="s">
        <v>309</v>
      </c>
      <c r="D6" s="22"/>
      <c r="E6" s="10"/>
      <c r="F6" s="23"/>
      <c r="G6" s="23"/>
    </row>
    <row r="7" spans="1:8" x14ac:dyDescent="0.25">
      <c r="A7" s="12" t="s">
        <v>274</v>
      </c>
      <c r="B7" s="23"/>
      <c r="C7" s="10" t="s">
        <v>93</v>
      </c>
      <c r="D7" s="22"/>
      <c r="E7" s="10"/>
      <c r="F7" s="23"/>
      <c r="G7" s="23"/>
    </row>
    <row r="8" spans="1:8" x14ac:dyDescent="0.25">
      <c r="A8" s="12" t="s">
        <v>0</v>
      </c>
      <c r="B8" s="23"/>
      <c r="C8" s="10"/>
      <c r="D8" s="22"/>
      <c r="E8" s="10"/>
      <c r="F8" s="23"/>
      <c r="G8" s="23"/>
    </row>
    <row r="9" spans="1:8" x14ac:dyDescent="0.25">
      <c r="A9" s="10"/>
      <c r="B9" s="23"/>
      <c r="C9" s="10"/>
      <c r="D9" s="22"/>
      <c r="E9" s="10"/>
      <c r="F9" s="23"/>
      <c r="G9" s="23"/>
    </row>
    <row r="10" spans="1:8" x14ac:dyDescent="0.25">
      <c r="A10" s="13" t="s">
        <v>10</v>
      </c>
      <c r="B10" s="29"/>
      <c r="C10" s="12" t="s">
        <v>3</v>
      </c>
      <c r="D10" s="22">
        <v>861</v>
      </c>
      <c r="E10" s="12" t="s">
        <v>4</v>
      </c>
      <c r="F10" s="23"/>
      <c r="G10" s="23"/>
    </row>
    <row r="11" spans="1:8" x14ac:dyDescent="0.25">
      <c r="A11" s="19"/>
      <c r="B11" s="23"/>
      <c r="C11" s="10"/>
      <c r="D11" s="22"/>
      <c r="E11" s="10"/>
      <c r="F11" s="23"/>
      <c r="G11" s="23"/>
    </row>
    <row r="12" spans="1:8" ht="26.25" x14ac:dyDescent="0.25">
      <c r="A12" s="15" t="s">
        <v>5</v>
      </c>
      <c r="B12" s="24" t="s">
        <v>12</v>
      </c>
      <c r="C12" s="16" t="s">
        <v>6</v>
      </c>
      <c r="D12" s="25" t="s">
        <v>217</v>
      </c>
      <c r="E12" s="16" t="s">
        <v>7</v>
      </c>
      <c r="F12" s="30" t="s">
        <v>29</v>
      </c>
      <c r="G12" s="26" t="s">
        <v>8</v>
      </c>
      <c r="H12" s="445" t="str">
        <f>CONCATENATE("01   XXFW7157.")</f>
        <v>01   XXFW7157.</v>
      </c>
    </row>
    <row r="13" spans="1:8" ht="39" x14ac:dyDescent="0.25">
      <c r="A13" s="10">
        <v>1</v>
      </c>
      <c r="B13" s="23">
        <v>1</v>
      </c>
      <c r="C13" s="10">
        <v>19</v>
      </c>
      <c r="D13" s="22">
        <f>C13</f>
        <v>19</v>
      </c>
      <c r="E13" s="12" t="s">
        <v>329</v>
      </c>
      <c r="F13" s="23" t="s">
        <v>84</v>
      </c>
      <c r="G13" s="27" t="s">
        <v>94</v>
      </c>
      <c r="H13" s="445" t="str">
        <f>CONCATENATE("   02 XXFW7157-NUMCTA            PIC X(",C13,").")</f>
        <v xml:space="preserve">   02 XXFW7157-NUMCTA            PIC X(19).</v>
      </c>
    </row>
    <row r="14" spans="1:8" x14ac:dyDescent="0.25">
      <c r="A14" s="34" t="s">
        <v>310</v>
      </c>
      <c r="B14" s="35"/>
      <c r="C14" s="10"/>
      <c r="D14" s="22"/>
      <c r="E14" s="12"/>
      <c r="F14" s="23"/>
      <c r="G14" s="27"/>
      <c r="H14" s="445" t="s">
        <v>1</v>
      </c>
    </row>
    <row r="15" spans="1:8" x14ac:dyDescent="0.25">
      <c r="A15" s="10">
        <f>A13+1</f>
        <v>2</v>
      </c>
      <c r="B15" s="23">
        <f>D13+1</f>
        <v>20</v>
      </c>
      <c r="C15" s="21">
        <v>5</v>
      </c>
      <c r="D15" s="22">
        <f>D13+C15</f>
        <v>24</v>
      </c>
      <c r="E15" s="12" t="s">
        <v>330</v>
      </c>
      <c r="F15" s="23"/>
      <c r="G15" s="27" t="s">
        <v>311</v>
      </c>
      <c r="H15" s="445" t="str">
        <f>CONCATENATE("   02 XXFW7157-TIPVIA            PIC X(0",C15,").")</f>
        <v xml:space="preserve">   02 XXFW7157-TIPVIA            PIC X(05).</v>
      </c>
    </row>
    <row r="16" spans="1:8" x14ac:dyDescent="0.25">
      <c r="A16" s="10">
        <f t="shared" ref="A16:A57" si="0">A15+1</f>
        <v>3</v>
      </c>
      <c r="B16" s="23">
        <f t="shared" ref="B16:B57" si="1">D15+1</f>
        <v>25</v>
      </c>
      <c r="C16" s="21">
        <v>30</v>
      </c>
      <c r="D16" s="22">
        <f t="shared" ref="D16:D57" si="2">D15+C16</f>
        <v>54</v>
      </c>
      <c r="E16" s="12" t="s">
        <v>330</v>
      </c>
      <c r="F16" s="23"/>
      <c r="G16" s="27" t="s">
        <v>312</v>
      </c>
      <c r="H16" s="445" t="str">
        <f>CONCATENATE("   02 XXFW7157-NOMVIA            PIC X(",C16,").")</f>
        <v xml:space="preserve">   02 XXFW7157-NOMVIA            PIC X(30).</v>
      </c>
    </row>
    <row r="17" spans="1:8" x14ac:dyDescent="0.25">
      <c r="A17" s="10">
        <f t="shared" si="0"/>
        <v>4</v>
      </c>
      <c r="B17" s="23">
        <f t="shared" si="1"/>
        <v>55</v>
      </c>
      <c r="C17" s="21">
        <v>6</v>
      </c>
      <c r="D17" s="22">
        <f t="shared" si="2"/>
        <v>60</v>
      </c>
      <c r="E17" s="12" t="s">
        <v>330</v>
      </c>
      <c r="F17" s="23" t="s">
        <v>1</v>
      </c>
      <c r="G17" s="27" t="s">
        <v>70</v>
      </c>
      <c r="H17" s="445" t="str">
        <f>CONCATENATE("   02 XXFW7157-NUMVIA            PIC X(0",C17,").")</f>
        <v xml:space="preserve">   02 XXFW7157-NUMVIA            PIC X(06).</v>
      </c>
    </row>
    <row r="18" spans="1:8" ht="26.25" x14ac:dyDescent="0.25">
      <c r="A18" s="10">
        <f t="shared" si="0"/>
        <v>5</v>
      </c>
      <c r="B18" s="23">
        <f t="shared" si="1"/>
        <v>61</v>
      </c>
      <c r="C18" s="21">
        <v>6</v>
      </c>
      <c r="D18" s="22">
        <f t="shared" si="2"/>
        <v>66</v>
      </c>
      <c r="E18" s="12" t="s">
        <v>330</v>
      </c>
      <c r="F18" s="23"/>
      <c r="G18" s="27" t="s">
        <v>71</v>
      </c>
      <c r="H18" s="445" t="str">
        <f>CONCATENATE("   02 XXFW7157-NUNDEP            PIC X(0",C18,").")</f>
        <v xml:space="preserve">   02 XXFW7157-NUNDEP            PIC X(06).</v>
      </c>
    </row>
    <row r="19" spans="1:8" x14ac:dyDescent="0.25">
      <c r="A19" s="10">
        <f t="shared" si="0"/>
        <v>6</v>
      </c>
      <c r="B19" s="23">
        <f t="shared" si="1"/>
        <v>67</v>
      </c>
      <c r="C19" s="74">
        <v>5</v>
      </c>
      <c r="D19" s="22">
        <f t="shared" si="2"/>
        <v>71</v>
      </c>
      <c r="E19" s="12" t="s">
        <v>330</v>
      </c>
      <c r="G19" s="27" t="s">
        <v>72</v>
      </c>
      <c r="H19" s="445" t="str">
        <f>CONCATENATE("   02 XXFW7157-NUMOFI            PIC X(0",C19,").")</f>
        <v xml:space="preserve">   02 XXFW7157-NUMOFI            PIC X(05).</v>
      </c>
    </row>
    <row r="20" spans="1:8" x14ac:dyDescent="0.25">
      <c r="A20" s="10">
        <f t="shared" si="0"/>
        <v>7</v>
      </c>
      <c r="B20" s="23">
        <f t="shared" si="1"/>
        <v>72</v>
      </c>
      <c r="C20" s="74">
        <v>3</v>
      </c>
      <c r="D20" s="22">
        <f t="shared" si="2"/>
        <v>74</v>
      </c>
      <c r="E20" s="12" t="s">
        <v>330</v>
      </c>
      <c r="F20" s="38" t="s">
        <v>1</v>
      </c>
      <c r="G20" s="27" t="s">
        <v>73</v>
      </c>
      <c r="H20" s="445" t="str">
        <f>CONCATENATE("   02 XXFW7157-NUMPIS            PIC X(0",C20,").")</f>
        <v xml:space="preserve">   02 XXFW7157-NUMPIS            PIC X(03).</v>
      </c>
    </row>
    <row r="21" spans="1:8" x14ac:dyDescent="0.25">
      <c r="A21" s="10">
        <f t="shared" si="0"/>
        <v>8</v>
      </c>
      <c r="B21" s="23">
        <f t="shared" si="1"/>
        <v>75</v>
      </c>
      <c r="C21" s="74">
        <v>3</v>
      </c>
      <c r="D21" s="22">
        <f t="shared" si="2"/>
        <v>77</v>
      </c>
      <c r="E21" s="12" t="s">
        <v>330</v>
      </c>
      <c r="F21" s="38" t="s">
        <v>1</v>
      </c>
      <c r="G21" s="27" t="s">
        <v>313</v>
      </c>
      <c r="H21" s="445" t="str">
        <f>CONCATENATE("   02 XXFW7157-CODMAN            PIC X(0",C21,").")</f>
        <v xml:space="preserve">   02 XXFW7157-CODMAN            PIC X(03).</v>
      </c>
    </row>
    <row r="22" spans="1:8" x14ac:dyDescent="0.25">
      <c r="A22" s="10">
        <f t="shared" si="0"/>
        <v>9</v>
      </c>
      <c r="B22" s="23">
        <f t="shared" si="1"/>
        <v>78</v>
      </c>
      <c r="C22" s="74">
        <v>3</v>
      </c>
      <c r="D22" s="22">
        <f t="shared" si="2"/>
        <v>80</v>
      </c>
      <c r="E22" s="12" t="s">
        <v>329</v>
      </c>
      <c r="F22" s="38" t="s">
        <v>1</v>
      </c>
      <c r="G22" s="27" t="s">
        <v>314</v>
      </c>
      <c r="H22" s="445" t="str">
        <f>CONCATENATE("   02 XXFW7157-CODLOT            PIC X(0",C22,").")</f>
        <v xml:space="preserve">   02 XXFW7157-CODLOT            PIC X(03).</v>
      </c>
    </row>
    <row r="23" spans="1:8" x14ac:dyDescent="0.25">
      <c r="A23" s="10">
        <f t="shared" si="0"/>
        <v>10</v>
      </c>
      <c r="B23" s="23">
        <f t="shared" si="1"/>
        <v>81</v>
      </c>
      <c r="C23" s="74">
        <v>3</v>
      </c>
      <c r="D23" s="22">
        <f t="shared" si="2"/>
        <v>83</v>
      </c>
      <c r="E23" s="12" t="s">
        <v>330</v>
      </c>
      <c r="G23" s="27" t="s">
        <v>74</v>
      </c>
      <c r="H23" s="445" t="str">
        <f>CONCATENATE("   02 XXFW7157-NUMINT            PIC X(0",C23,").")</f>
        <v xml:space="preserve">   02 XXFW7157-NUMINT            PIC X(03).</v>
      </c>
    </row>
    <row r="24" spans="1:8" x14ac:dyDescent="0.25">
      <c r="A24" s="10">
        <f t="shared" si="0"/>
        <v>11</v>
      </c>
      <c r="B24" s="23">
        <f t="shared" si="1"/>
        <v>84</v>
      </c>
      <c r="C24" s="74">
        <v>3</v>
      </c>
      <c r="D24" s="22">
        <f t="shared" si="2"/>
        <v>86</v>
      </c>
      <c r="E24" s="12" t="s">
        <v>330</v>
      </c>
      <c r="G24" s="27" t="s">
        <v>75</v>
      </c>
      <c r="H24" s="445" t="str">
        <f>CONCATENATE("   02 XXFW7157-NUMSEC            PIC X(0",C24,").")</f>
        <v xml:space="preserve">   02 XXFW7157-NUMSEC            PIC X(03).</v>
      </c>
    </row>
    <row r="25" spans="1:8" x14ac:dyDescent="0.25">
      <c r="A25" s="10">
        <f t="shared" si="0"/>
        <v>12</v>
      </c>
      <c r="B25" s="23">
        <f t="shared" si="1"/>
        <v>87</v>
      </c>
      <c r="C25" s="74">
        <v>5</v>
      </c>
      <c r="D25" s="22">
        <f t="shared" si="2"/>
        <v>91</v>
      </c>
      <c r="E25" s="12" t="s">
        <v>330</v>
      </c>
      <c r="G25" s="38" t="s">
        <v>315</v>
      </c>
      <c r="H25" s="445" t="str">
        <f>CONCATENATE("   02 XXFW7157-NUMKIL            PIC X(0",C25,").")</f>
        <v xml:space="preserve">   02 XXFW7157-NUMKIL            PIC X(05).</v>
      </c>
    </row>
    <row r="26" spans="1:8" x14ac:dyDescent="0.25">
      <c r="A26" s="10">
        <f t="shared" si="0"/>
        <v>13</v>
      </c>
      <c r="B26" s="23">
        <f t="shared" si="1"/>
        <v>92</v>
      </c>
      <c r="C26" s="74">
        <v>5</v>
      </c>
      <c r="D26" s="22">
        <f t="shared" si="2"/>
        <v>96</v>
      </c>
      <c r="E26" s="12" t="s">
        <v>330</v>
      </c>
      <c r="G26" s="38" t="s">
        <v>76</v>
      </c>
      <c r="H26" s="445" t="str">
        <f>CONCATENATE("   02 XXFW7157-TIPZON            PIC X(0",C26,").")</f>
        <v xml:space="preserve">   02 XXFW7157-TIPZON            PIC X(05).</v>
      </c>
    </row>
    <row r="27" spans="1:8" x14ac:dyDescent="0.25">
      <c r="A27" s="10">
        <f t="shared" si="0"/>
        <v>14</v>
      </c>
      <c r="B27" s="23">
        <f t="shared" si="1"/>
        <v>97</v>
      </c>
      <c r="C27" s="74">
        <v>30</v>
      </c>
      <c r="D27" s="22">
        <f t="shared" si="2"/>
        <v>126</v>
      </c>
      <c r="E27" s="12" t="s">
        <v>330</v>
      </c>
      <c r="G27" s="38" t="s">
        <v>77</v>
      </c>
      <c r="H27" s="445" t="str">
        <f>CONCATENATE("   02 XXFW7157-NOMZON            PIC X(0",C27,").")</f>
        <v xml:space="preserve">   02 XXFW7157-NOMZON            PIC X(030).</v>
      </c>
    </row>
    <row r="28" spans="1:8" x14ac:dyDescent="0.25">
      <c r="A28" s="10">
        <f t="shared" si="0"/>
        <v>15</v>
      </c>
      <c r="B28" s="23">
        <f t="shared" si="1"/>
        <v>127</v>
      </c>
      <c r="C28" s="74">
        <v>120</v>
      </c>
      <c r="D28" s="22">
        <f t="shared" si="2"/>
        <v>246</v>
      </c>
      <c r="E28" s="12" t="s">
        <v>330</v>
      </c>
      <c r="G28" s="38" t="s">
        <v>316</v>
      </c>
      <c r="H28" s="445" t="str">
        <f>CONCATENATE("   02 XXFW7157-DIRCON            PIC X(",C28,").")</f>
        <v xml:space="preserve">   02 XXFW7157-DIRCON            PIC X(120).</v>
      </c>
    </row>
    <row r="29" spans="1:8" x14ac:dyDescent="0.25">
      <c r="A29" s="10">
        <f t="shared" si="0"/>
        <v>16</v>
      </c>
      <c r="B29" s="23">
        <f t="shared" si="1"/>
        <v>247</v>
      </c>
      <c r="C29" s="74">
        <v>55</v>
      </c>
      <c r="D29" s="22">
        <f t="shared" si="2"/>
        <v>301</v>
      </c>
      <c r="E29" s="12" t="s">
        <v>330</v>
      </c>
      <c r="G29" s="38" t="s">
        <v>78</v>
      </c>
      <c r="H29" s="445" t="str">
        <f>CONCATENATE("   02 XXFW7157-REFER            PIC X(0",C29,").")</f>
        <v xml:space="preserve">   02 XXFW7157-REFER            PIC X(055).</v>
      </c>
    </row>
    <row r="30" spans="1:8" ht="26.25" x14ac:dyDescent="0.25">
      <c r="A30" s="10">
        <f t="shared" si="0"/>
        <v>17</v>
      </c>
      <c r="B30" s="23">
        <f t="shared" si="1"/>
        <v>302</v>
      </c>
      <c r="C30" s="74">
        <v>6</v>
      </c>
      <c r="D30" s="22">
        <f t="shared" si="2"/>
        <v>307</v>
      </c>
      <c r="E30" s="12" t="s">
        <v>329</v>
      </c>
      <c r="G30" s="38" t="s">
        <v>334</v>
      </c>
      <c r="H30" s="445" t="str">
        <f>CONCATENATE("   02 XXFW7157-UBGDIR            PIC X(0",C30,").")</f>
        <v xml:space="preserve">   02 XXFW7157-UBGDIR            PIC X(06).</v>
      </c>
    </row>
    <row r="31" spans="1:8" ht="26.25" x14ac:dyDescent="0.25">
      <c r="A31" s="10">
        <f t="shared" si="0"/>
        <v>18</v>
      </c>
      <c r="B31" s="23">
        <f t="shared" si="1"/>
        <v>308</v>
      </c>
      <c r="C31" s="74">
        <v>9</v>
      </c>
      <c r="D31" s="22">
        <f t="shared" si="2"/>
        <v>316</v>
      </c>
      <c r="E31" s="12" t="s">
        <v>330</v>
      </c>
      <c r="G31" s="38" t="s">
        <v>335</v>
      </c>
      <c r="H31" s="445" t="str">
        <f>CONCATENATE("   02 XXFW7157-CODPOS            PIC X(0",C31,").")</f>
        <v xml:space="preserve">   02 XXFW7157-CODPOS            PIC X(09).</v>
      </c>
    </row>
    <row r="32" spans="1:8" x14ac:dyDescent="0.25">
      <c r="A32" s="34" t="s">
        <v>317</v>
      </c>
      <c r="B32" s="35"/>
      <c r="C32" s="10"/>
      <c r="D32" s="22"/>
      <c r="E32" s="12"/>
      <c r="F32" s="23"/>
      <c r="G32" s="27"/>
      <c r="H32" s="445" t="s">
        <v>1</v>
      </c>
    </row>
    <row r="33" spans="1:8" x14ac:dyDescent="0.25">
      <c r="A33" s="10">
        <f>A31+1</f>
        <v>19</v>
      </c>
      <c r="B33" s="23">
        <f>D31+1</f>
        <v>317</v>
      </c>
      <c r="C33" s="74">
        <v>5</v>
      </c>
      <c r="D33" s="22">
        <f>D31+C33</f>
        <v>321</v>
      </c>
      <c r="E33" s="12" t="s">
        <v>330</v>
      </c>
      <c r="G33" s="38" t="s">
        <v>311</v>
      </c>
      <c r="H33" s="445" t="str">
        <f>CONCATENATE("   02 XXFW7157-DTIPVIA            PIC X(0",C33,").")</f>
        <v xml:space="preserve">   02 XXFW7157-DTIPVIA            PIC X(05).</v>
      </c>
    </row>
    <row r="34" spans="1:8" x14ac:dyDescent="0.25">
      <c r="A34" s="10">
        <f t="shared" si="0"/>
        <v>20</v>
      </c>
      <c r="B34" s="23">
        <f t="shared" si="1"/>
        <v>322</v>
      </c>
      <c r="C34" s="74">
        <v>30</v>
      </c>
      <c r="D34" s="22">
        <f t="shared" si="2"/>
        <v>351</v>
      </c>
      <c r="E34" s="12" t="s">
        <v>330</v>
      </c>
      <c r="G34" s="38" t="s">
        <v>312</v>
      </c>
      <c r="H34" s="445" t="str">
        <f>CONCATENATE("   02 XXFW7157-DNOMVIA            PIC X(0",C34,").")</f>
        <v xml:space="preserve">   02 XXFW7157-DNOMVIA            PIC X(030).</v>
      </c>
    </row>
    <row r="35" spans="1:8" x14ac:dyDescent="0.25">
      <c r="A35" s="10">
        <f t="shared" si="0"/>
        <v>21</v>
      </c>
      <c r="B35" s="23">
        <f t="shared" si="1"/>
        <v>352</v>
      </c>
      <c r="C35" s="74">
        <v>6</v>
      </c>
      <c r="D35" s="22">
        <f t="shared" si="2"/>
        <v>357</v>
      </c>
      <c r="E35" s="12" t="s">
        <v>330</v>
      </c>
      <c r="G35" s="38" t="s">
        <v>70</v>
      </c>
      <c r="H35" s="445" t="str">
        <f>CONCATENATE("   02 XXFW7157-DNUMDIR            PIC X(0",C35,").")</f>
        <v xml:space="preserve">   02 XXFW7157-DNUMDIR            PIC X(06).</v>
      </c>
    </row>
    <row r="36" spans="1:8" ht="26.25" x14ac:dyDescent="0.25">
      <c r="A36" s="10">
        <f t="shared" si="0"/>
        <v>22</v>
      </c>
      <c r="B36" s="23">
        <f t="shared" si="1"/>
        <v>358</v>
      </c>
      <c r="C36" s="74">
        <v>6</v>
      </c>
      <c r="D36" s="22">
        <f t="shared" si="2"/>
        <v>363</v>
      </c>
      <c r="E36" s="12" t="s">
        <v>330</v>
      </c>
      <c r="G36" s="38" t="s">
        <v>71</v>
      </c>
      <c r="H36" s="445" t="str">
        <f>CONCATENATE("   02 XXFW7157-DNUMDEP            PIC X(0",C36,").")</f>
        <v xml:space="preserve">   02 XXFW7157-DNUMDEP            PIC X(06).</v>
      </c>
    </row>
    <row r="37" spans="1:8" x14ac:dyDescent="0.25">
      <c r="A37" s="10">
        <f t="shared" si="0"/>
        <v>23</v>
      </c>
      <c r="B37" s="23">
        <f t="shared" si="1"/>
        <v>364</v>
      </c>
      <c r="C37" s="74">
        <v>5</v>
      </c>
      <c r="D37" s="22">
        <f t="shared" si="2"/>
        <v>368</v>
      </c>
      <c r="E37" s="12" t="s">
        <v>330</v>
      </c>
      <c r="G37" s="38" t="s">
        <v>72</v>
      </c>
      <c r="H37" s="445" t="str">
        <f>CONCATENATE("   02 XXFW7157-DNUMOFI            PIC X(0",C37,").")</f>
        <v xml:space="preserve">   02 XXFW7157-DNUMOFI            PIC X(05).</v>
      </c>
    </row>
    <row r="38" spans="1:8" x14ac:dyDescent="0.25">
      <c r="A38" s="10">
        <f t="shared" si="0"/>
        <v>24</v>
      </c>
      <c r="B38" s="23">
        <f t="shared" si="1"/>
        <v>369</v>
      </c>
      <c r="C38" s="74">
        <v>3</v>
      </c>
      <c r="D38" s="22">
        <f t="shared" si="2"/>
        <v>371</v>
      </c>
      <c r="E38" s="12" t="s">
        <v>330</v>
      </c>
      <c r="G38" s="38" t="s">
        <v>73</v>
      </c>
      <c r="H38" s="445" t="str">
        <f>CONCATENATE("   02 XXFW7157-DNUMPIS            PIC X(0",C38,").")</f>
        <v xml:space="preserve">   02 XXFW7157-DNUMPIS            PIC X(03).</v>
      </c>
    </row>
    <row r="39" spans="1:8" x14ac:dyDescent="0.25">
      <c r="A39" s="10">
        <f t="shared" si="0"/>
        <v>25</v>
      </c>
      <c r="B39" s="23">
        <f t="shared" si="1"/>
        <v>372</v>
      </c>
      <c r="C39" s="74">
        <v>3</v>
      </c>
      <c r="D39" s="22">
        <f t="shared" si="2"/>
        <v>374</v>
      </c>
      <c r="E39" s="12" t="s">
        <v>329</v>
      </c>
      <c r="G39" s="38" t="s">
        <v>313</v>
      </c>
      <c r="H39" s="445" t="str">
        <f>CONCATENATE("   02 XXFW7157-DCODMAN            PIC X(0",C39,").")</f>
        <v xml:space="preserve">   02 XXFW7157-DCODMAN            PIC X(03).</v>
      </c>
    </row>
    <row r="40" spans="1:8" x14ac:dyDescent="0.25">
      <c r="A40" s="10">
        <f t="shared" si="0"/>
        <v>26</v>
      </c>
      <c r="B40" s="23">
        <f t="shared" si="1"/>
        <v>375</v>
      </c>
      <c r="C40" s="74">
        <v>3</v>
      </c>
      <c r="D40" s="22">
        <f t="shared" si="2"/>
        <v>377</v>
      </c>
      <c r="E40" s="12" t="s">
        <v>330</v>
      </c>
      <c r="G40" s="38" t="s">
        <v>314</v>
      </c>
      <c r="H40" s="445" t="str">
        <f>CONCATENATE("   02 XXFW7157-DCODLOT           PIC X(0",C40,").")</f>
        <v xml:space="preserve">   02 XXFW7157-DCODLOT           PIC X(03).</v>
      </c>
    </row>
    <row r="41" spans="1:8" x14ac:dyDescent="0.25">
      <c r="A41" s="10">
        <f t="shared" si="0"/>
        <v>27</v>
      </c>
      <c r="B41" s="23">
        <f t="shared" si="1"/>
        <v>378</v>
      </c>
      <c r="C41" s="74">
        <v>3</v>
      </c>
      <c r="D41" s="22">
        <f t="shared" si="2"/>
        <v>380</v>
      </c>
      <c r="E41" s="12" t="s">
        <v>329</v>
      </c>
      <c r="G41" s="38" t="s">
        <v>74</v>
      </c>
      <c r="H41" s="445" t="str">
        <f>CONCATENATE("   02 XXFW7157-DNUMINT            PIC X(0",C41,").")</f>
        <v xml:space="preserve">   02 XXFW7157-DNUMINT            PIC X(03).</v>
      </c>
    </row>
    <row r="42" spans="1:8" x14ac:dyDescent="0.25">
      <c r="A42" s="10">
        <f t="shared" si="0"/>
        <v>28</v>
      </c>
      <c r="B42" s="23">
        <f t="shared" si="1"/>
        <v>381</v>
      </c>
      <c r="C42" s="74">
        <v>3</v>
      </c>
      <c r="D42" s="22">
        <f t="shared" si="2"/>
        <v>383</v>
      </c>
      <c r="E42" s="12" t="s">
        <v>330</v>
      </c>
      <c r="G42" s="38" t="s">
        <v>75</v>
      </c>
      <c r="H42" s="445" t="str">
        <f>CONCATENATE("   02 XXFW7157-DNUMSEC            PIC X(0",C42,").")</f>
        <v xml:space="preserve">   02 XXFW7157-DNUMSEC            PIC X(03).</v>
      </c>
    </row>
    <row r="43" spans="1:8" x14ac:dyDescent="0.25">
      <c r="A43" s="10">
        <f t="shared" si="0"/>
        <v>29</v>
      </c>
      <c r="B43" s="23">
        <f t="shared" si="1"/>
        <v>384</v>
      </c>
      <c r="C43" s="74">
        <v>5</v>
      </c>
      <c r="D43" s="22">
        <f t="shared" si="2"/>
        <v>388</v>
      </c>
      <c r="E43" s="12" t="s">
        <v>330</v>
      </c>
      <c r="G43" s="38" t="s">
        <v>315</v>
      </c>
      <c r="H43" s="445" t="str">
        <f>CONCATENATE("   02 XXFW7157-DNUMKIL            PIC X(0",C43,").")</f>
        <v xml:space="preserve">   02 XXFW7157-DNUMKIL            PIC X(05).</v>
      </c>
    </row>
    <row r="44" spans="1:8" x14ac:dyDescent="0.25">
      <c r="A44" s="10">
        <f t="shared" si="0"/>
        <v>30</v>
      </c>
      <c r="B44" s="23">
        <f t="shared" si="1"/>
        <v>389</v>
      </c>
      <c r="C44" s="74">
        <v>5</v>
      </c>
      <c r="D44" s="22">
        <f t="shared" si="2"/>
        <v>393</v>
      </c>
      <c r="E44" s="12" t="s">
        <v>330</v>
      </c>
      <c r="G44" s="38" t="s">
        <v>76</v>
      </c>
      <c r="H44" s="445" t="str">
        <f>CONCATENATE("   02 XXFW7157-DTIPZON            PIC X(0",C44,").")</f>
        <v xml:space="preserve">   02 XXFW7157-DTIPZON            PIC X(05).</v>
      </c>
    </row>
    <row r="45" spans="1:8" x14ac:dyDescent="0.25">
      <c r="A45" s="10">
        <f t="shared" si="0"/>
        <v>31</v>
      </c>
      <c r="B45" s="23">
        <f t="shared" si="1"/>
        <v>394</v>
      </c>
      <c r="C45" s="74">
        <v>30</v>
      </c>
      <c r="D45" s="22">
        <f t="shared" si="2"/>
        <v>423</v>
      </c>
      <c r="E45" s="12" t="s">
        <v>330</v>
      </c>
      <c r="F45" s="38" t="s">
        <v>1</v>
      </c>
      <c r="G45" s="38" t="s">
        <v>77</v>
      </c>
      <c r="H45" s="445" t="str">
        <f>CONCATENATE("   02 XXFW7157-DNOMZON            PIC X(0",C45,").")</f>
        <v xml:space="preserve">   02 XXFW7157-DNOMZON            PIC X(030).</v>
      </c>
    </row>
    <row r="46" spans="1:8" x14ac:dyDescent="0.25">
      <c r="A46" s="10">
        <f t="shared" si="0"/>
        <v>32</v>
      </c>
      <c r="B46" s="23">
        <f t="shared" si="1"/>
        <v>424</v>
      </c>
      <c r="C46" s="74">
        <v>120</v>
      </c>
      <c r="D46" s="22">
        <f t="shared" si="2"/>
        <v>543</v>
      </c>
      <c r="E46" s="12" t="s">
        <v>330</v>
      </c>
      <c r="G46" s="38" t="s">
        <v>316</v>
      </c>
      <c r="H46" s="445" t="str">
        <f>CONCATENATE("   02 XXFW7157-DDIRCON            PIC X(",C46,").")</f>
        <v xml:space="preserve">   02 XXFW7157-DDIRCON            PIC X(120).</v>
      </c>
    </row>
    <row r="47" spans="1:8" x14ac:dyDescent="0.25">
      <c r="A47" s="10">
        <f t="shared" si="0"/>
        <v>33</v>
      </c>
      <c r="B47" s="23">
        <f t="shared" si="1"/>
        <v>544</v>
      </c>
      <c r="C47" s="74">
        <v>55</v>
      </c>
      <c r="D47" s="22">
        <f t="shared" si="2"/>
        <v>598</v>
      </c>
      <c r="E47" s="12" t="s">
        <v>330</v>
      </c>
      <c r="F47" s="38" t="s">
        <v>1</v>
      </c>
      <c r="G47" s="38" t="s">
        <v>78</v>
      </c>
      <c r="H47" s="445" t="str">
        <f>CONCATENATE("   02 XXFW7157-DREFER            PIC X(0",C47,").")</f>
        <v xml:space="preserve">   02 XXFW7157-DREFER            PIC X(055).</v>
      </c>
    </row>
    <row r="48" spans="1:8" x14ac:dyDescent="0.25">
      <c r="A48" s="10">
        <f t="shared" si="0"/>
        <v>34</v>
      </c>
      <c r="B48" s="23">
        <f t="shared" si="1"/>
        <v>599</v>
      </c>
      <c r="C48" s="74">
        <v>6</v>
      </c>
      <c r="D48" s="22">
        <f t="shared" si="2"/>
        <v>604</v>
      </c>
      <c r="E48" s="12" t="s">
        <v>329</v>
      </c>
      <c r="G48" s="38" t="s">
        <v>79</v>
      </c>
      <c r="H48" s="445" t="str">
        <f>CONCATENATE("   02 XXFW7157-DUBGDIR            PIC X(0",C48,").")</f>
        <v xml:space="preserve">   02 XXFW7157-DUBGDIR            PIC X(06).</v>
      </c>
    </row>
    <row r="49" spans="1:8" x14ac:dyDescent="0.25">
      <c r="A49" s="10">
        <f t="shared" si="0"/>
        <v>35</v>
      </c>
      <c r="B49" s="23">
        <f t="shared" si="1"/>
        <v>605</v>
      </c>
      <c r="C49" s="74">
        <v>9</v>
      </c>
      <c r="D49" s="22">
        <f t="shared" si="2"/>
        <v>613</v>
      </c>
      <c r="E49" s="12" t="s">
        <v>330</v>
      </c>
      <c r="G49" s="38" t="s">
        <v>80</v>
      </c>
      <c r="H49" s="445" t="str">
        <f>CONCATENATE("   02 XXFW7157-DCODPOS           PIC X(0",C49,").")</f>
        <v xml:space="preserve">   02 XXFW7157-DCODPOS           PIC X(09).</v>
      </c>
    </row>
    <row r="50" spans="1:8" x14ac:dyDescent="0.25">
      <c r="A50" s="34"/>
      <c r="B50" s="35"/>
      <c r="D50" s="22"/>
      <c r="E50" s="12"/>
      <c r="H50" s="445" t="s">
        <v>1</v>
      </c>
    </row>
    <row r="51" spans="1:8" ht="39" x14ac:dyDescent="0.25">
      <c r="A51" s="10">
        <f>A49+1</f>
        <v>36</v>
      </c>
      <c r="B51" s="23">
        <f>D49+1</f>
        <v>614</v>
      </c>
      <c r="C51" s="74">
        <v>1</v>
      </c>
      <c r="D51" s="22">
        <f>D49+C51</f>
        <v>614</v>
      </c>
      <c r="E51" s="12" t="s">
        <v>330</v>
      </c>
      <c r="F51" s="38" t="s">
        <v>96</v>
      </c>
      <c r="G51" s="38" t="s">
        <v>318</v>
      </c>
      <c r="H51" s="445" t="str">
        <f>CONCATENATE("   02 XXFW7157-CODENV            PIC X(0",C51,").")</f>
        <v xml:space="preserve">   02 XXFW7157-CODENV            PIC X(01).</v>
      </c>
    </row>
    <row r="52" spans="1:8" x14ac:dyDescent="0.25">
      <c r="A52" s="10">
        <f t="shared" si="0"/>
        <v>37</v>
      </c>
      <c r="B52" s="23">
        <f t="shared" si="1"/>
        <v>615</v>
      </c>
      <c r="C52" s="74">
        <v>50</v>
      </c>
      <c r="D52" s="22">
        <f t="shared" si="2"/>
        <v>664</v>
      </c>
      <c r="E52" s="12" t="s">
        <v>330</v>
      </c>
      <c r="G52" s="38" t="s">
        <v>319</v>
      </c>
      <c r="H52" s="445" t="str">
        <f>CONCATENATE("   02 XXFW7157-EMAIL DIR           PIC X(",C52,").")</f>
        <v xml:space="preserve">   02 XXFW7157-EMAIL DIR           PIC X(50).</v>
      </c>
    </row>
    <row r="53" spans="1:8" x14ac:dyDescent="0.25">
      <c r="A53" s="10">
        <f t="shared" si="0"/>
        <v>38</v>
      </c>
      <c r="B53" s="23">
        <f t="shared" si="1"/>
        <v>665</v>
      </c>
      <c r="C53" s="74">
        <v>50</v>
      </c>
      <c r="D53" s="22">
        <f t="shared" si="2"/>
        <v>714</v>
      </c>
      <c r="E53" s="12" t="s">
        <v>330</v>
      </c>
      <c r="G53" s="38" t="s">
        <v>95</v>
      </c>
      <c r="H53" s="445" t="str">
        <f>CONCATENATE("   02 XXFW7157-EMAILTRA            PIC X(",C53,").")</f>
        <v xml:space="preserve">   02 XXFW7157-EMAILTRA            PIC X(50).</v>
      </c>
    </row>
    <row r="54" spans="1:8" s="75" customFormat="1" x14ac:dyDescent="0.25">
      <c r="A54" s="71">
        <f t="shared" si="0"/>
        <v>39</v>
      </c>
      <c r="B54" s="66">
        <f t="shared" si="1"/>
        <v>715</v>
      </c>
      <c r="C54" s="75">
        <v>3</v>
      </c>
      <c r="D54" s="68">
        <f t="shared" si="2"/>
        <v>717</v>
      </c>
      <c r="E54" s="69" t="s">
        <v>329</v>
      </c>
      <c r="F54" s="76"/>
      <c r="G54" s="76" t="s">
        <v>512</v>
      </c>
      <c r="H54" s="445" t="str">
        <f>CONCATENATE("   02 XXFW7157-CODORG            PIC X(0",C54,").")</f>
        <v xml:space="preserve">   02 XXFW7157-CODORG            PIC X(03).</v>
      </c>
    </row>
    <row r="55" spans="1:8" x14ac:dyDescent="0.25">
      <c r="A55" s="10">
        <f t="shared" si="0"/>
        <v>40</v>
      </c>
      <c r="B55" s="23">
        <f t="shared" si="1"/>
        <v>718</v>
      </c>
      <c r="C55" s="74">
        <v>142</v>
      </c>
      <c r="D55" s="22">
        <f t="shared" si="2"/>
        <v>859</v>
      </c>
      <c r="E55" s="12" t="s">
        <v>330</v>
      </c>
      <c r="G55" s="38" t="s">
        <v>320</v>
      </c>
      <c r="H55" s="445" t="str">
        <f>CONCATENATE("   02 XXFW7157-PROFUT1            PIC X(0",C55,").")</f>
        <v xml:space="preserve">   02 XXFW7157-PROFUT1            PIC X(0142).</v>
      </c>
    </row>
    <row r="56" spans="1:8" x14ac:dyDescent="0.25">
      <c r="A56" s="10">
        <f t="shared" si="0"/>
        <v>41</v>
      </c>
      <c r="B56" s="23">
        <f t="shared" si="1"/>
        <v>860</v>
      </c>
      <c r="C56" s="74">
        <v>1</v>
      </c>
      <c r="D56" s="22">
        <f t="shared" si="2"/>
        <v>860</v>
      </c>
      <c r="E56" s="12" t="s">
        <v>330</v>
      </c>
      <c r="G56" s="38" t="s">
        <v>320</v>
      </c>
      <c r="H56" s="445" t="str">
        <f>CONCATENATE("   02 XXFW7157-PROVFUR2            PIC X(0",C56,").")</f>
        <v xml:space="preserve">   02 XXFW7157-PROVFUR2            PIC X(01).</v>
      </c>
    </row>
    <row r="57" spans="1:8" x14ac:dyDescent="0.25">
      <c r="A57" s="10">
        <f t="shared" si="0"/>
        <v>42</v>
      </c>
      <c r="B57" s="23">
        <f t="shared" si="1"/>
        <v>861</v>
      </c>
      <c r="C57" s="74">
        <v>1</v>
      </c>
      <c r="D57" s="22">
        <f t="shared" si="2"/>
        <v>861</v>
      </c>
      <c r="E57" s="12" t="s">
        <v>330</v>
      </c>
      <c r="G57" s="38" t="s">
        <v>1</v>
      </c>
      <c r="H57" s="445" t="str">
        <f>CONCATENATE("   02 XXFW7157-FINARCH            PIC X(0",C57,").")</f>
        <v xml:space="preserve">   02 XXFW7157-FINARCH            PIC X(01).</v>
      </c>
    </row>
  </sheetData>
  <phoneticPr fontId="5" type="noConversion"/>
  <pageMargins left="0.75" right="0.75" top="1" bottom="1" header="0" footer="0"/>
  <pageSetup paperSize="9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2289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695325</xdr:colOff>
                <xdr:row>1</xdr:row>
                <xdr:rowOff>171450</xdr:rowOff>
              </to>
            </anchor>
          </objectPr>
        </oleObject>
      </mc:Choice>
      <mc:Fallback>
        <oleObject progId="MSPhotoEd.3" shapeId="12289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2:H46"/>
  <sheetViews>
    <sheetView zoomScale="90" zoomScaleNormal="90" workbookViewId="0">
      <selection activeCell="C5" sqref="C5"/>
    </sheetView>
  </sheetViews>
  <sheetFormatPr baseColWidth="10" defaultColWidth="11.5546875" defaultRowHeight="12.75" x14ac:dyDescent="0.2"/>
  <cols>
    <col min="1" max="1" width="7.77734375" style="74" customWidth="1"/>
    <col min="2" max="2" width="6.44140625" style="38" customWidth="1"/>
    <col min="3" max="3" width="5.88671875" style="74" customWidth="1"/>
    <col min="4" max="4" width="6.5546875" style="38" customWidth="1"/>
    <col min="5" max="5" width="11.5546875" style="74"/>
    <col min="6" max="6" width="19.33203125" style="38" customWidth="1"/>
    <col min="7" max="7" width="23.88671875" style="38" customWidth="1"/>
    <col min="8" max="8" width="22.6640625" style="447" customWidth="1"/>
    <col min="9" max="16384" width="11.5546875" style="74"/>
  </cols>
  <sheetData>
    <row r="2" spans="1:8" x14ac:dyDescent="0.2">
      <c r="G2" s="38">
        <v>9</v>
      </c>
    </row>
    <row r="3" spans="1:8" x14ac:dyDescent="0.2">
      <c r="A3" s="10" t="s">
        <v>60</v>
      </c>
      <c r="B3" s="23"/>
      <c r="C3" s="10"/>
      <c r="D3" s="22"/>
      <c r="E3" s="10"/>
      <c r="F3" s="23"/>
      <c r="G3" s="22" t="s">
        <v>1240</v>
      </c>
    </row>
    <row r="4" spans="1:8" x14ac:dyDescent="0.2">
      <c r="A4" s="10" t="s">
        <v>11</v>
      </c>
      <c r="B4" s="23"/>
      <c r="C4" s="10">
        <v>860</v>
      </c>
      <c r="D4" s="22"/>
      <c r="E4" s="10"/>
      <c r="F4" s="23"/>
      <c r="G4" s="23"/>
    </row>
    <row r="5" spans="1:8" x14ac:dyDescent="0.2">
      <c r="A5" s="10" t="s">
        <v>19</v>
      </c>
      <c r="B5" s="23"/>
      <c r="C5" s="10" t="s">
        <v>343</v>
      </c>
      <c r="D5" s="22"/>
      <c r="E5" s="10" t="s">
        <v>22</v>
      </c>
      <c r="F5" s="23"/>
      <c r="G5" s="23"/>
    </row>
    <row r="6" spans="1:8" x14ac:dyDescent="0.2">
      <c r="A6" s="10" t="s">
        <v>13</v>
      </c>
      <c r="B6" s="23"/>
      <c r="C6" s="10" t="s">
        <v>309</v>
      </c>
      <c r="D6" s="22"/>
      <c r="E6" s="10"/>
      <c r="F6" s="23"/>
      <c r="G6" s="23"/>
    </row>
    <row r="7" spans="1:8" x14ac:dyDescent="0.2">
      <c r="A7" s="12" t="s">
        <v>274</v>
      </c>
      <c r="B7" s="23"/>
      <c r="C7" s="10" t="s">
        <v>61</v>
      </c>
      <c r="D7" s="22"/>
      <c r="E7" s="10"/>
      <c r="F7" s="23"/>
      <c r="G7" s="23"/>
    </row>
    <row r="8" spans="1:8" x14ac:dyDescent="0.2">
      <c r="A8" s="12" t="s">
        <v>0</v>
      </c>
      <c r="B8" s="23"/>
      <c r="C8" s="10"/>
      <c r="D8" s="22"/>
      <c r="E8" s="10"/>
      <c r="F8" s="23"/>
      <c r="G8" s="23"/>
    </row>
    <row r="9" spans="1:8" x14ac:dyDescent="0.2">
      <c r="A9" s="10"/>
      <c r="B9" s="23"/>
      <c r="C9" s="10"/>
      <c r="D9" s="22"/>
      <c r="E9" s="10"/>
      <c r="F9" s="23"/>
      <c r="G9" s="23"/>
    </row>
    <row r="10" spans="1:8" x14ac:dyDescent="0.2">
      <c r="A10" s="13" t="s">
        <v>10</v>
      </c>
      <c r="B10" s="29"/>
      <c r="C10" s="12" t="s">
        <v>3</v>
      </c>
      <c r="D10" s="22">
        <v>860</v>
      </c>
      <c r="E10" s="12" t="s">
        <v>4</v>
      </c>
      <c r="F10" s="23"/>
      <c r="G10" s="23"/>
    </row>
    <row r="11" spans="1:8" x14ac:dyDescent="0.2">
      <c r="A11" s="19"/>
      <c r="B11" s="23"/>
      <c r="C11" s="10"/>
      <c r="D11" s="22"/>
      <c r="E11" s="10"/>
      <c r="F11" s="23"/>
      <c r="G11" s="23"/>
    </row>
    <row r="12" spans="1:8" ht="25.5" x14ac:dyDescent="0.2">
      <c r="A12" s="15" t="s">
        <v>5</v>
      </c>
      <c r="B12" s="24" t="s">
        <v>12</v>
      </c>
      <c r="C12" s="16" t="s">
        <v>6</v>
      </c>
      <c r="D12" s="25" t="s">
        <v>217</v>
      </c>
      <c r="E12" s="16" t="s">
        <v>7</v>
      </c>
      <c r="F12" s="30" t="s">
        <v>29</v>
      </c>
      <c r="G12" s="26" t="s">
        <v>8</v>
      </c>
      <c r="H12" s="398" t="str">
        <f>CONCATENATE("01   XXFW7156.")</f>
        <v>01   XXFW7156.</v>
      </c>
    </row>
    <row r="13" spans="1:8" x14ac:dyDescent="0.2">
      <c r="A13" s="10">
        <v>1</v>
      </c>
      <c r="B13" s="23">
        <v>1</v>
      </c>
      <c r="C13" s="10">
        <v>19</v>
      </c>
      <c r="D13" s="22">
        <f>C13</f>
        <v>19</v>
      </c>
      <c r="E13" s="12" t="s">
        <v>329</v>
      </c>
      <c r="F13" s="23" t="s">
        <v>84</v>
      </c>
      <c r="G13" s="27" t="s">
        <v>83</v>
      </c>
      <c r="H13" s="398" t="str">
        <f>CONCATENATE("   02 XXFW7156-NUMTAR            PIC X(",C13,").")</f>
        <v xml:space="preserve">   02 XXFW7156-NUMTAR            PIC X(19).</v>
      </c>
    </row>
    <row r="14" spans="1:8" x14ac:dyDescent="0.2">
      <c r="A14" s="10">
        <f>A13+1</f>
        <v>2</v>
      </c>
      <c r="B14" s="23">
        <f>D13+1</f>
        <v>20</v>
      </c>
      <c r="C14" s="21">
        <v>30</v>
      </c>
      <c r="D14" s="22">
        <f>D13+C14</f>
        <v>49</v>
      </c>
      <c r="E14" s="12" t="s">
        <v>329</v>
      </c>
      <c r="F14" s="23"/>
      <c r="G14" s="27" t="s">
        <v>64</v>
      </c>
      <c r="H14" s="398" t="str">
        <f>CONCATENATE("   02 XXFW7156-APEPAR            PIC X(",C14,").")</f>
        <v xml:space="preserve">   02 XXFW7156-APEPAR            PIC X(30).</v>
      </c>
    </row>
    <row r="15" spans="1:8" x14ac:dyDescent="0.2">
      <c r="A15" s="10">
        <f t="shared" ref="A15:A46" si="0">A14+1</f>
        <v>3</v>
      </c>
      <c r="B15" s="23">
        <f t="shared" ref="B15:B46" si="1">D14+1</f>
        <v>50</v>
      </c>
      <c r="C15" s="21">
        <v>30</v>
      </c>
      <c r="D15" s="22">
        <f t="shared" ref="D15:D46" si="2">D14+C15</f>
        <v>79</v>
      </c>
      <c r="E15" s="12" t="s">
        <v>330</v>
      </c>
      <c r="F15" s="23"/>
      <c r="G15" s="27" t="s">
        <v>65</v>
      </c>
      <c r="H15" s="398" t="str">
        <f>CONCATENATE("   02 XXFW7156-APEMAR            PIC X(",C15,").")</f>
        <v xml:space="preserve">   02 XXFW7156-APEMAR            PIC X(30).</v>
      </c>
    </row>
    <row r="16" spans="1:8" x14ac:dyDescent="0.2">
      <c r="A16" s="10">
        <f t="shared" si="0"/>
        <v>4</v>
      </c>
      <c r="B16" s="23">
        <f t="shared" si="1"/>
        <v>80</v>
      </c>
      <c r="C16" s="21">
        <v>30</v>
      </c>
      <c r="D16" s="22">
        <f t="shared" si="2"/>
        <v>109</v>
      </c>
      <c r="E16" s="12" t="s">
        <v>330</v>
      </c>
      <c r="F16" s="23" t="s">
        <v>85</v>
      </c>
      <c r="G16" s="27" t="s">
        <v>66</v>
      </c>
      <c r="H16" s="398" t="str">
        <f>CONCATENATE("   02 XXFW7156-APECAS            PIC X(",C16,").")</f>
        <v xml:space="preserve">   02 XXFW7156-APECAS            PIC X(30).</v>
      </c>
    </row>
    <row r="17" spans="1:8" x14ac:dyDescent="0.2">
      <c r="A17" s="10">
        <f t="shared" si="0"/>
        <v>5</v>
      </c>
      <c r="B17" s="23">
        <f t="shared" si="1"/>
        <v>110</v>
      </c>
      <c r="C17" s="21">
        <v>30</v>
      </c>
      <c r="D17" s="22">
        <f t="shared" si="2"/>
        <v>139</v>
      </c>
      <c r="E17" s="12" t="s">
        <v>330</v>
      </c>
      <c r="F17" s="23"/>
      <c r="G17" s="27" t="s">
        <v>67</v>
      </c>
      <c r="H17" s="398" t="str">
        <f>CONCATENATE("   02 XXFW7156-PRINOM            PIC X(",C17,").")</f>
        <v xml:space="preserve">   02 XXFW7156-PRINOM            PIC X(30).</v>
      </c>
    </row>
    <row r="18" spans="1:8" x14ac:dyDescent="0.2">
      <c r="A18" s="10">
        <f t="shared" si="0"/>
        <v>6</v>
      </c>
      <c r="B18" s="23">
        <f t="shared" si="1"/>
        <v>140</v>
      </c>
      <c r="C18" s="74">
        <v>30</v>
      </c>
      <c r="D18" s="22">
        <f t="shared" si="2"/>
        <v>169</v>
      </c>
      <c r="E18" s="12" t="s">
        <v>330</v>
      </c>
      <c r="G18" s="27" t="s">
        <v>68</v>
      </c>
      <c r="H18" s="398" t="str">
        <f>CONCATENATE("   02 XXFW7156-SEGNOM            PIC X(",C18,").")</f>
        <v xml:space="preserve">   02 XXFW7156-SEGNOM            PIC X(30).</v>
      </c>
    </row>
    <row r="19" spans="1:8" ht="25.5" x14ac:dyDescent="0.2">
      <c r="A19" s="10">
        <f t="shared" si="0"/>
        <v>7</v>
      </c>
      <c r="B19" s="23">
        <f t="shared" si="1"/>
        <v>170</v>
      </c>
      <c r="C19" s="74">
        <v>1</v>
      </c>
      <c r="D19" s="22">
        <f t="shared" si="2"/>
        <v>170</v>
      </c>
      <c r="E19" s="12" t="s">
        <v>330</v>
      </c>
      <c r="F19" s="38" t="s">
        <v>336</v>
      </c>
      <c r="G19" s="27" t="s">
        <v>86</v>
      </c>
      <c r="H19" s="398" t="str">
        <f>CONCATENATE("   02 XXFW7156-SEX            PIC X(0",C19,").")</f>
        <v xml:space="preserve">   02 XXFW7156-SEX            PIC X(01).</v>
      </c>
    </row>
    <row r="20" spans="1:8" x14ac:dyDescent="0.2">
      <c r="A20" s="10">
        <f t="shared" si="0"/>
        <v>8</v>
      </c>
      <c r="B20" s="23">
        <f t="shared" si="1"/>
        <v>171</v>
      </c>
      <c r="C20" s="74">
        <v>1</v>
      </c>
      <c r="D20" s="22">
        <f t="shared" si="2"/>
        <v>171</v>
      </c>
      <c r="E20" s="12" t="s">
        <v>330</v>
      </c>
      <c r="F20" s="38" t="s">
        <v>87</v>
      </c>
      <c r="G20" s="27" t="s">
        <v>69</v>
      </c>
      <c r="H20" s="398" t="str">
        <f>CONCATENATE("   02 XXFW7156-ESTCIV            PIC X(0",C20,").")</f>
        <v xml:space="preserve">   02 XXFW7156-ESTCIV            PIC X(01).</v>
      </c>
    </row>
    <row r="21" spans="1:8" x14ac:dyDescent="0.2">
      <c r="A21" s="10">
        <f t="shared" si="0"/>
        <v>9</v>
      </c>
      <c r="B21" s="23">
        <f t="shared" si="1"/>
        <v>172</v>
      </c>
      <c r="C21" s="74">
        <v>11</v>
      </c>
      <c r="D21" s="22">
        <f t="shared" si="2"/>
        <v>182</v>
      </c>
      <c r="E21" s="12" t="s">
        <v>329</v>
      </c>
      <c r="F21" s="38" t="s">
        <v>85</v>
      </c>
      <c r="G21" s="27" t="s">
        <v>321</v>
      </c>
      <c r="H21" s="398" t="str">
        <f>CONCATENATE("   02 XXFW7156-TELEFON            PIC X(",C21,").")</f>
        <v xml:space="preserve">   02 XXFW7156-TELEFON            PIC X(11).</v>
      </c>
    </row>
    <row r="22" spans="1:8" x14ac:dyDescent="0.2">
      <c r="A22" s="10">
        <f t="shared" si="0"/>
        <v>10</v>
      </c>
      <c r="B22" s="23">
        <f t="shared" si="1"/>
        <v>183</v>
      </c>
      <c r="C22" s="74">
        <v>5</v>
      </c>
      <c r="D22" s="22">
        <f t="shared" si="2"/>
        <v>187</v>
      </c>
      <c r="E22" s="12" t="s">
        <v>330</v>
      </c>
      <c r="G22" s="27" t="s">
        <v>311</v>
      </c>
      <c r="H22" s="398" t="str">
        <f>CONCATENATE("   02 XXFW7156-TIPVIA            PIC X(0",C22,").")</f>
        <v xml:space="preserve">   02 XXFW7156-TIPVIA            PIC X(05).</v>
      </c>
    </row>
    <row r="23" spans="1:8" x14ac:dyDescent="0.2">
      <c r="A23" s="10">
        <f t="shared" si="0"/>
        <v>11</v>
      </c>
      <c r="B23" s="23">
        <f t="shared" si="1"/>
        <v>188</v>
      </c>
      <c r="C23" s="74">
        <v>30</v>
      </c>
      <c r="D23" s="22">
        <f t="shared" si="2"/>
        <v>217</v>
      </c>
      <c r="E23" s="12" t="s">
        <v>330</v>
      </c>
      <c r="G23" s="27" t="s">
        <v>312</v>
      </c>
      <c r="H23" s="398" t="str">
        <f>CONCATENATE("   02 XXFW7156-NOMVIA            PIC X(",C23,").")</f>
        <v xml:space="preserve">   02 XXFW7156-NOMVIA            PIC X(30).</v>
      </c>
    </row>
    <row r="24" spans="1:8" x14ac:dyDescent="0.2">
      <c r="A24" s="10">
        <f t="shared" si="0"/>
        <v>12</v>
      </c>
      <c r="B24" s="23">
        <f t="shared" si="1"/>
        <v>218</v>
      </c>
      <c r="C24" s="74">
        <v>6</v>
      </c>
      <c r="D24" s="22">
        <f t="shared" si="2"/>
        <v>223</v>
      </c>
      <c r="E24" s="12" t="s">
        <v>330</v>
      </c>
      <c r="G24" s="38" t="s">
        <v>70</v>
      </c>
      <c r="H24" s="398" t="str">
        <f>CONCATENATE("   02 XXFW7156-NUMDIR            PIC X(0",C24,").")</f>
        <v xml:space="preserve">   02 XXFW7156-NUMDIR            PIC X(06).</v>
      </c>
    </row>
    <row r="25" spans="1:8" x14ac:dyDescent="0.2">
      <c r="A25" s="10">
        <f t="shared" si="0"/>
        <v>13</v>
      </c>
      <c r="B25" s="23">
        <f t="shared" si="1"/>
        <v>224</v>
      </c>
      <c r="C25" s="74">
        <v>6</v>
      </c>
      <c r="D25" s="22">
        <f t="shared" si="2"/>
        <v>229</v>
      </c>
      <c r="E25" s="12" t="s">
        <v>330</v>
      </c>
      <c r="G25" s="38" t="s">
        <v>71</v>
      </c>
      <c r="H25" s="398" t="str">
        <f>CONCATENATE("   02 XXFW7156-NUMDEP            PIC X(0",C25,").")</f>
        <v xml:space="preserve">   02 XXFW7156-NUMDEP            PIC X(06).</v>
      </c>
    </row>
    <row r="26" spans="1:8" x14ac:dyDescent="0.2">
      <c r="A26" s="10">
        <f t="shared" si="0"/>
        <v>14</v>
      </c>
      <c r="B26" s="23">
        <f t="shared" si="1"/>
        <v>230</v>
      </c>
      <c r="C26" s="74">
        <v>5</v>
      </c>
      <c r="D26" s="22">
        <f t="shared" si="2"/>
        <v>234</v>
      </c>
      <c r="E26" s="12" t="s">
        <v>330</v>
      </c>
      <c r="G26" s="38" t="s">
        <v>72</v>
      </c>
      <c r="H26" s="398" t="str">
        <f>CONCATENATE("   02 XXFW7156-NUMOFI            PIC X(0",C26,").")</f>
        <v xml:space="preserve">   02 XXFW7156-NUMOFI            PIC X(05).</v>
      </c>
    </row>
    <row r="27" spans="1:8" x14ac:dyDescent="0.2">
      <c r="A27" s="10">
        <f t="shared" si="0"/>
        <v>15</v>
      </c>
      <c r="B27" s="23">
        <f t="shared" si="1"/>
        <v>235</v>
      </c>
      <c r="C27" s="74">
        <v>3</v>
      </c>
      <c r="D27" s="22">
        <f t="shared" si="2"/>
        <v>237</v>
      </c>
      <c r="E27" s="12" t="s">
        <v>330</v>
      </c>
      <c r="G27" s="38" t="s">
        <v>73</v>
      </c>
      <c r="H27" s="398" t="str">
        <f>CONCATENATE("   02 XXFW7156-NUMPIS            PIC X(0",C27,").")</f>
        <v xml:space="preserve">   02 XXFW7156-NUMPIS            PIC X(03).</v>
      </c>
    </row>
    <row r="28" spans="1:8" x14ac:dyDescent="0.2">
      <c r="A28" s="10">
        <f t="shared" si="0"/>
        <v>16</v>
      </c>
      <c r="B28" s="23">
        <f t="shared" si="1"/>
        <v>238</v>
      </c>
      <c r="C28" s="74">
        <v>3</v>
      </c>
      <c r="D28" s="22">
        <f t="shared" si="2"/>
        <v>240</v>
      </c>
      <c r="E28" s="12" t="s">
        <v>330</v>
      </c>
      <c r="G28" s="38" t="s">
        <v>313</v>
      </c>
      <c r="H28" s="398" t="str">
        <f>CONCATENATE("   02 XXFW7156-CODMAN            PIC X(0",C28,").")</f>
        <v xml:space="preserve">   02 XXFW7156-CODMAN            PIC X(03).</v>
      </c>
    </row>
    <row r="29" spans="1:8" x14ac:dyDescent="0.2">
      <c r="A29" s="10">
        <f t="shared" si="0"/>
        <v>17</v>
      </c>
      <c r="B29" s="23">
        <f t="shared" si="1"/>
        <v>241</v>
      </c>
      <c r="C29" s="74">
        <v>3</v>
      </c>
      <c r="D29" s="22">
        <f t="shared" si="2"/>
        <v>243</v>
      </c>
      <c r="E29" s="12" t="s">
        <v>330</v>
      </c>
      <c r="G29" s="38" t="s">
        <v>314</v>
      </c>
      <c r="H29" s="398" t="str">
        <f>CONCATENATE("   02 XXFW7156-CODLOT            PIC X(0",C29,").")</f>
        <v xml:space="preserve">   02 XXFW7156-CODLOT            PIC X(03).</v>
      </c>
    </row>
    <row r="30" spans="1:8" x14ac:dyDescent="0.2">
      <c r="A30" s="10">
        <f t="shared" si="0"/>
        <v>18</v>
      </c>
      <c r="B30" s="23">
        <f t="shared" si="1"/>
        <v>244</v>
      </c>
      <c r="C30" s="74">
        <v>3</v>
      </c>
      <c r="D30" s="22">
        <f t="shared" si="2"/>
        <v>246</v>
      </c>
      <c r="E30" s="12" t="s">
        <v>330</v>
      </c>
      <c r="G30" s="38" t="s">
        <v>74</v>
      </c>
      <c r="H30" s="398" t="str">
        <f>CONCATENATE("   02 XXFW7156-NUMINT            PIC X(0",C30,").")</f>
        <v xml:space="preserve">   02 XXFW7156-NUMINT            PIC X(03).</v>
      </c>
    </row>
    <row r="31" spans="1:8" x14ac:dyDescent="0.2">
      <c r="A31" s="10">
        <f t="shared" si="0"/>
        <v>19</v>
      </c>
      <c r="B31" s="23">
        <f t="shared" si="1"/>
        <v>247</v>
      </c>
      <c r="C31" s="74">
        <v>3</v>
      </c>
      <c r="D31" s="22">
        <f t="shared" si="2"/>
        <v>249</v>
      </c>
      <c r="E31" s="12" t="s">
        <v>330</v>
      </c>
      <c r="G31" s="38" t="s">
        <v>75</v>
      </c>
      <c r="H31" s="398" t="str">
        <f>CONCATENATE("   02 XXFW7156-NUMSEC            PIC X(0",C31,").")</f>
        <v xml:space="preserve">   02 XXFW7156-NUMSEC            PIC X(03).</v>
      </c>
    </row>
    <row r="32" spans="1:8" x14ac:dyDescent="0.2">
      <c r="A32" s="10">
        <f t="shared" si="0"/>
        <v>20</v>
      </c>
      <c r="B32" s="23">
        <f t="shared" si="1"/>
        <v>250</v>
      </c>
      <c r="C32" s="74">
        <v>5</v>
      </c>
      <c r="D32" s="22">
        <f t="shared" si="2"/>
        <v>254</v>
      </c>
      <c r="E32" s="12" t="s">
        <v>330</v>
      </c>
      <c r="G32" s="38" t="s">
        <v>315</v>
      </c>
      <c r="H32" s="398" t="str">
        <f>CONCATENATE("   02 XXFW7156-NUMKIL            PIC X(0",C32,").")</f>
        <v xml:space="preserve">   02 XXFW7156-NUMKIL            PIC X(05).</v>
      </c>
    </row>
    <row r="33" spans="1:8" x14ac:dyDescent="0.2">
      <c r="A33" s="10">
        <f t="shared" si="0"/>
        <v>21</v>
      </c>
      <c r="B33" s="23">
        <f t="shared" si="1"/>
        <v>255</v>
      </c>
      <c r="C33" s="74">
        <v>5</v>
      </c>
      <c r="D33" s="22">
        <f t="shared" si="2"/>
        <v>259</v>
      </c>
      <c r="E33" s="12" t="s">
        <v>330</v>
      </c>
      <c r="G33" s="38" t="s">
        <v>76</v>
      </c>
      <c r="H33" s="398" t="str">
        <f>CONCATENATE("   02 XXFW7156-TIPZON            PIC X(0",C33,").")</f>
        <v xml:space="preserve">   02 XXFW7156-TIPZON            PIC X(05).</v>
      </c>
    </row>
    <row r="34" spans="1:8" x14ac:dyDescent="0.2">
      <c r="A34" s="10">
        <f t="shared" si="0"/>
        <v>22</v>
      </c>
      <c r="B34" s="23">
        <f t="shared" si="1"/>
        <v>260</v>
      </c>
      <c r="C34" s="74">
        <v>30</v>
      </c>
      <c r="D34" s="22">
        <f t="shared" si="2"/>
        <v>289</v>
      </c>
      <c r="E34" s="12" t="s">
        <v>330</v>
      </c>
      <c r="G34" s="38" t="s">
        <v>77</v>
      </c>
      <c r="H34" s="398" t="str">
        <f>CONCATENATE("   02 XXFW7156-NOMZON            PIC X(",C34,").")</f>
        <v xml:space="preserve">   02 XXFW7156-NOMZON            PIC X(30).</v>
      </c>
    </row>
    <row r="35" spans="1:8" x14ac:dyDescent="0.2">
      <c r="A35" s="10">
        <f t="shared" si="0"/>
        <v>23</v>
      </c>
      <c r="B35" s="23">
        <f t="shared" si="1"/>
        <v>290</v>
      </c>
      <c r="C35" s="74">
        <v>120</v>
      </c>
      <c r="D35" s="22">
        <f t="shared" si="2"/>
        <v>409</v>
      </c>
      <c r="E35" s="12" t="s">
        <v>330</v>
      </c>
      <c r="G35" s="38" t="s">
        <v>316</v>
      </c>
      <c r="H35" s="398" t="str">
        <f>CONCATENATE("   02 XXFW7156-DIRCON            PIC X(",C35,").")</f>
        <v xml:space="preserve">   02 XXFW7156-DIRCON            PIC X(120).</v>
      </c>
    </row>
    <row r="36" spans="1:8" x14ac:dyDescent="0.2">
      <c r="A36" s="10">
        <f t="shared" si="0"/>
        <v>24</v>
      </c>
      <c r="B36" s="23">
        <f t="shared" si="1"/>
        <v>410</v>
      </c>
      <c r="C36" s="74">
        <v>55</v>
      </c>
      <c r="D36" s="22">
        <f t="shared" si="2"/>
        <v>464</v>
      </c>
      <c r="E36" s="12" t="s">
        <v>330</v>
      </c>
      <c r="G36" s="38" t="s">
        <v>78</v>
      </c>
      <c r="H36" s="398" t="str">
        <f>CONCATENATE("   02 XXFW7156-REFER            PIC X(",C36,").")</f>
        <v xml:space="preserve">   02 XXFW7156-REFER            PIC X(55).</v>
      </c>
    </row>
    <row r="37" spans="1:8" x14ac:dyDescent="0.2">
      <c r="A37" s="10">
        <f t="shared" si="0"/>
        <v>25</v>
      </c>
      <c r="B37" s="23">
        <f t="shared" si="1"/>
        <v>465</v>
      </c>
      <c r="C37" s="74">
        <v>6</v>
      </c>
      <c r="D37" s="22">
        <f t="shared" si="2"/>
        <v>470</v>
      </c>
      <c r="E37" s="12" t="s">
        <v>329</v>
      </c>
      <c r="G37" s="38" t="s">
        <v>334</v>
      </c>
      <c r="H37" s="398" t="str">
        <f>CONCATENATE("   02 XXFW7156-UBGDIR            PIC X(0",C37,").")</f>
        <v xml:space="preserve">   02 XXFW7156-UBGDIR            PIC X(06).</v>
      </c>
    </row>
    <row r="38" spans="1:8" x14ac:dyDescent="0.2">
      <c r="A38" s="10">
        <f t="shared" si="0"/>
        <v>26</v>
      </c>
      <c r="B38" s="23">
        <f t="shared" si="1"/>
        <v>471</v>
      </c>
      <c r="C38" s="74">
        <v>9</v>
      </c>
      <c r="D38" s="22">
        <f t="shared" si="2"/>
        <v>479</v>
      </c>
      <c r="E38" s="12" t="s">
        <v>330</v>
      </c>
      <c r="G38" s="38" t="s">
        <v>335</v>
      </c>
      <c r="H38" s="398" t="str">
        <f>CONCATENATE("   02 XXFW7156-CODPOS           PIC X(0",C38,").")</f>
        <v xml:space="preserve">   02 XXFW7156-CODPOS           PIC X(09).</v>
      </c>
    </row>
    <row r="39" spans="1:8" x14ac:dyDescent="0.2">
      <c r="A39" s="10">
        <f t="shared" si="0"/>
        <v>27</v>
      </c>
      <c r="B39" s="23">
        <f t="shared" si="1"/>
        <v>480</v>
      </c>
      <c r="C39" s="74">
        <v>5</v>
      </c>
      <c r="D39" s="22">
        <f t="shared" si="2"/>
        <v>484</v>
      </c>
      <c r="E39" s="12" t="s">
        <v>329</v>
      </c>
      <c r="G39" s="38" t="s">
        <v>322</v>
      </c>
      <c r="H39" s="398" t="str">
        <f>CONCATENATE("   02 XXFW7156-CODSUC            PIC X(0",C39,").")</f>
        <v xml:space="preserve">   02 XXFW7156-CODSUC            PIC X(05).</v>
      </c>
    </row>
    <row r="40" spans="1:8" ht="25.5" x14ac:dyDescent="0.2">
      <c r="A40" s="10">
        <f t="shared" si="0"/>
        <v>28</v>
      </c>
      <c r="B40" s="23">
        <f t="shared" si="1"/>
        <v>485</v>
      </c>
      <c r="C40" s="74">
        <v>1</v>
      </c>
      <c r="D40" s="22">
        <f t="shared" si="2"/>
        <v>485</v>
      </c>
      <c r="E40" s="12" t="s">
        <v>330</v>
      </c>
      <c r="F40" s="38" t="s">
        <v>82</v>
      </c>
      <c r="G40" s="38" t="s">
        <v>323</v>
      </c>
      <c r="H40" s="398" t="str">
        <f>CONCATENATE("   02 XXFW7156-TIPDIR            PIC X(0",C40,").")</f>
        <v xml:space="preserve">   02 XXFW7156-TIPDIR            PIC X(01).</v>
      </c>
    </row>
    <row r="41" spans="1:8" ht="25.5" x14ac:dyDescent="0.2">
      <c r="A41" s="10">
        <f t="shared" si="0"/>
        <v>29</v>
      </c>
      <c r="B41" s="23">
        <f t="shared" si="1"/>
        <v>486</v>
      </c>
      <c r="C41" s="74">
        <v>40</v>
      </c>
      <c r="D41" s="22">
        <f t="shared" si="2"/>
        <v>525</v>
      </c>
      <c r="E41" s="12" t="s">
        <v>330</v>
      </c>
      <c r="F41" s="38" t="s">
        <v>89</v>
      </c>
      <c r="G41" s="38" t="s">
        <v>327</v>
      </c>
      <c r="H41" s="398" t="str">
        <f>CONCATENATE("   02 XXFW7156-NOMMAN1            PIC X(",C41,").")</f>
        <v xml:space="preserve">   02 XXFW7156-NOMMAN1            PIC X(40).</v>
      </c>
    </row>
    <row r="42" spans="1:8" ht="25.5" x14ac:dyDescent="0.2">
      <c r="A42" s="10">
        <f t="shared" si="0"/>
        <v>30</v>
      </c>
      <c r="B42" s="23">
        <f t="shared" si="1"/>
        <v>526</v>
      </c>
      <c r="C42" s="74">
        <v>40</v>
      </c>
      <c r="D42" s="22">
        <f t="shared" si="2"/>
        <v>565</v>
      </c>
      <c r="E42" s="12" t="s">
        <v>330</v>
      </c>
      <c r="F42" s="38" t="s">
        <v>90</v>
      </c>
      <c r="G42" s="38" t="s">
        <v>328</v>
      </c>
      <c r="H42" s="398" t="str">
        <f>CONCATENATE("   02 XXFW7156-NOMMAN2            PIC X(",C42,").")</f>
        <v xml:space="preserve">   02 XXFW7156-NOMMAN2            PIC X(40).</v>
      </c>
    </row>
    <row r="43" spans="1:8" x14ac:dyDescent="0.2">
      <c r="A43" s="10">
        <f t="shared" si="0"/>
        <v>31</v>
      </c>
      <c r="B43" s="23">
        <f t="shared" si="1"/>
        <v>566</v>
      </c>
      <c r="C43" s="74">
        <v>3</v>
      </c>
      <c r="D43" s="22">
        <f t="shared" si="2"/>
        <v>568</v>
      </c>
      <c r="E43" s="12" t="s">
        <v>330</v>
      </c>
      <c r="F43" s="38" t="s">
        <v>324</v>
      </c>
      <c r="G43" s="38" t="s">
        <v>81</v>
      </c>
      <c r="H43" s="398" t="str">
        <f>CONCATENATE("   02 XXFW7156-CODPRO            PIC X(0",C43,").")</f>
        <v xml:space="preserve">   02 XXFW7156-CODPRO            PIC X(03).</v>
      </c>
    </row>
    <row r="44" spans="1:8" s="75" customFormat="1" x14ac:dyDescent="0.2">
      <c r="A44" s="71">
        <f t="shared" si="0"/>
        <v>32</v>
      </c>
      <c r="B44" s="66">
        <f t="shared" si="1"/>
        <v>569</v>
      </c>
      <c r="C44" s="75">
        <v>3</v>
      </c>
      <c r="D44" s="68">
        <f t="shared" si="2"/>
        <v>571</v>
      </c>
      <c r="E44" s="69" t="s">
        <v>329</v>
      </c>
      <c r="F44" s="76"/>
      <c r="G44" s="76" t="s">
        <v>512</v>
      </c>
      <c r="H44" s="398" t="str">
        <f>CONCATENATE("   02 XXFW7156-CODORG            PIC X(0",C44,").")</f>
        <v xml:space="preserve">   02 XXFW7156-CODORG            PIC X(03).</v>
      </c>
    </row>
    <row r="45" spans="1:8" x14ac:dyDescent="0.2">
      <c r="A45" s="10">
        <f t="shared" si="0"/>
        <v>33</v>
      </c>
      <c r="B45" s="23">
        <f t="shared" si="1"/>
        <v>572</v>
      </c>
      <c r="C45" s="74">
        <v>288</v>
      </c>
      <c r="D45" s="22">
        <f t="shared" si="2"/>
        <v>859</v>
      </c>
      <c r="E45" s="12" t="s">
        <v>330</v>
      </c>
      <c r="G45" s="38" t="s">
        <v>91</v>
      </c>
      <c r="H45" s="398" t="str">
        <f>CONCATENATE("   02 XXFW7156-RESERV            PIC X(",C45,").")</f>
        <v xml:space="preserve">   02 XXFW7156-RESERV            PIC X(288).</v>
      </c>
    </row>
    <row r="46" spans="1:8" x14ac:dyDescent="0.2">
      <c r="A46" s="10">
        <f t="shared" si="0"/>
        <v>34</v>
      </c>
      <c r="B46" s="23">
        <f t="shared" si="1"/>
        <v>860</v>
      </c>
      <c r="C46" s="74">
        <v>1</v>
      </c>
      <c r="D46" s="22">
        <f t="shared" si="2"/>
        <v>860</v>
      </c>
      <c r="E46" s="12" t="s">
        <v>330</v>
      </c>
      <c r="F46" s="38" t="s">
        <v>57</v>
      </c>
      <c r="G46" s="38" t="s">
        <v>88</v>
      </c>
      <c r="H46" s="398" t="str">
        <f>CONCATENATE("   02 XXFW7156-FINARC            PIC X(0",C46,").")</f>
        <v xml:space="preserve">   02 XXFW7156-FINARC            PIC X(01).</v>
      </c>
    </row>
  </sheetData>
  <phoneticPr fontId="5" type="noConversion"/>
  <pageMargins left="0.75" right="0.75" top="1" bottom="1" header="0" footer="0"/>
  <pageSetup paperSize="9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3313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0</xdr:colOff>
                <xdr:row>2</xdr:row>
                <xdr:rowOff>0</xdr:rowOff>
              </to>
            </anchor>
          </objectPr>
        </oleObject>
      </mc:Choice>
      <mc:Fallback>
        <oleObject progId="MSPhotoEd.3" shapeId="13313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4:N58"/>
  <sheetViews>
    <sheetView topLeftCell="A34" workbookViewId="0">
      <selection activeCell="B53" sqref="B53"/>
    </sheetView>
  </sheetViews>
  <sheetFormatPr baseColWidth="10" defaultColWidth="11.5546875" defaultRowHeight="12.75" x14ac:dyDescent="0.2"/>
  <cols>
    <col min="1" max="1" width="11.5546875" style="297"/>
    <col min="2" max="2" width="9.109375" style="298" customWidth="1"/>
    <col min="3" max="3" width="7.77734375" style="297" customWidth="1"/>
    <col min="4" max="4" width="7.44140625" style="298" customWidth="1"/>
    <col min="5" max="5" width="11.6640625" style="281" customWidth="1"/>
    <col min="6" max="6" width="11.5546875" style="38"/>
    <col min="7" max="7" width="24.109375" style="282" customWidth="1"/>
    <col min="8" max="8" width="19.77734375" style="74" customWidth="1"/>
    <col min="9" max="9" width="14.44140625" style="74" customWidth="1"/>
    <col min="10" max="10" width="14.21875" style="74" customWidth="1"/>
    <col min="11" max="11" width="12.6640625" style="74" customWidth="1"/>
    <col min="12" max="12" width="13.33203125" style="74" customWidth="1"/>
    <col min="13" max="13" width="13.44140625" style="74" customWidth="1"/>
    <col min="14" max="14" width="15.33203125" style="74" customWidth="1"/>
    <col min="15" max="16384" width="11.5546875" style="74"/>
  </cols>
  <sheetData>
    <row r="4" spans="1:7" x14ac:dyDescent="0.2">
      <c r="A4" s="283" t="s">
        <v>44</v>
      </c>
      <c r="B4" s="284"/>
      <c r="C4" s="283"/>
      <c r="D4" s="284"/>
      <c r="E4" s="277"/>
      <c r="F4" s="23"/>
      <c r="G4" s="278"/>
    </row>
    <row r="5" spans="1:7" x14ac:dyDescent="0.2">
      <c r="A5" s="283" t="s">
        <v>11</v>
      </c>
      <c r="B5" s="284"/>
      <c r="C5" s="283">
        <v>229</v>
      </c>
      <c r="D5" s="284"/>
      <c r="E5" s="277"/>
      <c r="F5" s="23"/>
      <c r="G5" s="278"/>
    </row>
    <row r="6" spans="1:7" x14ac:dyDescent="0.2">
      <c r="A6" s="283" t="s">
        <v>19</v>
      </c>
      <c r="B6" s="284"/>
      <c r="C6" s="283" t="s">
        <v>45</v>
      </c>
      <c r="D6" s="284"/>
      <c r="E6" s="277" t="s">
        <v>22</v>
      </c>
      <c r="F6" s="23"/>
      <c r="G6" s="278"/>
    </row>
    <row r="7" spans="1:7" x14ac:dyDescent="0.2">
      <c r="A7" s="283" t="s">
        <v>13</v>
      </c>
      <c r="B7" s="284"/>
      <c r="C7" s="283" t="s">
        <v>32</v>
      </c>
      <c r="D7" s="284"/>
      <c r="E7" s="277"/>
      <c r="F7" s="23"/>
      <c r="G7" s="278"/>
    </row>
    <row r="8" spans="1:7" x14ac:dyDescent="0.2">
      <c r="A8" s="283" t="s">
        <v>274</v>
      </c>
      <c r="B8" s="284"/>
      <c r="C8" s="563" t="s">
        <v>46</v>
      </c>
      <c r="D8" s="563"/>
      <c r="E8" s="563"/>
      <c r="F8" s="563"/>
      <c r="G8" s="563"/>
    </row>
    <row r="9" spans="1:7" x14ac:dyDescent="0.2">
      <c r="A9" s="283" t="s">
        <v>0</v>
      </c>
      <c r="B9" s="284"/>
      <c r="C9" s="283"/>
      <c r="D9" s="284"/>
      <c r="E9" s="277"/>
      <c r="F9" s="23"/>
      <c r="G9" s="278"/>
    </row>
    <row r="10" spans="1:7" x14ac:dyDescent="0.2">
      <c r="A10" s="285" t="s">
        <v>2</v>
      </c>
      <c r="B10" s="286" t="s">
        <v>1</v>
      </c>
      <c r="C10" s="283" t="s">
        <v>3</v>
      </c>
      <c r="D10" s="284">
        <v>229</v>
      </c>
      <c r="E10" s="279" t="s">
        <v>4</v>
      </c>
      <c r="F10" s="23"/>
      <c r="G10" s="278"/>
    </row>
    <row r="11" spans="1:7" x14ac:dyDescent="0.2">
      <c r="A11" s="287"/>
      <c r="B11" s="284"/>
      <c r="C11" s="283"/>
      <c r="D11" s="284"/>
      <c r="E11" s="277"/>
      <c r="F11" s="23"/>
      <c r="G11" s="278"/>
    </row>
    <row r="12" spans="1:7" ht="25.5" x14ac:dyDescent="0.2">
      <c r="A12" s="288" t="s">
        <v>5</v>
      </c>
      <c r="B12" s="289" t="s">
        <v>12</v>
      </c>
      <c r="C12" s="290" t="s">
        <v>6</v>
      </c>
      <c r="D12" s="289" t="s">
        <v>217</v>
      </c>
      <c r="E12" s="280" t="s">
        <v>7</v>
      </c>
      <c r="F12" s="24" t="s">
        <v>29</v>
      </c>
      <c r="G12" s="300" t="s">
        <v>8</v>
      </c>
    </row>
    <row r="13" spans="1:7" x14ac:dyDescent="0.2">
      <c r="A13" s="283">
        <v>1</v>
      </c>
      <c r="B13" s="284">
        <v>1</v>
      </c>
      <c r="C13" s="283">
        <v>1</v>
      </c>
      <c r="D13" s="284">
        <v>1</v>
      </c>
      <c r="E13" s="279" t="s">
        <v>330</v>
      </c>
      <c r="F13" s="23"/>
      <c r="G13" s="301" t="s">
        <v>351</v>
      </c>
    </row>
    <row r="14" spans="1:7" ht="25.5" x14ac:dyDescent="0.2">
      <c r="A14" s="283">
        <v>2</v>
      </c>
      <c r="B14" s="284">
        <f t="shared" ref="B14:B19" si="0">D13+1</f>
        <v>2</v>
      </c>
      <c r="C14" s="283">
        <v>2</v>
      </c>
      <c r="D14" s="284">
        <f t="shared" ref="D14:D19" si="1">D13+C14</f>
        <v>3</v>
      </c>
      <c r="E14" s="279" t="s">
        <v>329</v>
      </c>
      <c r="F14" s="23"/>
      <c r="G14" s="301" t="s">
        <v>332</v>
      </c>
    </row>
    <row r="15" spans="1:7" x14ac:dyDescent="0.2">
      <c r="A15" s="283">
        <v>3</v>
      </c>
      <c r="B15" s="284">
        <f t="shared" si="0"/>
        <v>4</v>
      </c>
      <c r="C15" s="283">
        <v>8</v>
      </c>
      <c r="D15" s="284">
        <f t="shared" si="1"/>
        <v>11</v>
      </c>
      <c r="E15" s="279" t="s">
        <v>329</v>
      </c>
      <c r="F15" s="23" t="s">
        <v>30</v>
      </c>
      <c r="G15" s="302" t="s">
        <v>218</v>
      </c>
    </row>
    <row r="16" spans="1:7" x14ac:dyDescent="0.2">
      <c r="A16" s="283">
        <v>4</v>
      </c>
      <c r="B16" s="284">
        <f t="shared" si="0"/>
        <v>12</v>
      </c>
      <c r="C16" s="283">
        <v>6</v>
      </c>
      <c r="D16" s="284">
        <f t="shared" si="1"/>
        <v>17</v>
      </c>
      <c r="E16" s="279" t="s">
        <v>329</v>
      </c>
      <c r="F16" s="23" t="s">
        <v>47</v>
      </c>
      <c r="G16" s="301" t="s">
        <v>275</v>
      </c>
    </row>
    <row r="17" spans="1:14" x14ac:dyDescent="0.2">
      <c r="A17" s="283">
        <v>5</v>
      </c>
      <c r="B17" s="284">
        <f t="shared" si="0"/>
        <v>18</v>
      </c>
      <c r="C17" s="283">
        <v>44</v>
      </c>
      <c r="D17" s="284">
        <f t="shared" si="1"/>
        <v>61</v>
      </c>
      <c r="E17" s="279" t="s">
        <v>330</v>
      </c>
      <c r="F17" s="23"/>
      <c r="G17" s="301" t="s">
        <v>350</v>
      </c>
    </row>
    <row r="18" spans="1:14" ht="12.75" customHeight="1" x14ac:dyDescent="0.2">
      <c r="A18" s="283">
        <v>6</v>
      </c>
      <c r="B18" s="284">
        <f t="shared" si="0"/>
        <v>62</v>
      </c>
      <c r="C18" s="283">
        <v>7</v>
      </c>
      <c r="D18" s="284">
        <f t="shared" si="1"/>
        <v>68</v>
      </c>
      <c r="E18" s="279" t="s">
        <v>329</v>
      </c>
      <c r="F18" s="23"/>
      <c r="G18" s="301" t="s">
        <v>349</v>
      </c>
    </row>
    <row r="19" spans="1:14" ht="12.75" customHeight="1" x14ac:dyDescent="0.2">
      <c r="A19" s="283">
        <v>7</v>
      </c>
      <c r="B19" s="284">
        <f t="shared" si="0"/>
        <v>69</v>
      </c>
      <c r="C19" s="283">
        <v>160</v>
      </c>
      <c r="D19" s="284">
        <f t="shared" si="1"/>
        <v>228</v>
      </c>
      <c r="E19" s="279" t="s">
        <v>329</v>
      </c>
      <c r="F19" s="23"/>
      <c r="G19" s="301" t="s">
        <v>352</v>
      </c>
    </row>
    <row r="20" spans="1:14" x14ac:dyDescent="0.2">
      <c r="A20" s="283"/>
      <c r="B20" s="284"/>
      <c r="C20" s="283"/>
      <c r="D20" s="284"/>
      <c r="E20" s="277"/>
      <c r="F20" s="23"/>
      <c r="G20" s="278"/>
    </row>
    <row r="21" spans="1:14" x14ac:dyDescent="0.2">
      <c r="A21" s="285" t="s">
        <v>10</v>
      </c>
      <c r="B21" s="286"/>
      <c r="C21" s="283" t="s">
        <v>3</v>
      </c>
      <c r="D21" s="284">
        <v>220</v>
      </c>
      <c r="E21" s="279" t="s">
        <v>4</v>
      </c>
      <c r="F21" s="23"/>
      <c r="G21" s="278"/>
    </row>
    <row r="22" spans="1:14" x14ac:dyDescent="0.2">
      <c r="A22" s="287"/>
      <c r="B22" s="284"/>
      <c r="C22" s="283"/>
      <c r="D22" s="284"/>
      <c r="E22" s="277"/>
      <c r="F22" s="23"/>
      <c r="G22" s="278"/>
    </row>
    <row r="23" spans="1:14" ht="25.5" x14ac:dyDescent="0.2">
      <c r="A23" s="288" t="s">
        <v>5</v>
      </c>
      <c r="B23" s="289" t="s">
        <v>12</v>
      </c>
      <c r="C23" s="290" t="s">
        <v>6</v>
      </c>
      <c r="D23" s="289" t="s">
        <v>217</v>
      </c>
      <c r="E23" s="280" t="s">
        <v>7</v>
      </c>
      <c r="F23" s="30" t="s">
        <v>29</v>
      </c>
      <c r="G23" s="300" t="s">
        <v>8</v>
      </c>
    </row>
    <row r="24" spans="1:14" x14ac:dyDescent="0.2">
      <c r="A24" s="283">
        <v>1</v>
      </c>
      <c r="B24" s="284">
        <v>1</v>
      </c>
      <c r="C24" s="283">
        <v>1</v>
      </c>
      <c r="D24" s="284">
        <f>C24</f>
        <v>1</v>
      </c>
      <c r="E24" s="279" t="s">
        <v>330</v>
      </c>
      <c r="F24" s="23">
        <v>1</v>
      </c>
      <c r="G24" s="301" t="s">
        <v>48</v>
      </c>
      <c r="H24" s="74" t="str">
        <f>MID($B$53,B24,C24)</f>
        <v>1</v>
      </c>
      <c r="I24" s="74" t="str">
        <f>MID($C$53,B24,C24)</f>
        <v>1</v>
      </c>
      <c r="J24" s="74" t="str">
        <f>MID($C$54,B24,C24)</f>
        <v>1</v>
      </c>
      <c r="K24" s="74" t="str">
        <f>MID($C$55,B24,C24)</f>
        <v>1</v>
      </c>
      <c r="L24" s="74" t="str">
        <f>MID($C$56,B24,C24)</f>
        <v>1</v>
      </c>
      <c r="M24" s="74" t="str">
        <f>MID($C$57,B24,C24)</f>
        <v>1</v>
      </c>
      <c r="N24" s="74" t="str">
        <f>MID($C$58,B24,C24)</f>
        <v>1</v>
      </c>
    </row>
    <row r="25" spans="1:14" s="75" customFormat="1" ht="51" x14ac:dyDescent="0.2">
      <c r="A25" s="291">
        <f>A24+1</f>
        <v>2</v>
      </c>
      <c r="B25" s="292">
        <f>D24+1</f>
        <v>2</v>
      </c>
      <c r="C25" s="293">
        <v>2</v>
      </c>
      <c r="D25" s="292">
        <f>D24+C25</f>
        <v>3</v>
      </c>
      <c r="E25" s="299" t="s">
        <v>330</v>
      </c>
      <c r="F25" s="66"/>
      <c r="G25" s="303" t="s">
        <v>514</v>
      </c>
      <c r="H25" s="74" t="str">
        <f t="shared" ref="H25:H33" si="2">MID($B$53,B25,C25)</f>
        <v>19</v>
      </c>
      <c r="I25" s="74" t="str">
        <f t="shared" ref="I25:I51" si="3">MID($C$53,B25,C25)</f>
        <v>18</v>
      </c>
      <c r="J25" s="74" t="str">
        <f t="shared" ref="J25:J50" si="4">MID($C$54,B25,C25)</f>
        <v>18</v>
      </c>
      <c r="K25" s="74" t="str">
        <f t="shared" ref="K25:K50" si="5">MID($C$55,B25,C25)</f>
        <v>18</v>
      </c>
      <c r="L25" s="74" t="str">
        <f t="shared" ref="L25:L50" si="6">MID($C$56,B25,C25)</f>
        <v>18</v>
      </c>
      <c r="M25" s="74" t="str">
        <f t="shared" ref="M25:M50" si="7">MID($C$57,B25,C25)</f>
        <v>18</v>
      </c>
      <c r="N25" s="74" t="str">
        <f t="shared" ref="N25:N50" si="8">MID($C$58,B25,C25)</f>
        <v>18</v>
      </c>
    </row>
    <row r="26" spans="1:14" ht="25.5" x14ac:dyDescent="0.2">
      <c r="A26" s="283">
        <f t="shared" ref="A26:A51" si="9">A25+1</f>
        <v>3</v>
      </c>
      <c r="B26" s="284">
        <f t="shared" ref="B26:B49" si="10">D25+1</f>
        <v>4</v>
      </c>
      <c r="C26" s="294">
        <v>3</v>
      </c>
      <c r="D26" s="284">
        <f t="shared" ref="D26:D51" si="11">D25+C26</f>
        <v>6</v>
      </c>
      <c r="E26" s="279" t="s">
        <v>330</v>
      </c>
      <c r="F26" s="23"/>
      <c r="G26" s="301" t="s">
        <v>498</v>
      </c>
      <c r="H26" s="74" t="str">
        <f t="shared" si="2"/>
        <v>000</v>
      </c>
      <c r="I26" s="74" t="str">
        <f t="shared" si="3"/>
        <v>181</v>
      </c>
      <c r="J26" s="74" t="str">
        <f t="shared" si="4"/>
        <v>181</v>
      </c>
      <c r="K26" s="74" t="str">
        <f t="shared" si="5"/>
        <v>181</v>
      </c>
      <c r="L26" s="74" t="str">
        <f t="shared" si="6"/>
        <v>181</v>
      </c>
      <c r="M26" s="74" t="str">
        <f t="shared" si="7"/>
        <v>181</v>
      </c>
      <c r="N26" s="74" t="str">
        <f t="shared" si="8"/>
        <v>181</v>
      </c>
    </row>
    <row r="27" spans="1:14" ht="38.25" x14ac:dyDescent="0.2">
      <c r="A27" s="283">
        <f t="shared" si="9"/>
        <v>4</v>
      </c>
      <c r="B27" s="284">
        <f t="shared" si="10"/>
        <v>7</v>
      </c>
      <c r="C27" s="294">
        <v>14</v>
      </c>
      <c r="D27" s="284">
        <f t="shared" si="11"/>
        <v>20</v>
      </c>
      <c r="E27" s="279" t="s">
        <v>330</v>
      </c>
      <c r="F27" s="23"/>
      <c r="G27" s="301" t="s">
        <v>434</v>
      </c>
      <c r="H27" s="74" t="str">
        <f t="shared" si="2"/>
        <v>00000000000000</v>
      </c>
      <c r="I27" s="74" t="str">
        <f t="shared" si="3"/>
        <v>00000000000000</v>
      </c>
      <c r="J27" s="74" t="str">
        <f t="shared" si="4"/>
        <v>00000000000000</v>
      </c>
      <c r="K27" s="74" t="str">
        <f t="shared" si="5"/>
        <v>00000000000000</v>
      </c>
      <c r="L27" s="74" t="str">
        <f t="shared" si="6"/>
        <v>00000000000000</v>
      </c>
      <c r="M27" s="74" t="str">
        <f t="shared" si="7"/>
        <v>00000000000000</v>
      </c>
      <c r="N27" s="74" t="str">
        <f t="shared" si="8"/>
        <v>00000000000000</v>
      </c>
    </row>
    <row r="28" spans="1:14" x14ac:dyDescent="0.2">
      <c r="A28" s="380">
        <f t="shared" si="9"/>
        <v>5</v>
      </c>
      <c r="B28" s="381">
        <f t="shared" si="10"/>
        <v>21</v>
      </c>
      <c r="C28" s="382">
        <v>19</v>
      </c>
      <c r="D28" s="381">
        <f t="shared" si="11"/>
        <v>39</v>
      </c>
      <c r="E28" s="383" t="s">
        <v>330</v>
      </c>
      <c r="F28" s="306"/>
      <c r="G28" s="304" t="s">
        <v>49</v>
      </c>
      <c r="H28" s="74" t="str">
        <f t="shared" si="2"/>
        <v>0005309270100000076</v>
      </c>
      <c r="I28" s="74" t="str">
        <f t="shared" si="3"/>
        <v>0005310130000001981</v>
      </c>
      <c r="J28" s="74" t="str">
        <f t="shared" si="4"/>
        <v>0005310130000001981</v>
      </c>
      <c r="K28" s="74" t="str">
        <f t="shared" si="5"/>
        <v>0005310130000001981</v>
      </c>
      <c r="L28" s="74" t="str">
        <f t="shared" si="6"/>
        <v>0005310130000001981</v>
      </c>
      <c r="M28" s="74" t="str">
        <f t="shared" si="7"/>
        <v>0005310130000001981</v>
      </c>
      <c r="N28" s="74" t="str">
        <f t="shared" si="8"/>
        <v>0005310130000001981</v>
      </c>
    </row>
    <row r="29" spans="1:14" ht="25.5" x14ac:dyDescent="0.2">
      <c r="A29" s="283">
        <f t="shared" si="9"/>
        <v>6</v>
      </c>
      <c r="B29" s="284">
        <f t="shared" si="10"/>
        <v>40</v>
      </c>
      <c r="C29" s="294">
        <v>4</v>
      </c>
      <c r="D29" s="284">
        <f t="shared" si="11"/>
        <v>43</v>
      </c>
      <c r="E29" s="279" t="s">
        <v>330</v>
      </c>
      <c r="F29" s="23" t="s">
        <v>233</v>
      </c>
      <c r="G29" s="301" t="s">
        <v>234</v>
      </c>
      <c r="H29" s="74" t="str">
        <f t="shared" si="2"/>
        <v>0000</v>
      </c>
      <c r="I29" s="74" t="str">
        <f t="shared" si="3"/>
        <v>0000</v>
      </c>
      <c r="J29" s="74" t="str">
        <f t="shared" si="4"/>
        <v>0000</v>
      </c>
      <c r="K29" s="74" t="str">
        <f t="shared" si="5"/>
        <v>0000</v>
      </c>
      <c r="L29" s="74" t="str">
        <f t="shared" si="6"/>
        <v>0000</v>
      </c>
      <c r="M29" s="74" t="str">
        <f t="shared" si="7"/>
        <v>0000</v>
      </c>
      <c r="N29" s="74" t="str">
        <f t="shared" si="8"/>
        <v>0000</v>
      </c>
    </row>
    <row r="30" spans="1:14" x14ac:dyDescent="0.2">
      <c r="A30" s="296">
        <f t="shared" si="9"/>
        <v>7</v>
      </c>
      <c r="B30" s="295">
        <f t="shared" si="10"/>
        <v>44</v>
      </c>
      <c r="C30" s="296">
        <v>8</v>
      </c>
      <c r="D30" s="295">
        <f t="shared" si="11"/>
        <v>51</v>
      </c>
      <c r="E30" s="384" t="s">
        <v>330</v>
      </c>
      <c r="F30" s="271" t="s">
        <v>30</v>
      </c>
      <c r="G30" s="385" t="s">
        <v>231</v>
      </c>
      <c r="H30" s="74" t="str">
        <f t="shared" si="2"/>
        <v>20241019</v>
      </c>
      <c r="I30" s="74" t="str">
        <f t="shared" si="3"/>
        <v>20190101</v>
      </c>
      <c r="J30" s="74" t="str">
        <f t="shared" si="4"/>
        <v>20190603</v>
      </c>
      <c r="K30" s="74" t="str">
        <f t="shared" si="5"/>
        <v>20190603</v>
      </c>
      <c r="L30" s="74" t="str">
        <f t="shared" si="6"/>
        <v>20190603</v>
      </c>
      <c r="M30" s="74" t="str">
        <f t="shared" si="7"/>
        <v>20190603</v>
      </c>
      <c r="N30" s="74" t="str">
        <f t="shared" si="8"/>
        <v>20190603</v>
      </c>
    </row>
    <row r="31" spans="1:14" x14ac:dyDescent="0.2">
      <c r="A31" s="283">
        <f t="shared" si="9"/>
        <v>8</v>
      </c>
      <c r="B31" s="284">
        <f t="shared" si="10"/>
        <v>52</v>
      </c>
      <c r="C31" s="283">
        <v>2</v>
      </c>
      <c r="D31" s="284">
        <f t="shared" si="11"/>
        <v>53</v>
      </c>
      <c r="E31" s="279" t="s">
        <v>330</v>
      </c>
      <c r="F31" s="39" t="s">
        <v>56</v>
      </c>
      <c r="G31" s="301" t="s">
        <v>235</v>
      </c>
      <c r="H31" s="74" t="str">
        <f t="shared" si="2"/>
        <v>01</v>
      </c>
      <c r="I31" s="74" t="str">
        <f t="shared" si="3"/>
        <v>01</v>
      </c>
      <c r="J31" s="74" t="str">
        <f t="shared" si="4"/>
        <v>01</v>
      </c>
      <c r="K31" s="74" t="str">
        <f t="shared" si="5"/>
        <v>01</v>
      </c>
      <c r="L31" s="74" t="str">
        <f t="shared" si="6"/>
        <v>01</v>
      </c>
      <c r="M31" s="74" t="str">
        <f t="shared" si="7"/>
        <v>01</v>
      </c>
      <c r="N31" s="74" t="str">
        <f t="shared" si="8"/>
        <v>01</v>
      </c>
    </row>
    <row r="32" spans="1:14" x14ac:dyDescent="0.2">
      <c r="A32" s="545">
        <f t="shared" si="9"/>
        <v>9</v>
      </c>
      <c r="B32" s="546">
        <f t="shared" si="10"/>
        <v>54</v>
      </c>
      <c r="C32" s="545">
        <v>3</v>
      </c>
      <c r="D32" s="546">
        <f t="shared" si="11"/>
        <v>56</v>
      </c>
      <c r="E32" s="547" t="s">
        <v>330</v>
      </c>
      <c r="F32" s="548"/>
      <c r="G32" s="549" t="s">
        <v>227</v>
      </c>
      <c r="H32" s="74" t="str">
        <f t="shared" si="2"/>
        <v>652</v>
      </c>
      <c r="I32" s="74" t="str">
        <f t="shared" si="3"/>
        <v>031</v>
      </c>
      <c r="J32" s="74" t="str">
        <f t="shared" si="4"/>
        <v>646</v>
      </c>
      <c r="K32" s="74" t="str">
        <f t="shared" si="5"/>
        <v>646</v>
      </c>
      <c r="L32" s="74" t="str">
        <f t="shared" si="6"/>
        <v>646</v>
      </c>
      <c r="M32" s="74" t="str">
        <f t="shared" si="7"/>
        <v>646</v>
      </c>
      <c r="N32" s="74" t="str">
        <f t="shared" si="8"/>
        <v>646</v>
      </c>
    </row>
    <row r="33" spans="1:14" x14ac:dyDescent="0.2">
      <c r="A33" s="380">
        <f t="shared" si="9"/>
        <v>10</v>
      </c>
      <c r="B33" s="381">
        <f t="shared" si="10"/>
        <v>57</v>
      </c>
      <c r="C33" s="380">
        <v>19</v>
      </c>
      <c r="D33" s="381">
        <f t="shared" si="11"/>
        <v>75</v>
      </c>
      <c r="E33" s="383" t="s">
        <v>330</v>
      </c>
      <c r="F33" s="310"/>
      <c r="G33" s="304" t="s">
        <v>50</v>
      </c>
      <c r="H33" s="74" t="str">
        <f t="shared" si="2"/>
        <v>0005309270100001128</v>
      </c>
      <c r="I33" s="74" t="str">
        <f t="shared" si="3"/>
        <v>0005310130000001999</v>
      </c>
      <c r="J33" s="74" t="str">
        <f t="shared" si="4"/>
        <v>0005310130000001999</v>
      </c>
      <c r="K33" s="74" t="str">
        <f t="shared" si="5"/>
        <v>0005310130000001999</v>
      </c>
      <c r="L33" s="74" t="str">
        <f t="shared" si="6"/>
        <v>0005310130000001999</v>
      </c>
      <c r="M33" s="74" t="str">
        <f t="shared" si="7"/>
        <v>0005310130000001999</v>
      </c>
      <c r="N33" s="74" t="str">
        <f t="shared" si="8"/>
        <v>0005310130000001999</v>
      </c>
    </row>
    <row r="34" spans="1:14" ht="38.25" x14ac:dyDescent="0.2">
      <c r="A34" s="296">
        <f t="shared" si="9"/>
        <v>11</v>
      </c>
      <c r="B34" s="295">
        <f t="shared" si="10"/>
        <v>76</v>
      </c>
      <c r="C34" s="296">
        <v>15</v>
      </c>
      <c r="D34" s="295">
        <f t="shared" si="11"/>
        <v>90</v>
      </c>
      <c r="E34" s="384" t="s">
        <v>330</v>
      </c>
      <c r="F34" s="271" t="s">
        <v>236</v>
      </c>
      <c r="G34" s="385" t="s">
        <v>237</v>
      </c>
      <c r="H34" s="74" t="str">
        <f>MID($B$53,B34,C34)</f>
        <v>000000000041000</v>
      </c>
      <c r="I34" s="74" t="str">
        <f t="shared" si="3"/>
        <v>000000000000005</v>
      </c>
      <c r="J34" s="74" t="str">
        <f t="shared" si="4"/>
        <v>000000000005000</v>
      </c>
      <c r="K34" s="74" t="str">
        <f t="shared" si="5"/>
        <v>000000000008000</v>
      </c>
      <c r="L34" s="74" t="str">
        <f t="shared" si="6"/>
        <v>000000000010000</v>
      </c>
      <c r="M34" s="74" t="str">
        <f t="shared" si="7"/>
        <v>000000000025000</v>
      </c>
      <c r="N34" s="74" t="str">
        <f t="shared" si="8"/>
        <v>000000000150000</v>
      </c>
    </row>
    <row r="35" spans="1:14" ht="25.5" x14ac:dyDescent="0.2">
      <c r="A35" s="283">
        <f t="shared" si="9"/>
        <v>12</v>
      </c>
      <c r="B35" s="284">
        <f t="shared" si="10"/>
        <v>91</v>
      </c>
      <c r="C35" s="283">
        <v>4</v>
      </c>
      <c r="D35" s="284">
        <f t="shared" si="11"/>
        <v>94</v>
      </c>
      <c r="E35" s="279" t="s">
        <v>330</v>
      </c>
      <c r="F35" s="23" t="s">
        <v>233</v>
      </c>
      <c r="G35" s="301" t="s">
        <v>238</v>
      </c>
      <c r="H35" s="74" t="str">
        <f t="shared" ref="H35:H36" si="12">MID($B$53,B35,C35)</f>
        <v>0000</v>
      </c>
      <c r="I35" s="74" t="str">
        <f t="shared" si="3"/>
        <v>0000</v>
      </c>
      <c r="J35" s="74" t="str">
        <f t="shared" si="4"/>
        <v>0000</v>
      </c>
      <c r="K35" s="74" t="str">
        <f t="shared" si="5"/>
        <v>0000</v>
      </c>
      <c r="L35" s="74" t="str">
        <f t="shared" si="6"/>
        <v>0000</v>
      </c>
      <c r="M35" s="74" t="str">
        <f t="shared" si="7"/>
        <v>0000</v>
      </c>
      <c r="N35" s="74" t="str">
        <f t="shared" si="8"/>
        <v>0000</v>
      </c>
    </row>
    <row r="36" spans="1:14" x14ac:dyDescent="0.2">
      <c r="A36" s="380">
        <f t="shared" si="9"/>
        <v>13</v>
      </c>
      <c r="B36" s="381">
        <f t="shared" si="10"/>
        <v>95</v>
      </c>
      <c r="C36" s="380">
        <v>3</v>
      </c>
      <c r="D36" s="381">
        <f t="shared" si="11"/>
        <v>97</v>
      </c>
      <c r="E36" s="383" t="s">
        <v>330</v>
      </c>
      <c r="F36" s="310"/>
      <c r="G36" s="304" t="s">
        <v>239</v>
      </c>
      <c r="H36" s="74" t="str">
        <f t="shared" si="12"/>
        <v>000</v>
      </c>
      <c r="I36" s="74" t="str">
        <f t="shared" si="3"/>
        <v>529</v>
      </c>
      <c r="J36" s="74" t="str">
        <f>MID($C$54,B36,C36)</f>
        <v>181</v>
      </c>
      <c r="K36" s="74" t="str">
        <f t="shared" si="5"/>
        <v>181</v>
      </c>
      <c r="L36" s="74" t="str">
        <f t="shared" si="6"/>
        <v>181</v>
      </c>
      <c r="M36" s="74" t="str">
        <f t="shared" si="7"/>
        <v>181</v>
      </c>
      <c r="N36" s="74" t="str">
        <f t="shared" si="8"/>
        <v>181</v>
      </c>
    </row>
    <row r="37" spans="1:14" x14ac:dyDescent="0.2">
      <c r="A37" s="283">
        <f t="shared" si="9"/>
        <v>14</v>
      </c>
      <c r="B37" s="284">
        <f t="shared" si="10"/>
        <v>98</v>
      </c>
      <c r="C37" s="283">
        <v>10</v>
      </c>
      <c r="D37" s="284">
        <f t="shared" si="11"/>
        <v>107</v>
      </c>
      <c r="E37" s="279" t="s">
        <v>330</v>
      </c>
      <c r="G37" s="301" t="s">
        <v>51</v>
      </c>
      <c r="H37" s="74" t="str">
        <f t="shared" ref="H37:H51" si="13">MID($B$53,B37,C37)</f>
        <v>0000000000</v>
      </c>
      <c r="I37" s="74" t="str">
        <f t="shared" si="3"/>
        <v>0000000000</v>
      </c>
      <c r="J37" s="74" t="str">
        <f t="shared" si="4"/>
        <v>0000000000</v>
      </c>
      <c r="K37" s="74" t="str">
        <f t="shared" si="5"/>
        <v>0000000000</v>
      </c>
      <c r="L37" s="74" t="str">
        <f t="shared" si="6"/>
        <v>0000000000</v>
      </c>
      <c r="M37" s="74" t="str">
        <f t="shared" si="7"/>
        <v>0000000000</v>
      </c>
      <c r="N37" s="74" t="str">
        <f t="shared" si="8"/>
        <v>0000000000</v>
      </c>
    </row>
    <row r="38" spans="1:14" x14ac:dyDescent="0.2">
      <c r="A38" s="283">
        <f t="shared" si="9"/>
        <v>15</v>
      </c>
      <c r="B38" s="284">
        <f t="shared" si="10"/>
        <v>108</v>
      </c>
      <c r="C38" s="283">
        <v>15</v>
      </c>
      <c r="D38" s="284">
        <f t="shared" si="11"/>
        <v>122</v>
      </c>
      <c r="E38" s="279" t="s">
        <v>330</v>
      </c>
      <c r="G38" s="301" t="s">
        <v>52</v>
      </c>
      <c r="H38" s="74" t="str">
        <f t="shared" si="13"/>
        <v>000000000000000</v>
      </c>
      <c r="I38" s="74" t="str">
        <f t="shared" si="3"/>
        <v>000000000000000</v>
      </c>
      <c r="J38" s="74" t="str">
        <f t="shared" si="4"/>
        <v>000000000000000</v>
      </c>
      <c r="K38" s="74" t="str">
        <f t="shared" si="5"/>
        <v>000000000000000</v>
      </c>
      <c r="L38" s="74" t="str">
        <f t="shared" si="6"/>
        <v>000000000000000</v>
      </c>
      <c r="M38" s="74" t="str">
        <f t="shared" si="7"/>
        <v>000000000000000</v>
      </c>
      <c r="N38" s="74" t="str">
        <f t="shared" si="8"/>
        <v>000000000000000</v>
      </c>
    </row>
    <row r="39" spans="1:14" x14ac:dyDescent="0.2">
      <c r="A39" s="283">
        <f t="shared" si="9"/>
        <v>16</v>
      </c>
      <c r="B39" s="284">
        <f t="shared" si="10"/>
        <v>123</v>
      </c>
      <c r="C39" s="283">
        <v>30</v>
      </c>
      <c r="D39" s="284">
        <f t="shared" si="11"/>
        <v>152</v>
      </c>
      <c r="E39" s="279" t="s">
        <v>330</v>
      </c>
      <c r="G39" s="301" t="s">
        <v>228</v>
      </c>
      <c r="H39" s="74" t="str">
        <f t="shared" si="13"/>
        <v xml:space="preserve">REPEAT N-P DB                 </v>
      </c>
      <c r="I39" s="74" t="str">
        <f t="shared" si="3"/>
        <v xml:space="preserve">ITF                           </v>
      </c>
      <c r="J39" s="74" t="str">
        <f t="shared" si="4"/>
        <v xml:space="preserve">INIT N-P DB                   </v>
      </c>
      <c r="K39" s="74" t="str">
        <f t="shared" si="5"/>
        <v xml:space="preserve">INIT N-P DB                   </v>
      </c>
      <c r="L39" s="74" t="str">
        <f t="shared" si="6"/>
        <v xml:space="preserve">INIT N-P DB                   </v>
      </c>
      <c r="M39" s="74" t="str">
        <f t="shared" si="7"/>
        <v xml:space="preserve">INIT N-P DB                   </v>
      </c>
      <c r="N39" s="74" t="str">
        <f t="shared" si="8"/>
        <v xml:space="preserve">INIT N-P DB                   </v>
      </c>
    </row>
    <row r="40" spans="1:14" ht="25.5" x14ac:dyDescent="0.2">
      <c r="A40" s="283">
        <f t="shared" si="9"/>
        <v>17</v>
      </c>
      <c r="B40" s="284">
        <f t="shared" si="10"/>
        <v>153</v>
      </c>
      <c r="C40" s="283">
        <v>1</v>
      </c>
      <c r="D40" s="284">
        <f t="shared" si="11"/>
        <v>153</v>
      </c>
      <c r="E40" s="279" t="s">
        <v>330</v>
      </c>
      <c r="F40" s="38" t="s">
        <v>240</v>
      </c>
      <c r="G40" s="301" t="s">
        <v>241</v>
      </c>
      <c r="H40" s="74" t="str">
        <f t="shared" si="13"/>
        <v>1</v>
      </c>
      <c r="I40" s="74" t="str">
        <f>MID($C$53,B40,C40)</f>
        <v>1</v>
      </c>
      <c r="J40" s="74" t="str">
        <f t="shared" si="4"/>
        <v>1</v>
      </c>
      <c r="K40" s="74" t="str">
        <f t="shared" si="5"/>
        <v>1</v>
      </c>
      <c r="L40" s="74" t="str">
        <f t="shared" si="6"/>
        <v>1</v>
      </c>
      <c r="M40" s="74" t="str">
        <f t="shared" si="7"/>
        <v>1</v>
      </c>
      <c r="N40" s="74" t="str">
        <f t="shared" si="8"/>
        <v>1</v>
      </c>
    </row>
    <row r="41" spans="1:14" x14ac:dyDescent="0.2">
      <c r="A41" s="283">
        <f t="shared" si="9"/>
        <v>18</v>
      </c>
      <c r="B41" s="284">
        <f t="shared" si="10"/>
        <v>154</v>
      </c>
      <c r="C41" s="297">
        <v>3</v>
      </c>
      <c r="D41" s="284">
        <f t="shared" si="11"/>
        <v>156</v>
      </c>
      <c r="E41" s="279" t="s">
        <v>330</v>
      </c>
      <c r="G41" s="301" t="s">
        <v>242</v>
      </c>
      <c r="H41" s="74" t="str">
        <f t="shared" si="13"/>
        <v>088</v>
      </c>
      <c r="I41" s="74" t="str">
        <f t="shared" si="3"/>
        <v>001</v>
      </c>
      <c r="J41" s="74" t="str">
        <f t="shared" si="4"/>
        <v>099</v>
      </c>
      <c r="K41" s="74" t="str">
        <f t="shared" si="5"/>
        <v>099</v>
      </c>
      <c r="L41" s="74" t="str">
        <f t="shared" si="6"/>
        <v>099</v>
      </c>
      <c r="M41" s="74" t="str">
        <f t="shared" si="7"/>
        <v>099</v>
      </c>
      <c r="N41" s="74" t="str">
        <f t="shared" si="8"/>
        <v>099</v>
      </c>
    </row>
    <row r="42" spans="1:14" ht="38.25" x14ac:dyDescent="0.2">
      <c r="A42" s="283">
        <f t="shared" si="9"/>
        <v>19</v>
      </c>
      <c r="B42" s="284">
        <f t="shared" si="10"/>
        <v>157</v>
      </c>
      <c r="C42" s="297">
        <v>11</v>
      </c>
      <c r="D42" s="284">
        <f t="shared" si="11"/>
        <v>167</v>
      </c>
      <c r="E42" s="279" t="s">
        <v>330</v>
      </c>
      <c r="G42" s="301" t="s">
        <v>497</v>
      </c>
      <c r="H42" s="74" t="str">
        <f t="shared" si="13"/>
        <v xml:space="preserve">000000000  </v>
      </c>
      <c r="I42" s="74" t="str">
        <f t="shared" si="3"/>
        <v xml:space="preserve">000000000  </v>
      </c>
      <c r="J42" s="74" t="str">
        <f t="shared" si="4"/>
        <v xml:space="preserve">000000000  </v>
      </c>
      <c r="K42" s="74" t="str">
        <f t="shared" si="5"/>
        <v xml:space="preserve">000000000  </v>
      </c>
      <c r="L42" s="74" t="str">
        <f t="shared" si="6"/>
        <v xml:space="preserve">000000000  </v>
      </c>
      <c r="M42" s="74" t="str">
        <f>MID($C$57,B42,C42)</f>
        <v xml:space="preserve">000000000  </v>
      </c>
      <c r="N42" s="74" t="str">
        <f t="shared" si="8"/>
        <v xml:space="preserve">000000000  </v>
      </c>
    </row>
    <row r="43" spans="1:14" x14ac:dyDescent="0.2">
      <c r="A43" s="283">
        <f t="shared" si="9"/>
        <v>20</v>
      </c>
      <c r="B43" s="284">
        <f t="shared" si="10"/>
        <v>168</v>
      </c>
      <c r="C43" s="393">
        <v>14</v>
      </c>
      <c r="D43" s="394">
        <f t="shared" si="11"/>
        <v>181</v>
      </c>
      <c r="E43" s="395" t="s">
        <v>330</v>
      </c>
      <c r="F43" s="396"/>
      <c r="G43" s="397" t="s">
        <v>53</v>
      </c>
      <c r="H43" s="74" t="str">
        <f t="shared" si="13"/>
        <v>99999999999999</v>
      </c>
      <c r="I43" s="74" t="str">
        <f t="shared" si="3"/>
        <v>00000000000000</v>
      </c>
      <c r="J43" s="74" t="str">
        <f t="shared" si="4"/>
        <v>00000000000000</v>
      </c>
      <c r="K43" s="74" t="str">
        <f t="shared" si="5"/>
        <v>00000000000000</v>
      </c>
      <c r="L43" s="74" t="str">
        <f t="shared" si="6"/>
        <v>00000000000000</v>
      </c>
      <c r="M43" s="74" t="str">
        <f t="shared" si="7"/>
        <v>00000000000000</v>
      </c>
      <c r="N43" s="74" t="str">
        <f t="shared" si="8"/>
        <v>00000000000000</v>
      </c>
    </row>
    <row r="44" spans="1:14" ht="38.25" x14ac:dyDescent="0.2">
      <c r="A44" s="283">
        <f t="shared" si="9"/>
        <v>21</v>
      </c>
      <c r="B44" s="284">
        <f t="shared" si="10"/>
        <v>182</v>
      </c>
      <c r="C44" s="297">
        <v>7</v>
      </c>
      <c r="D44" s="284">
        <f t="shared" si="11"/>
        <v>188</v>
      </c>
      <c r="E44" s="279" t="s">
        <v>330</v>
      </c>
      <c r="G44" s="301" t="s">
        <v>243</v>
      </c>
      <c r="H44" s="74" t="str">
        <f t="shared" si="13"/>
        <v>0000000</v>
      </c>
      <c r="I44" s="74" t="str">
        <f t="shared" si="3"/>
        <v>0000000</v>
      </c>
      <c r="J44" s="74" t="str">
        <f t="shared" si="4"/>
        <v>0000000</v>
      </c>
      <c r="K44" s="74" t="str">
        <f t="shared" si="5"/>
        <v>0000000</v>
      </c>
      <c r="L44" s="74" t="str">
        <f t="shared" si="6"/>
        <v>0000000</v>
      </c>
      <c r="M44" s="74" t="str">
        <f t="shared" si="7"/>
        <v>0000000</v>
      </c>
      <c r="N44" s="74" t="str">
        <f t="shared" si="8"/>
        <v>0000000</v>
      </c>
    </row>
    <row r="45" spans="1:14" x14ac:dyDescent="0.2">
      <c r="A45" s="386">
        <f t="shared" si="9"/>
        <v>22</v>
      </c>
      <c r="B45" s="387">
        <f t="shared" si="10"/>
        <v>189</v>
      </c>
      <c r="C45" s="388">
        <v>6</v>
      </c>
      <c r="D45" s="387">
        <f t="shared" si="11"/>
        <v>194</v>
      </c>
      <c r="E45" s="389" t="s">
        <v>330</v>
      </c>
      <c r="F45" s="390"/>
      <c r="G45" s="391" t="s">
        <v>232</v>
      </c>
      <c r="H45" s="74" t="str">
        <f t="shared" si="13"/>
        <v xml:space="preserve">      </v>
      </c>
      <c r="I45" s="74" t="str">
        <f t="shared" si="3"/>
        <v>I06093</v>
      </c>
      <c r="J45" s="74" t="str">
        <f t="shared" si="4"/>
        <v xml:space="preserve">      </v>
      </c>
      <c r="K45" s="74" t="str">
        <f t="shared" si="5"/>
        <v xml:space="preserve">      </v>
      </c>
      <c r="L45" s="74" t="str">
        <f t="shared" si="6"/>
        <v xml:space="preserve">      </v>
      </c>
      <c r="M45" s="74" t="str">
        <f t="shared" si="7"/>
        <v xml:space="preserve">      </v>
      </c>
      <c r="N45" s="74" t="str">
        <f t="shared" si="8"/>
        <v xml:space="preserve">      </v>
      </c>
    </row>
    <row r="46" spans="1:14" x14ac:dyDescent="0.2">
      <c r="A46" s="380">
        <f t="shared" si="9"/>
        <v>23</v>
      </c>
      <c r="B46" s="381">
        <f t="shared" si="10"/>
        <v>195</v>
      </c>
      <c r="C46" s="392">
        <v>8</v>
      </c>
      <c r="D46" s="381">
        <f t="shared" si="11"/>
        <v>202</v>
      </c>
      <c r="E46" s="383" t="s">
        <v>330</v>
      </c>
      <c r="F46" s="310" t="s">
        <v>30</v>
      </c>
      <c r="G46" s="304" t="s">
        <v>39</v>
      </c>
      <c r="H46" s="74" t="str">
        <f t="shared" si="13"/>
        <v>00000000</v>
      </c>
      <c r="I46" s="74" t="str">
        <f t="shared" si="3"/>
        <v>20190101</v>
      </c>
      <c r="J46" s="74" t="str">
        <f t="shared" si="4"/>
        <v>20190101</v>
      </c>
      <c r="K46" s="74" t="str">
        <f t="shared" si="5"/>
        <v>20190101</v>
      </c>
      <c r="L46" s="74" t="str">
        <f t="shared" si="6"/>
        <v>20190101</v>
      </c>
      <c r="M46" s="74" t="str">
        <f t="shared" si="7"/>
        <v>20190101</v>
      </c>
      <c r="N46" s="74" t="str">
        <f t="shared" si="8"/>
        <v>20190101</v>
      </c>
    </row>
    <row r="47" spans="1:14" x14ac:dyDescent="0.2">
      <c r="A47" s="380">
        <f t="shared" si="9"/>
        <v>24</v>
      </c>
      <c r="B47" s="381">
        <f t="shared" si="10"/>
        <v>203</v>
      </c>
      <c r="C47" s="392">
        <v>5</v>
      </c>
      <c r="D47" s="381">
        <f t="shared" si="11"/>
        <v>207</v>
      </c>
      <c r="E47" s="383" t="s">
        <v>330</v>
      </c>
      <c r="F47" s="310"/>
      <c r="G47" s="304" t="s">
        <v>244</v>
      </c>
      <c r="H47" s="74" t="str">
        <f t="shared" si="13"/>
        <v>00000</v>
      </c>
      <c r="I47" s="74" t="str">
        <f t="shared" si="3"/>
        <v>00001</v>
      </c>
      <c r="J47" s="74" t="str">
        <f>MID($C$54,B47,C47)</f>
        <v>00000</v>
      </c>
      <c r="K47" s="74" t="str">
        <f t="shared" si="5"/>
        <v>00000</v>
      </c>
      <c r="L47" s="74" t="str">
        <f t="shared" si="6"/>
        <v>00000</v>
      </c>
      <c r="M47" s="74" t="str">
        <f t="shared" si="7"/>
        <v>00000</v>
      </c>
      <c r="N47" s="74" t="str">
        <f t="shared" si="8"/>
        <v>00000</v>
      </c>
    </row>
    <row r="48" spans="1:14" ht="25.5" x14ac:dyDescent="0.2">
      <c r="A48" s="283">
        <f t="shared" si="9"/>
        <v>25</v>
      </c>
      <c r="B48" s="284">
        <f t="shared" si="10"/>
        <v>208</v>
      </c>
      <c r="C48" s="297">
        <v>3</v>
      </c>
      <c r="D48" s="284">
        <f t="shared" si="11"/>
        <v>210</v>
      </c>
      <c r="E48" s="279" t="s">
        <v>330</v>
      </c>
      <c r="G48" s="302" t="s">
        <v>245</v>
      </c>
      <c r="H48" s="74" t="str">
        <f t="shared" si="13"/>
        <v>000</v>
      </c>
      <c r="I48" s="74" t="str">
        <f t="shared" si="3"/>
        <v>031</v>
      </c>
      <c r="J48" s="74" t="str">
        <f t="shared" si="4"/>
        <v>000</v>
      </c>
      <c r="K48" s="74" t="str">
        <f>MID($C$55,B48,C48)</f>
        <v>000</v>
      </c>
      <c r="L48" s="74" t="str">
        <f t="shared" si="6"/>
        <v>000</v>
      </c>
      <c r="M48" s="74" t="str">
        <f t="shared" si="7"/>
        <v>000</v>
      </c>
      <c r="N48" s="74" t="str">
        <f t="shared" si="8"/>
        <v>000</v>
      </c>
    </row>
    <row r="49" spans="1:14" x14ac:dyDescent="0.2">
      <c r="A49" s="283">
        <f t="shared" si="9"/>
        <v>26</v>
      </c>
      <c r="B49" s="284">
        <f t="shared" si="10"/>
        <v>211</v>
      </c>
      <c r="C49" s="297">
        <v>9</v>
      </c>
      <c r="D49" s="284">
        <f t="shared" si="11"/>
        <v>219</v>
      </c>
      <c r="E49" s="279" t="s">
        <v>330</v>
      </c>
      <c r="G49" s="301" t="s">
        <v>40</v>
      </c>
      <c r="H49" s="74" t="str">
        <f t="shared" si="13"/>
        <v xml:space="preserve">31310000 </v>
      </c>
      <c r="I49" s="74" t="str">
        <f t="shared" si="3"/>
        <v xml:space="preserve">31310529 </v>
      </c>
      <c r="J49" s="74" t="str">
        <f t="shared" si="4"/>
        <v xml:space="preserve">31310181 </v>
      </c>
      <c r="K49" s="74" t="str">
        <f t="shared" si="5"/>
        <v xml:space="preserve">31310181 </v>
      </c>
      <c r="L49" s="74" t="str">
        <f t="shared" si="6"/>
        <v xml:space="preserve">31310181 </v>
      </c>
      <c r="M49" s="74" t="str">
        <f t="shared" si="7"/>
        <v xml:space="preserve">31310181 </v>
      </c>
      <c r="N49" s="74" t="str">
        <f t="shared" si="8"/>
        <v xml:space="preserve">31310181 </v>
      </c>
    </row>
    <row r="50" spans="1:14" x14ac:dyDescent="0.2">
      <c r="A50" s="283">
        <f t="shared" si="9"/>
        <v>27</v>
      </c>
      <c r="B50" s="284">
        <f>D49+1</f>
        <v>220</v>
      </c>
      <c r="C50" s="297">
        <v>9</v>
      </c>
      <c r="D50" s="284">
        <f t="shared" si="11"/>
        <v>228</v>
      </c>
      <c r="E50" s="279" t="s">
        <v>330</v>
      </c>
      <c r="G50" s="301" t="s">
        <v>54</v>
      </c>
      <c r="H50" s="74" t="str">
        <f t="shared" si="13"/>
        <v>000000000</v>
      </c>
      <c r="I50" s="74" t="str">
        <f t="shared" si="3"/>
        <v>000000000</v>
      </c>
      <c r="J50" s="74" t="str">
        <f t="shared" si="4"/>
        <v>000000000</v>
      </c>
      <c r="K50" s="74" t="str">
        <f t="shared" si="5"/>
        <v>000000000</v>
      </c>
      <c r="L50" s="74" t="str">
        <f t="shared" si="6"/>
        <v>000000000</v>
      </c>
      <c r="M50" s="74" t="str">
        <f t="shared" si="7"/>
        <v>000000000</v>
      </c>
      <c r="N50" s="74" t="str">
        <f t="shared" si="8"/>
        <v>000000000</v>
      </c>
    </row>
    <row r="51" spans="1:14" x14ac:dyDescent="0.2">
      <c r="A51" s="283">
        <f t="shared" si="9"/>
        <v>28</v>
      </c>
      <c r="B51" s="284">
        <f>D50+1</f>
        <v>229</v>
      </c>
      <c r="C51" s="297">
        <v>1</v>
      </c>
      <c r="D51" s="284">
        <f t="shared" si="11"/>
        <v>229</v>
      </c>
      <c r="E51" s="279" t="s">
        <v>330</v>
      </c>
      <c r="F51" s="38" t="s">
        <v>57</v>
      </c>
      <c r="G51" s="301" t="s">
        <v>55</v>
      </c>
      <c r="H51" s="74" t="str">
        <f t="shared" si="13"/>
        <v xml:space="preserve"> </v>
      </c>
      <c r="I51" s="74" t="str">
        <f t="shared" si="3"/>
        <v xml:space="preserve"> </v>
      </c>
    </row>
    <row r="52" spans="1:14" x14ac:dyDescent="0.2">
      <c r="E52" s="279" t="s">
        <v>1</v>
      </c>
    </row>
    <row r="53" spans="1:14" ht="35.25" customHeight="1" x14ac:dyDescent="0.2">
      <c r="B53" s="298" t="s">
        <v>1542</v>
      </c>
      <c r="C53" s="298" t="s">
        <v>1274</v>
      </c>
      <c r="E53" s="279" t="s">
        <v>1</v>
      </c>
    </row>
    <row r="54" spans="1:14" ht="34.5" customHeight="1" x14ac:dyDescent="0.2">
      <c r="C54" s="298" t="s">
        <v>1275</v>
      </c>
    </row>
    <row r="55" spans="1:14" x14ac:dyDescent="0.2">
      <c r="C55" s="297" t="s">
        <v>1276</v>
      </c>
    </row>
    <row r="56" spans="1:14" x14ac:dyDescent="0.2">
      <c r="C56" s="297" t="s">
        <v>1277</v>
      </c>
    </row>
    <row r="57" spans="1:14" x14ac:dyDescent="0.2">
      <c r="C57" s="297" t="s">
        <v>1278</v>
      </c>
    </row>
    <row r="58" spans="1:14" x14ac:dyDescent="0.2">
      <c r="C58" s="297" t="s">
        <v>1279</v>
      </c>
    </row>
  </sheetData>
  <mergeCells count="1">
    <mergeCell ref="C8:G8"/>
  </mergeCells>
  <phoneticPr fontId="5" type="noConversion"/>
  <pageMargins left="0.75" right="0.75" top="1" bottom="1" header="0" footer="0"/>
  <pageSetup paperSize="9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9217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0</xdr:colOff>
                <xdr:row>2</xdr:row>
                <xdr:rowOff>0</xdr:rowOff>
              </to>
            </anchor>
          </objectPr>
        </oleObject>
      </mc:Choice>
      <mc:Fallback>
        <oleObject progId="MSPhotoEd.3" shapeId="9217" r:id="rId4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3:L67"/>
  <sheetViews>
    <sheetView showGridLines="0" topLeftCell="B11" zoomScale="85" zoomScaleNormal="85" zoomScaleSheetLayoutView="50" workbookViewId="0">
      <selection activeCell="G36" sqref="G36"/>
    </sheetView>
  </sheetViews>
  <sheetFormatPr baseColWidth="10" defaultColWidth="7.44140625" defaultRowHeight="15" x14ac:dyDescent="0.2"/>
  <cols>
    <col min="1" max="1" width="20.33203125" style="1" customWidth="1"/>
    <col min="2" max="2" width="13.77734375" style="5" customWidth="1"/>
    <col min="3" max="3" width="9.109375" style="5" customWidth="1"/>
    <col min="4" max="4" width="7.33203125" style="1" customWidth="1"/>
    <col min="5" max="5" width="8.77734375" style="1" customWidth="1"/>
    <col min="6" max="6" width="11.6640625" style="81" customWidth="1"/>
    <col min="7" max="7" width="40.5546875" style="5" customWidth="1"/>
    <col min="8" max="8" width="12.88671875" style="1" bestFit="1" customWidth="1"/>
    <col min="9" max="9" width="10.109375" style="1" hidden="1" customWidth="1"/>
    <col min="10" max="10" width="2.77734375" style="1" customWidth="1"/>
    <col min="11" max="11" width="7.44140625" style="1"/>
    <col min="12" max="12" width="22.33203125" style="1" customWidth="1"/>
    <col min="13" max="256" width="7.44140625" style="1"/>
    <col min="257" max="257" width="34.5546875" style="1" customWidth="1"/>
    <col min="258" max="258" width="13.77734375" style="1" customWidth="1"/>
    <col min="259" max="259" width="9.109375" style="1" customWidth="1"/>
    <col min="260" max="260" width="7.33203125" style="1" customWidth="1"/>
    <col min="261" max="261" width="8.77734375" style="1" customWidth="1"/>
    <col min="262" max="262" width="11.6640625" style="1" customWidth="1"/>
    <col min="263" max="263" width="40.5546875" style="1" customWidth="1"/>
    <col min="264" max="264" width="12.88671875" style="1" bestFit="1" customWidth="1"/>
    <col min="265" max="265" width="0" style="1" hidden="1" customWidth="1"/>
    <col min="266" max="266" width="2.77734375" style="1" customWidth="1"/>
    <col min="267" max="512" width="7.44140625" style="1"/>
    <col min="513" max="513" width="34.5546875" style="1" customWidth="1"/>
    <col min="514" max="514" width="13.77734375" style="1" customWidth="1"/>
    <col min="515" max="515" width="9.109375" style="1" customWidth="1"/>
    <col min="516" max="516" width="7.33203125" style="1" customWidth="1"/>
    <col min="517" max="517" width="8.77734375" style="1" customWidth="1"/>
    <col min="518" max="518" width="11.6640625" style="1" customWidth="1"/>
    <col min="519" max="519" width="40.5546875" style="1" customWidth="1"/>
    <col min="520" max="520" width="12.88671875" style="1" bestFit="1" customWidth="1"/>
    <col min="521" max="521" width="0" style="1" hidden="1" customWidth="1"/>
    <col min="522" max="522" width="2.77734375" style="1" customWidth="1"/>
    <col min="523" max="768" width="7.44140625" style="1"/>
    <col min="769" max="769" width="34.5546875" style="1" customWidth="1"/>
    <col min="770" max="770" width="13.77734375" style="1" customWidth="1"/>
    <col min="771" max="771" width="9.109375" style="1" customWidth="1"/>
    <col min="772" max="772" width="7.33203125" style="1" customWidth="1"/>
    <col min="773" max="773" width="8.77734375" style="1" customWidth="1"/>
    <col min="774" max="774" width="11.6640625" style="1" customWidth="1"/>
    <col min="775" max="775" width="40.5546875" style="1" customWidth="1"/>
    <col min="776" max="776" width="12.88671875" style="1" bestFit="1" customWidth="1"/>
    <col min="777" max="777" width="0" style="1" hidden="1" customWidth="1"/>
    <col min="778" max="778" width="2.77734375" style="1" customWidth="1"/>
    <col min="779" max="1024" width="7.44140625" style="1"/>
    <col min="1025" max="1025" width="34.5546875" style="1" customWidth="1"/>
    <col min="1026" max="1026" width="13.77734375" style="1" customWidth="1"/>
    <col min="1027" max="1027" width="9.109375" style="1" customWidth="1"/>
    <col min="1028" max="1028" width="7.33203125" style="1" customWidth="1"/>
    <col min="1029" max="1029" width="8.77734375" style="1" customWidth="1"/>
    <col min="1030" max="1030" width="11.6640625" style="1" customWidth="1"/>
    <col min="1031" max="1031" width="40.5546875" style="1" customWidth="1"/>
    <col min="1032" max="1032" width="12.88671875" style="1" bestFit="1" customWidth="1"/>
    <col min="1033" max="1033" width="0" style="1" hidden="1" customWidth="1"/>
    <col min="1034" max="1034" width="2.77734375" style="1" customWidth="1"/>
    <col min="1035" max="1280" width="7.44140625" style="1"/>
    <col min="1281" max="1281" width="34.5546875" style="1" customWidth="1"/>
    <col min="1282" max="1282" width="13.77734375" style="1" customWidth="1"/>
    <col min="1283" max="1283" width="9.109375" style="1" customWidth="1"/>
    <col min="1284" max="1284" width="7.33203125" style="1" customWidth="1"/>
    <col min="1285" max="1285" width="8.77734375" style="1" customWidth="1"/>
    <col min="1286" max="1286" width="11.6640625" style="1" customWidth="1"/>
    <col min="1287" max="1287" width="40.5546875" style="1" customWidth="1"/>
    <col min="1288" max="1288" width="12.88671875" style="1" bestFit="1" customWidth="1"/>
    <col min="1289" max="1289" width="0" style="1" hidden="1" customWidth="1"/>
    <col min="1290" max="1290" width="2.77734375" style="1" customWidth="1"/>
    <col min="1291" max="1536" width="7.44140625" style="1"/>
    <col min="1537" max="1537" width="34.5546875" style="1" customWidth="1"/>
    <col min="1538" max="1538" width="13.77734375" style="1" customWidth="1"/>
    <col min="1539" max="1539" width="9.109375" style="1" customWidth="1"/>
    <col min="1540" max="1540" width="7.33203125" style="1" customWidth="1"/>
    <col min="1541" max="1541" width="8.77734375" style="1" customWidth="1"/>
    <col min="1542" max="1542" width="11.6640625" style="1" customWidth="1"/>
    <col min="1543" max="1543" width="40.5546875" style="1" customWidth="1"/>
    <col min="1544" max="1544" width="12.88671875" style="1" bestFit="1" customWidth="1"/>
    <col min="1545" max="1545" width="0" style="1" hidden="1" customWidth="1"/>
    <col min="1546" max="1546" width="2.77734375" style="1" customWidth="1"/>
    <col min="1547" max="1792" width="7.44140625" style="1"/>
    <col min="1793" max="1793" width="34.5546875" style="1" customWidth="1"/>
    <col min="1794" max="1794" width="13.77734375" style="1" customWidth="1"/>
    <col min="1795" max="1795" width="9.109375" style="1" customWidth="1"/>
    <col min="1796" max="1796" width="7.33203125" style="1" customWidth="1"/>
    <col min="1797" max="1797" width="8.77734375" style="1" customWidth="1"/>
    <col min="1798" max="1798" width="11.6640625" style="1" customWidth="1"/>
    <col min="1799" max="1799" width="40.5546875" style="1" customWidth="1"/>
    <col min="1800" max="1800" width="12.88671875" style="1" bestFit="1" customWidth="1"/>
    <col min="1801" max="1801" width="0" style="1" hidden="1" customWidth="1"/>
    <col min="1802" max="1802" width="2.77734375" style="1" customWidth="1"/>
    <col min="1803" max="2048" width="7.44140625" style="1"/>
    <col min="2049" max="2049" width="34.5546875" style="1" customWidth="1"/>
    <col min="2050" max="2050" width="13.77734375" style="1" customWidth="1"/>
    <col min="2051" max="2051" width="9.109375" style="1" customWidth="1"/>
    <col min="2052" max="2052" width="7.33203125" style="1" customWidth="1"/>
    <col min="2053" max="2053" width="8.77734375" style="1" customWidth="1"/>
    <col min="2054" max="2054" width="11.6640625" style="1" customWidth="1"/>
    <col min="2055" max="2055" width="40.5546875" style="1" customWidth="1"/>
    <col min="2056" max="2056" width="12.88671875" style="1" bestFit="1" customWidth="1"/>
    <col min="2057" max="2057" width="0" style="1" hidden="1" customWidth="1"/>
    <col min="2058" max="2058" width="2.77734375" style="1" customWidth="1"/>
    <col min="2059" max="2304" width="7.44140625" style="1"/>
    <col min="2305" max="2305" width="34.5546875" style="1" customWidth="1"/>
    <col min="2306" max="2306" width="13.77734375" style="1" customWidth="1"/>
    <col min="2307" max="2307" width="9.109375" style="1" customWidth="1"/>
    <col min="2308" max="2308" width="7.33203125" style="1" customWidth="1"/>
    <col min="2309" max="2309" width="8.77734375" style="1" customWidth="1"/>
    <col min="2310" max="2310" width="11.6640625" style="1" customWidth="1"/>
    <col min="2311" max="2311" width="40.5546875" style="1" customWidth="1"/>
    <col min="2312" max="2312" width="12.88671875" style="1" bestFit="1" customWidth="1"/>
    <col min="2313" max="2313" width="0" style="1" hidden="1" customWidth="1"/>
    <col min="2314" max="2314" width="2.77734375" style="1" customWidth="1"/>
    <col min="2315" max="2560" width="7.44140625" style="1"/>
    <col min="2561" max="2561" width="34.5546875" style="1" customWidth="1"/>
    <col min="2562" max="2562" width="13.77734375" style="1" customWidth="1"/>
    <col min="2563" max="2563" width="9.109375" style="1" customWidth="1"/>
    <col min="2564" max="2564" width="7.33203125" style="1" customWidth="1"/>
    <col min="2565" max="2565" width="8.77734375" style="1" customWidth="1"/>
    <col min="2566" max="2566" width="11.6640625" style="1" customWidth="1"/>
    <col min="2567" max="2567" width="40.5546875" style="1" customWidth="1"/>
    <col min="2568" max="2568" width="12.88671875" style="1" bestFit="1" customWidth="1"/>
    <col min="2569" max="2569" width="0" style="1" hidden="1" customWidth="1"/>
    <col min="2570" max="2570" width="2.77734375" style="1" customWidth="1"/>
    <col min="2571" max="2816" width="7.44140625" style="1"/>
    <col min="2817" max="2817" width="34.5546875" style="1" customWidth="1"/>
    <col min="2818" max="2818" width="13.77734375" style="1" customWidth="1"/>
    <col min="2819" max="2819" width="9.109375" style="1" customWidth="1"/>
    <col min="2820" max="2820" width="7.33203125" style="1" customWidth="1"/>
    <col min="2821" max="2821" width="8.77734375" style="1" customWidth="1"/>
    <col min="2822" max="2822" width="11.6640625" style="1" customWidth="1"/>
    <col min="2823" max="2823" width="40.5546875" style="1" customWidth="1"/>
    <col min="2824" max="2824" width="12.88671875" style="1" bestFit="1" customWidth="1"/>
    <col min="2825" max="2825" width="0" style="1" hidden="1" customWidth="1"/>
    <col min="2826" max="2826" width="2.77734375" style="1" customWidth="1"/>
    <col min="2827" max="3072" width="7.44140625" style="1"/>
    <col min="3073" max="3073" width="34.5546875" style="1" customWidth="1"/>
    <col min="3074" max="3074" width="13.77734375" style="1" customWidth="1"/>
    <col min="3075" max="3075" width="9.109375" style="1" customWidth="1"/>
    <col min="3076" max="3076" width="7.33203125" style="1" customWidth="1"/>
    <col min="3077" max="3077" width="8.77734375" style="1" customWidth="1"/>
    <col min="3078" max="3078" width="11.6640625" style="1" customWidth="1"/>
    <col min="3079" max="3079" width="40.5546875" style="1" customWidth="1"/>
    <col min="3080" max="3080" width="12.88671875" style="1" bestFit="1" customWidth="1"/>
    <col min="3081" max="3081" width="0" style="1" hidden="1" customWidth="1"/>
    <col min="3082" max="3082" width="2.77734375" style="1" customWidth="1"/>
    <col min="3083" max="3328" width="7.44140625" style="1"/>
    <col min="3329" max="3329" width="34.5546875" style="1" customWidth="1"/>
    <col min="3330" max="3330" width="13.77734375" style="1" customWidth="1"/>
    <col min="3331" max="3331" width="9.109375" style="1" customWidth="1"/>
    <col min="3332" max="3332" width="7.33203125" style="1" customWidth="1"/>
    <col min="3333" max="3333" width="8.77734375" style="1" customWidth="1"/>
    <col min="3334" max="3334" width="11.6640625" style="1" customWidth="1"/>
    <col min="3335" max="3335" width="40.5546875" style="1" customWidth="1"/>
    <col min="3336" max="3336" width="12.88671875" style="1" bestFit="1" customWidth="1"/>
    <col min="3337" max="3337" width="0" style="1" hidden="1" customWidth="1"/>
    <col min="3338" max="3338" width="2.77734375" style="1" customWidth="1"/>
    <col min="3339" max="3584" width="7.44140625" style="1"/>
    <col min="3585" max="3585" width="34.5546875" style="1" customWidth="1"/>
    <col min="3586" max="3586" width="13.77734375" style="1" customWidth="1"/>
    <col min="3587" max="3587" width="9.109375" style="1" customWidth="1"/>
    <col min="3588" max="3588" width="7.33203125" style="1" customWidth="1"/>
    <col min="3589" max="3589" width="8.77734375" style="1" customWidth="1"/>
    <col min="3590" max="3590" width="11.6640625" style="1" customWidth="1"/>
    <col min="3591" max="3591" width="40.5546875" style="1" customWidth="1"/>
    <col min="3592" max="3592" width="12.88671875" style="1" bestFit="1" customWidth="1"/>
    <col min="3593" max="3593" width="0" style="1" hidden="1" customWidth="1"/>
    <col min="3594" max="3594" width="2.77734375" style="1" customWidth="1"/>
    <col min="3595" max="3840" width="7.44140625" style="1"/>
    <col min="3841" max="3841" width="34.5546875" style="1" customWidth="1"/>
    <col min="3842" max="3842" width="13.77734375" style="1" customWidth="1"/>
    <col min="3843" max="3843" width="9.109375" style="1" customWidth="1"/>
    <col min="3844" max="3844" width="7.33203125" style="1" customWidth="1"/>
    <col min="3845" max="3845" width="8.77734375" style="1" customWidth="1"/>
    <col min="3846" max="3846" width="11.6640625" style="1" customWidth="1"/>
    <col min="3847" max="3847" width="40.5546875" style="1" customWidth="1"/>
    <col min="3848" max="3848" width="12.88671875" style="1" bestFit="1" customWidth="1"/>
    <col min="3849" max="3849" width="0" style="1" hidden="1" customWidth="1"/>
    <col min="3850" max="3850" width="2.77734375" style="1" customWidth="1"/>
    <col min="3851" max="4096" width="7.44140625" style="1"/>
    <col min="4097" max="4097" width="34.5546875" style="1" customWidth="1"/>
    <col min="4098" max="4098" width="13.77734375" style="1" customWidth="1"/>
    <col min="4099" max="4099" width="9.109375" style="1" customWidth="1"/>
    <col min="4100" max="4100" width="7.33203125" style="1" customWidth="1"/>
    <col min="4101" max="4101" width="8.77734375" style="1" customWidth="1"/>
    <col min="4102" max="4102" width="11.6640625" style="1" customWidth="1"/>
    <col min="4103" max="4103" width="40.5546875" style="1" customWidth="1"/>
    <col min="4104" max="4104" width="12.88671875" style="1" bestFit="1" customWidth="1"/>
    <col min="4105" max="4105" width="0" style="1" hidden="1" customWidth="1"/>
    <col min="4106" max="4106" width="2.77734375" style="1" customWidth="1"/>
    <col min="4107" max="4352" width="7.44140625" style="1"/>
    <col min="4353" max="4353" width="34.5546875" style="1" customWidth="1"/>
    <col min="4354" max="4354" width="13.77734375" style="1" customWidth="1"/>
    <col min="4355" max="4355" width="9.109375" style="1" customWidth="1"/>
    <col min="4356" max="4356" width="7.33203125" style="1" customWidth="1"/>
    <col min="4357" max="4357" width="8.77734375" style="1" customWidth="1"/>
    <col min="4358" max="4358" width="11.6640625" style="1" customWidth="1"/>
    <col min="4359" max="4359" width="40.5546875" style="1" customWidth="1"/>
    <col min="4360" max="4360" width="12.88671875" style="1" bestFit="1" customWidth="1"/>
    <col min="4361" max="4361" width="0" style="1" hidden="1" customWidth="1"/>
    <col min="4362" max="4362" width="2.77734375" style="1" customWidth="1"/>
    <col min="4363" max="4608" width="7.44140625" style="1"/>
    <col min="4609" max="4609" width="34.5546875" style="1" customWidth="1"/>
    <col min="4610" max="4610" width="13.77734375" style="1" customWidth="1"/>
    <col min="4611" max="4611" width="9.109375" style="1" customWidth="1"/>
    <col min="4612" max="4612" width="7.33203125" style="1" customWidth="1"/>
    <col min="4613" max="4613" width="8.77734375" style="1" customWidth="1"/>
    <col min="4614" max="4614" width="11.6640625" style="1" customWidth="1"/>
    <col min="4615" max="4615" width="40.5546875" style="1" customWidth="1"/>
    <col min="4616" max="4616" width="12.88671875" style="1" bestFit="1" customWidth="1"/>
    <col min="4617" max="4617" width="0" style="1" hidden="1" customWidth="1"/>
    <col min="4618" max="4618" width="2.77734375" style="1" customWidth="1"/>
    <col min="4619" max="4864" width="7.44140625" style="1"/>
    <col min="4865" max="4865" width="34.5546875" style="1" customWidth="1"/>
    <col min="4866" max="4866" width="13.77734375" style="1" customWidth="1"/>
    <col min="4867" max="4867" width="9.109375" style="1" customWidth="1"/>
    <col min="4868" max="4868" width="7.33203125" style="1" customWidth="1"/>
    <col min="4869" max="4869" width="8.77734375" style="1" customWidth="1"/>
    <col min="4870" max="4870" width="11.6640625" style="1" customWidth="1"/>
    <col min="4871" max="4871" width="40.5546875" style="1" customWidth="1"/>
    <col min="4872" max="4872" width="12.88671875" style="1" bestFit="1" customWidth="1"/>
    <col min="4873" max="4873" width="0" style="1" hidden="1" customWidth="1"/>
    <col min="4874" max="4874" width="2.77734375" style="1" customWidth="1"/>
    <col min="4875" max="5120" width="7.44140625" style="1"/>
    <col min="5121" max="5121" width="34.5546875" style="1" customWidth="1"/>
    <col min="5122" max="5122" width="13.77734375" style="1" customWidth="1"/>
    <col min="5123" max="5123" width="9.109375" style="1" customWidth="1"/>
    <col min="5124" max="5124" width="7.33203125" style="1" customWidth="1"/>
    <col min="5125" max="5125" width="8.77734375" style="1" customWidth="1"/>
    <col min="5126" max="5126" width="11.6640625" style="1" customWidth="1"/>
    <col min="5127" max="5127" width="40.5546875" style="1" customWidth="1"/>
    <col min="5128" max="5128" width="12.88671875" style="1" bestFit="1" customWidth="1"/>
    <col min="5129" max="5129" width="0" style="1" hidden="1" customWidth="1"/>
    <col min="5130" max="5130" width="2.77734375" style="1" customWidth="1"/>
    <col min="5131" max="5376" width="7.44140625" style="1"/>
    <col min="5377" max="5377" width="34.5546875" style="1" customWidth="1"/>
    <col min="5378" max="5378" width="13.77734375" style="1" customWidth="1"/>
    <col min="5379" max="5379" width="9.109375" style="1" customWidth="1"/>
    <col min="5380" max="5380" width="7.33203125" style="1" customWidth="1"/>
    <col min="5381" max="5381" width="8.77734375" style="1" customWidth="1"/>
    <col min="5382" max="5382" width="11.6640625" style="1" customWidth="1"/>
    <col min="5383" max="5383" width="40.5546875" style="1" customWidth="1"/>
    <col min="5384" max="5384" width="12.88671875" style="1" bestFit="1" customWidth="1"/>
    <col min="5385" max="5385" width="0" style="1" hidden="1" customWidth="1"/>
    <col min="5386" max="5386" width="2.77734375" style="1" customWidth="1"/>
    <col min="5387" max="5632" width="7.44140625" style="1"/>
    <col min="5633" max="5633" width="34.5546875" style="1" customWidth="1"/>
    <col min="5634" max="5634" width="13.77734375" style="1" customWidth="1"/>
    <col min="5635" max="5635" width="9.109375" style="1" customWidth="1"/>
    <col min="5636" max="5636" width="7.33203125" style="1" customWidth="1"/>
    <col min="5637" max="5637" width="8.77734375" style="1" customWidth="1"/>
    <col min="5638" max="5638" width="11.6640625" style="1" customWidth="1"/>
    <col min="5639" max="5639" width="40.5546875" style="1" customWidth="1"/>
    <col min="5640" max="5640" width="12.88671875" style="1" bestFit="1" customWidth="1"/>
    <col min="5641" max="5641" width="0" style="1" hidden="1" customWidth="1"/>
    <col min="5642" max="5642" width="2.77734375" style="1" customWidth="1"/>
    <col min="5643" max="5888" width="7.44140625" style="1"/>
    <col min="5889" max="5889" width="34.5546875" style="1" customWidth="1"/>
    <col min="5890" max="5890" width="13.77734375" style="1" customWidth="1"/>
    <col min="5891" max="5891" width="9.109375" style="1" customWidth="1"/>
    <col min="5892" max="5892" width="7.33203125" style="1" customWidth="1"/>
    <col min="5893" max="5893" width="8.77734375" style="1" customWidth="1"/>
    <col min="5894" max="5894" width="11.6640625" style="1" customWidth="1"/>
    <col min="5895" max="5895" width="40.5546875" style="1" customWidth="1"/>
    <col min="5896" max="5896" width="12.88671875" style="1" bestFit="1" customWidth="1"/>
    <col min="5897" max="5897" width="0" style="1" hidden="1" customWidth="1"/>
    <col min="5898" max="5898" width="2.77734375" style="1" customWidth="1"/>
    <col min="5899" max="6144" width="7.44140625" style="1"/>
    <col min="6145" max="6145" width="34.5546875" style="1" customWidth="1"/>
    <col min="6146" max="6146" width="13.77734375" style="1" customWidth="1"/>
    <col min="6147" max="6147" width="9.109375" style="1" customWidth="1"/>
    <col min="6148" max="6148" width="7.33203125" style="1" customWidth="1"/>
    <col min="6149" max="6149" width="8.77734375" style="1" customWidth="1"/>
    <col min="6150" max="6150" width="11.6640625" style="1" customWidth="1"/>
    <col min="6151" max="6151" width="40.5546875" style="1" customWidth="1"/>
    <col min="6152" max="6152" width="12.88671875" style="1" bestFit="1" customWidth="1"/>
    <col min="6153" max="6153" width="0" style="1" hidden="1" customWidth="1"/>
    <col min="6154" max="6154" width="2.77734375" style="1" customWidth="1"/>
    <col min="6155" max="6400" width="7.44140625" style="1"/>
    <col min="6401" max="6401" width="34.5546875" style="1" customWidth="1"/>
    <col min="6402" max="6402" width="13.77734375" style="1" customWidth="1"/>
    <col min="6403" max="6403" width="9.109375" style="1" customWidth="1"/>
    <col min="6404" max="6404" width="7.33203125" style="1" customWidth="1"/>
    <col min="6405" max="6405" width="8.77734375" style="1" customWidth="1"/>
    <col min="6406" max="6406" width="11.6640625" style="1" customWidth="1"/>
    <col min="6407" max="6407" width="40.5546875" style="1" customWidth="1"/>
    <col min="6408" max="6408" width="12.88671875" style="1" bestFit="1" customWidth="1"/>
    <col min="6409" max="6409" width="0" style="1" hidden="1" customWidth="1"/>
    <col min="6410" max="6410" width="2.77734375" style="1" customWidth="1"/>
    <col min="6411" max="6656" width="7.44140625" style="1"/>
    <col min="6657" max="6657" width="34.5546875" style="1" customWidth="1"/>
    <col min="6658" max="6658" width="13.77734375" style="1" customWidth="1"/>
    <col min="6659" max="6659" width="9.109375" style="1" customWidth="1"/>
    <col min="6660" max="6660" width="7.33203125" style="1" customWidth="1"/>
    <col min="6661" max="6661" width="8.77734375" style="1" customWidth="1"/>
    <col min="6662" max="6662" width="11.6640625" style="1" customWidth="1"/>
    <col min="6663" max="6663" width="40.5546875" style="1" customWidth="1"/>
    <col min="6664" max="6664" width="12.88671875" style="1" bestFit="1" customWidth="1"/>
    <col min="6665" max="6665" width="0" style="1" hidden="1" customWidth="1"/>
    <col min="6666" max="6666" width="2.77734375" style="1" customWidth="1"/>
    <col min="6667" max="6912" width="7.44140625" style="1"/>
    <col min="6913" max="6913" width="34.5546875" style="1" customWidth="1"/>
    <col min="6914" max="6914" width="13.77734375" style="1" customWidth="1"/>
    <col min="6915" max="6915" width="9.109375" style="1" customWidth="1"/>
    <col min="6916" max="6916" width="7.33203125" style="1" customWidth="1"/>
    <col min="6917" max="6917" width="8.77734375" style="1" customWidth="1"/>
    <col min="6918" max="6918" width="11.6640625" style="1" customWidth="1"/>
    <col min="6919" max="6919" width="40.5546875" style="1" customWidth="1"/>
    <col min="6920" max="6920" width="12.88671875" style="1" bestFit="1" customWidth="1"/>
    <col min="6921" max="6921" width="0" style="1" hidden="1" customWidth="1"/>
    <col min="6922" max="6922" width="2.77734375" style="1" customWidth="1"/>
    <col min="6923" max="7168" width="7.44140625" style="1"/>
    <col min="7169" max="7169" width="34.5546875" style="1" customWidth="1"/>
    <col min="7170" max="7170" width="13.77734375" style="1" customWidth="1"/>
    <col min="7171" max="7171" width="9.109375" style="1" customWidth="1"/>
    <col min="7172" max="7172" width="7.33203125" style="1" customWidth="1"/>
    <col min="7173" max="7173" width="8.77734375" style="1" customWidth="1"/>
    <col min="7174" max="7174" width="11.6640625" style="1" customWidth="1"/>
    <col min="7175" max="7175" width="40.5546875" style="1" customWidth="1"/>
    <col min="7176" max="7176" width="12.88671875" style="1" bestFit="1" customWidth="1"/>
    <col min="7177" max="7177" width="0" style="1" hidden="1" customWidth="1"/>
    <col min="7178" max="7178" width="2.77734375" style="1" customWidth="1"/>
    <col min="7179" max="7424" width="7.44140625" style="1"/>
    <col min="7425" max="7425" width="34.5546875" style="1" customWidth="1"/>
    <col min="7426" max="7426" width="13.77734375" style="1" customWidth="1"/>
    <col min="7427" max="7427" width="9.109375" style="1" customWidth="1"/>
    <col min="7428" max="7428" width="7.33203125" style="1" customWidth="1"/>
    <col min="7429" max="7429" width="8.77734375" style="1" customWidth="1"/>
    <col min="7430" max="7430" width="11.6640625" style="1" customWidth="1"/>
    <col min="7431" max="7431" width="40.5546875" style="1" customWidth="1"/>
    <col min="7432" max="7432" width="12.88671875" style="1" bestFit="1" customWidth="1"/>
    <col min="7433" max="7433" width="0" style="1" hidden="1" customWidth="1"/>
    <col min="7434" max="7434" width="2.77734375" style="1" customWidth="1"/>
    <col min="7435" max="7680" width="7.44140625" style="1"/>
    <col min="7681" max="7681" width="34.5546875" style="1" customWidth="1"/>
    <col min="7682" max="7682" width="13.77734375" style="1" customWidth="1"/>
    <col min="7683" max="7683" width="9.109375" style="1" customWidth="1"/>
    <col min="7684" max="7684" width="7.33203125" style="1" customWidth="1"/>
    <col min="7685" max="7685" width="8.77734375" style="1" customWidth="1"/>
    <col min="7686" max="7686" width="11.6640625" style="1" customWidth="1"/>
    <col min="7687" max="7687" width="40.5546875" style="1" customWidth="1"/>
    <col min="7688" max="7688" width="12.88671875" style="1" bestFit="1" customWidth="1"/>
    <col min="7689" max="7689" width="0" style="1" hidden="1" customWidth="1"/>
    <col min="7690" max="7690" width="2.77734375" style="1" customWidth="1"/>
    <col min="7691" max="7936" width="7.44140625" style="1"/>
    <col min="7937" max="7937" width="34.5546875" style="1" customWidth="1"/>
    <col min="7938" max="7938" width="13.77734375" style="1" customWidth="1"/>
    <col min="7939" max="7939" width="9.109375" style="1" customWidth="1"/>
    <col min="7940" max="7940" width="7.33203125" style="1" customWidth="1"/>
    <col min="7941" max="7941" width="8.77734375" style="1" customWidth="1"/>
    <col min="7942" max="7942" width="11.6640625" style="1" customWidth="1"/>
    <col min="7943" max="7943" width="40.5546875" style="1" customWidth="1"/>
    <col min="7944" max="7944" width="12.88671875" style="1" bestFit="1" customWidth="1"/>
    <col min="7945" max="7945" width="0" style="1" hidden="1" customWidth="1"/>
    <col min="7946" max="7946" width="2.77734375" style="1" customWidth="1"/>
    <col min="7947" max="8192" width="7.44140625" style="1"/>
    <col min="8193" max="8193" width="34.5546875" style="1" customWidth="1"/>
    <col min="8194" max="8194" width="13.77734375" style="1" customWidth="1"/>
    <col min="8195" max="8195" width="9.109375" style="1" customWidth="1"/>
    <col min="8196" max="8196" width="7.33203125" style="1" customWidth="1"/>
    <col min="8197" max="8197" width="8.77734375" style="1" customWidth="1"/>
    <col min="8198" max="8198" width="11.6640625" style="1" customWidth="1"/>
    <col min="8199" max="8199" width="40.5546875" style="1" customWidth="1"/>
    <col min="8200" max="8200" width="12.88671875" style="1" bestFit="1" customWidth="1"/>
    <col min="8201" max="8201" width="0" style="1" hidden="1" customWidth="1"/>
    <col min="8202" max="8202" width="2.77734375" style="1" customWidth="1"/>
    <col min="8203" max="8448" width="7.44140625" style="1"/>
    <col min="8449" max="8449" width="34.5546875" style="1" customWidth="1"/>
    <col min="8450" max="8450" width="13.77734375" style="1" customWidth="1"/>
    <col min="8451" max="8451" width="9.109375" style="1" customWidth="1"/>
    <col min="8452" max="8452" width="7.33203125" style="1" customWidth="1"/>
    <col min="8453" max="8453" width="8.77734375" style="1" customWidth="1"/>
    <col min="8454" max="8454" width="11.6640625" style="1" customWidth="1"/>
    <col min="8455" max="8455" width="40.5546875" style="1" customWidth="1"/>
    <col min="8456" max="8456" width="12.88671875" style="1" bestFit="1" customWidth="1"/>
    <col min="8457" max="8457" width="0" style="1" hidden="1" customWidth="1"/>
    <col min="8458" max="8458" width="2.77734375" style="1" customWidth="1"/>
    <col min="8459" max="8704" width="7.44140625" style="1"/>
    <col min="8705" max="8705" width="34.5546875" style="1" customWidth="1"/>
    <col min="8706" max="8706" width="13.77734375" style="1" customWidth="1"/>
    <col min="8707" max="8707" width="9.109375" style="1" customWidth="1"/>
    <col min="8708" max="8708" width="7.33203125" style="1" customWidth="1"/>
    <col min="8709" max="8709" width="8.77734375" style="1" customWidth="1"/>
    <col min="8710" max="8710" width="11.6640625" style="1" customWidth="1"/>
    <col min="8711" max="8711" width="40.5546875" style="1" customWidth="1"/>
    <col min="8712" max="8712" width="12.88671875" style="1" bestFit="1" customWidth="1"/>
    <col min="8713" max="8713" width="0" style="1" hidden="1" customWidth="1"/>
    <col min="8714" max="8714" width="2.77734375" style="1" customWidth="1"/>
    <col min="8715" max="8960" width="7.44140625" style="1"/>
    <col min="8961" max="8961" width="34.5546875" style="1" customWidth="1"/>
    <col min="8962" max="8962" width="13.77734375" style="1" customWidth="1"/>
    <col min="8963" max="8963" width="9.109375" style="1" customWidth="1"/>
    <col min="8964" max="8964" width="7.33203125" style="1" customWidth="1"/>
    <col min="8965" max="8965" width="8.77734375" style="1" customWidth="1"/>
    <col min="8966" max="8966" width="11.6640625" style="1" customWidth="1"/>
    <col min="8967" max="8967" width="40.5546875" style="1" customWidth="1"/>
    <col min="8968" max="8968" width="12.88671875" style="1" bestFit="1" customWidth="1"/>
    <col min="8969" max="8969" width="0" style="1" hidden="1" customWidth="1"/>
    <col min="8970" max="8970" width="2.77734375" style="1" customWidth="1"/>
    <col min="8971" max="9216" width="7.44140625" style="1"/>
    <col min="9217" max="9217" width="34.5546875" style="1" customWidth="1"/>
    <col min="9218" max="9218" width="13.77734375" style="1" customWidth="1"/>
    <col min="9219" max="9219" width="9.109375" style="1" customWidth="1"/>
    <col min="9220" max="9220" width="7.33203125" style="1" customWidth="1"/>
    <col min="9221" max="9221" width="8.77734375" style="1" customWidth="1"/>
    <col min="9222" max="9222" width="11.6640625" style="1" customWidth="1"/>
    <col min="9223" max="9223" width="40.5546875" style="1" customWidth="1"/>
    <col min="9224" max="9224" width="12.88671875" style="1" bestFit="1" customWidth="1"/>
    <col min="9225" max="9225" width="0" style="1" hidden="1" customWidth="1"/>
    <col min="9226" max="9226" width="2.77734375" style="1" customWidth="1"/>
    <col min="9227" max="9472" width="7.44140625" style="1"/>
    <col min="9473" max="9473" width="34.5546875" style="1" customWidth="1"/>
    <col min="9474" max="9474" width="13.77734375" style="1" customWidth="1"/>
    <col min="9475" max="9475" width="9.109375" style="1" customWidth="1"/>
    <col min="9476" max="9476" width="7.33203125" style="1" customWidth="1"/>
    <col min="9477" max="9477" width="8.77734375" style="1" customWidth="1"/>
    <col min="9478" max="9478" width="11.6640625" style="1" customWidth="1"/>
    <col min="9479" max="9479" width="40.5546875" style="1" customWidth="1"/>
    <col min="9480" max="9480" width="12.88671875" style="1" bestFit="1" customWidth="1"/>
    <col min="9481" max="9481" width="0" style="1" hidden="1" customWidth="1"/>
    <col min="9482" max="9482" width="2.77734375" style="1" customWidth="1"/>
    <col min="9483" max="9728" width="7.44140625" style="1"/>
    <col min="9729" max="9729" width="34.5546875" style="1" customWidth="1"/>
    <col min="9730" max="9730" width="13.77734375" style="1" customWidth="1"/>
    <col min="9731" max="9731" width="9.109375" style="1" customWidth="1"/>
    <col min="9732" max="9732" width="7.33203125" style="1" customWidth="1"/>
    <col min="9733" max="9733" width="8.77734375" style="1" customWidth="1"/>
    <col min="9734" max="9734" width="11.6640625" style="1" customWidth="1"/>
    <col min="9735" max="9735" width="40.5546875" style="1" customWidth="1"/>
    <col min="9736" max="9736" width="12.88671875" style="1" bestFit="1" customWidth="1"/>
    <col min="9737" max="9737" width="0" style="1" hidden="1" customWidth="1"/>
    <col min="9738" max="9738" width="2.77734375" style="1" customWidth="1"/>
    <col min="9739" max="9984" width="7.44140625" style="1"/>
    <col min="9985" max="9985" width="34.5546875" style="1" customWidth="1"/>
    <col min="9986" max="9986" width="13.77734375" style="1" customWidth="1"/>
    <col min="9987" max="9987" width="9.109375" style="1" customWidth="1"/>
    <col min="9988" max="9988" width="7.33203125" style="1" customWidth="1"/>
    <col min="9989" max="9989" width="8.77734375" style="1" customWidth="1"/>
    <col min="9990" max="9990" width="11.6640625" style="1" customWidth="1"/>
    <col min="9991" max="9991" width="40.5546875" style="1" customWidth="1"/>
    <col min="9992" max="9992" width="12.88671875" style="1" bestFit="1" customWidth="1"/>
    <col min="9993" max="9993" width="0" style="1" hidden="1" customWidth="1"/>
    <col min="9994" max="9994" width="2.77734375" style="1" customWidth="1"/>
    <col min="9995" max="10240" width="7.44140625" style="1"/>
    <col min="10241" max="10241" width="34.5546875" style="1" customWidth="1"/>
    <col min="10242" max="10242" width="13.77734375" style="1" customWidth="1"/>
    <col min="10243" max="10243" width="9.109375" style="1" customWidth="1"/>
    <col min="10244" max="10244" width="7.33203125" style="1" customWidth="1"/>
    <col min="10245" max="10245" width="8.77734375" style="1" customWidth="1"/>
    <col min="10246" max="10246" width="11.6640625" style="1" customWidth="1"/>
    <col min="10247" max="10247" width="40.5546875" style="1" customWidth="1"/>
    <col min="10248" max="10248" width="12.88671875" style="1" bestFit="1" customWidth="1"/>
    <col min="10249" max="10249" width="0" style="1" hidden="1" customWidth="1"/>
    <col min="10250" max="10250" width="2.77734375" style="1" customWidth="1"/>
    <col min="10251" max="10496" width="7.44140625" style="1"/>
    <col min="10497" max="10497" width="34.5546875" style="1" customWidth="1"/>
    <col min="10498" max="10498" width="13.77734375" style="1" customWidth="1"/>
    <col min="10499" max="10499" width="9.109375" style="1" customWidth="1"/>
    <col min="10500" max="10500" width="7.33203125" style="1" customWidth="1"/>
    <col min="10501" max="10501" width="8.77734375" style="1" customWidth="1"/>
    <col min="10502" max="10502" width="11.6640625" style="1" customWidth="1"/>
    <col min="10503" max="10503" width="40.5546875" style="1" customWidth="1"/>
    <col min="10504" max="10504" width="12.88671875" style="1" bestFit="1" customWidth="1"/>
    <col min="10505" max="10505" width="0" style="1" hidden="1" customWidth="1"/>
    <col min="10506" max="10506" width="2.77734375" style="1" customWidth="1"/>
    <col min="10507" max="10752" width="7.44140625" style="1"/>
    <col min="10753" max="10753" width="34.5546875" style="1" customWidth="1"/>
    <col min="10754" max="10754" width="13.77734375" style="1" customWidth="1"/>
    <col min="10755" max="10755" width="9.109375" style="1" customWidth="1"/>
    <col min="10756" max="10756" width="7.33203125" style="1" customWidth="1"/>
    <col min="10757" max="10757" width="8.77734375" style="1" customWidth="1"/>
    <col min="10758" max="10758" width="11.6640625" style="1" customWidth="1"/>
    <col min="10759" max="10759" width="40.5546875" style="1" customWidth="1"/>
    <col min="10760" max="10760" width="12.88671875" style="1" bestFit="1" customWidth="1"/>
    <col min="10761" max="10761" width="0" style="1" hidden="1" customWidth="1"/>
    <col min="10762" max="10762" width="2.77734375" style="1" customWidth="1"/>
    <col min="10763" max="11008" width="7.44140625" style="1"/>
    <col min="11009" max="11009" width="34.5546875" style="1" customWidth="1"/>
    <col min="11010" max="11010" width="13.77734375" style="1" customWidth="1"/>
    <col min="11011" max="11011" width="9.109375" style="1" customWidth="1"/>
    <col min="11012" max="11012" width="7.33203125" style="1" customWidth="1"/>
    <col min="11013" max="11013" width="8.77734375" style="1" customWidth="1"/>
    <col min="11014" max="11014" width="11.6640625" style="1" customWidth="1"/>
    <col min="11015" max="11015" width="40.5546875" style="1" customWidth="1"/>
    <col min="11016" max="11016" width="12.88671875" style="1" bestFit="1" customWidth="1"/>
    <col min="11017" max="11017" width="0" style="1" hidden="1" customWidth="1"/>
    <col min="11018" max="11018" width="2.77734375" style="1" customWidth="1"/>
    <col min="11019" max="11264" width="7.44140625" style="1"/>
    <col min="11265" max="11265" width="34.5546875" style="1" customWidth="1"/>
    <col min="11266" max="11266" width="13.77734375" style="1" customWidth="1"/>
    <col min="11267" max="11267" width="9.109375" style="1" customWidth="1"/>
    <col min="11268" max="11268" width="7.33203125" style="1" customWidth="1"/>
    <col min="11269" max="11269" width="8.77734375" style="1" customWidth="1"/>
    <col min="11270" max="11270" width="11.6640625" style="1" customWidth="1"/>
    <col min="11271" max="11271" width="40.5546875" style="1" customWidth="1"/>
    <col min="11272" max="11272" width="12.88671875" style="1" bestFit="1" customWidth="1"/>
    <col min="11273" max="11273" width="0" style="1" hidden="1" customWidth="1"/>
    <col min="11274" max="11274" width="2.77734375" style="1" customWidth="1"/>
    <col min="11275" max="11520" width="7.44140625" style="1"/>
    <col min="11521" max="11521" width="34.5546875" style="1" customWidth="1"/>
    <col min="11522" max="11522" width="13.77734375" style="1" customWidth="1"/>
    <col min="11523" max="11523" width="9.109375" style="1" customWidth="1"/>
    <col min="11524" max="11524" width="7.33203125" style="1" customWidth="1"/>
    <col min="11525" max="11525" width="8.77734375" style="1" customWidth="1"/>
    <col min="11526" max="11526" width="11.6640625" style="1" customWidth="1"/>
    <col min="11527" max="11527" width="40.5546875" style="1" customWidth="1"/>
    <col min="11528" max="11528" width="12.88671875" style="1" bestFit="1" customWidth="1"/>
    <col min="11529" max="11529" width="0" style="1" hidden="1" customWidth="1"/>
    <col min="11530" max="11530" width="2.77734375" style="1" customWidth="1"/>
    <col min="11531" max="11776" width="7.44140625" style="1"/>
    <col min="11777" max="11777" width="34.5546875" style="1" customWidth="1"/>
    <col min="11778" max="11778" width="13.77734375" style="1" customWidth="1"/>
    <col min="11779" max="11779" width="9.109375" style="1" customWidth="1"/>
    <col min="11780" max="11780" width="7.33203125" style="1" customWidth="1"/>
    <col min="11781" max="11781" width="8.77734375" style="1" customWidth="1"/>
    <col min="11782" max="11782" width="11.6640625" style="1" customWidth="1"/>
    <col min="11783" max="11783" width="40.5546875" style="1" customWidth="1"/>
    <col min="11784" max="11784" width="12.88671875" style="1" bestFit="1" customWidth="1"/>
    <col min="11785" max="11785" width="0" style="1" hidden="1" customWidth="1"/>
    <col min="11786" max="11786" width="2.77734375" style="1" customWidth="1"/>
    <col min="11787" max="12032" width="7.44140625" style="1"/>
    <col min="12033" max="12033" width="34.5546875" style="1" customWidth="1"/>
    <col min="12034" max="12034" width="13.77734375" style="1" customWidth="1"/>
    <col min="12035" max="12035" width="9.109375" style="1" customWidth="1"/>
    <col min="12036" max="12036" width="7.33203125" style="1" customWidth="1"/>
    <col min="12037" max="12037" width="8.77734375" style="1" customWidth="1"/>
    <col min="12038" max="12038" width="11.6640625" style="1" customWidth="1"/>
    <col min="12039" max="12039" width="40.5546875" style="1" customWidth="1"/>
    <col min="12040" max="12040" width="12.88671875" style="1" bestFit="1" customWidth="1"/>
    <col min="12041" max="12041" width="0" style="1" hidden="1" customWidth="1"/>
    <col min="12042" max="12042" width="2.77734375" style="1" customWidth="1"/>
    <col min="12043" max="12288" width="7.44140625" style="1"/>
    <col min="12289" max="12289" width="34.5546875" style="1" customWidth="1"/>
    <col min="12290" max="12290" width="13.77734375" style="1" customWidth="1"/>
    <col min="12291" max="12291" width="9.109375" style="1" customWidth="1"/>
    <col min="12292" max="12292" width="7.33203125" style="1" customWidth="1"/>
    <col min="12293" max="12293" width="8.77734375" style="1" customWidth="1"/>
    <col min="12294" max="12294" width="11.6640625" style="1" customWidth="1"/>
    <col min="12295" max="12295" width="40.5546875" style="1" customWidth="1"/>
    <col min="12296" max="12296" width="12.88671875" style="1" bestFit="1" customWidth="1"/>
    <col min="12297" max="12297" width="0" style="1" hidden="1" customWidth="1"/>
    <col min="12298" max="12298" width="2.77734375" style="1" customWidth="1"/>
    <col min="12299" max="12544" width="7.44140625" style="1"/>
    <col min="12545" max="12545" width="34.5546875" style="1" customWidth="1"/>
    <col min="12546" max="12546" width="13.77734375" style="1" customWidth="1"/>
    <col min="12547" max="12547" width="9.109375" style="1" customWidth="1"/>
    <col min="12548" max="12548" width="7.33203125" style="1" customWidth="1"/>
    <col min="12549" max="12549" width="8.77734375" style="1" customWidth="1"/>
    <col min="12550" max="12550" width="11.6640625" style="1" customWidth="1"/>
    <col min="12551" max="12551" width="40.5546875" style="1" customWidth="1"/>
    <col min="12552" max="12552" width="12.88671875" style="1" bestFit="1" customWidth="1"/>
    <col min="12553" max="12553" width="0" style="1" hidden="1" customWidth="1"/>
    <col min="12554" max="12554" width="2.77734375" style="1" customWidth="1"/>
    <col min="12555" max="12800" width="7.44140625" style="1"/>
    <col min="12801" max="12801" width="34.5546875" style="1" customWidth="1"/>
    <col min="12802" max="12802" width="13.77734375" style="1" customWidth="1"/>
    <col min="12803" max="12803" width="9.109375" style="1" customWidth="1"/>
    <col min="12804" max="12804" width="7.33203125" style="1" customWidth="1"/>
    <col min="12805" max="12805" width="8.77734375" style="1" customWidth="1"/>
    <col min="12806" max="12806" width="11.6640625" style="1" customWidth="1"/>
    <col min="12807" max="12807" width="40.5546875" style="1" customWidth="1"/>
    <col min="12808" max="12808" width="12.88671875" style="1" bestFit="1" customWidth="1"/>
    <col min="12809" max="12809" width="0" style="1" hidden="1" customWidth="1"/>
    <col min="12810" max="12810" width="2.77734375" style="1" customWidth="1"/>
    <col min="12811" max="13056" width="7.44140625" style="1"/>
    <col min="13057" max="13057" width="34.5546875" style="1" customWidth="1"/>
    <col min="13058" max="13058" width="13.77734375" style="1" customWidth="1"/>
    <col min="13059" max="13059" width="9.109375" style="1" customWidth="1"/>
    <col min="13060" max="13060" width="7.33203125" style="1" customWidth="1"/>
    <col min="13061" max="13061" width="8.77734375" style="1" customWidth="1"/>
    <col min="13062" max="13062" width="11.6640625" style="1" customWidth="1"/>
    <col min="13063" max="13063" width="40.5546875" style="1" customWidth="1"/>
    <col min="13064" max="13064" width="12.88671875" style="1" bestFit="1" customWidth="1"/>
    <col min="13065" max="13065" width="0" style="1" hidden="1" customWidth="1"/>
    <col min="13066" max="13066" width="2.77734375" style="1" customWidth="1"/>
    <col min="13067" max="13312" width="7.44140625" style="1"/>
    <col min="13313" max="13313" width="34.5546875" style="1" customWidth="1"/>
    <col min="13314" max="13314" width="13.77734375" style="1" customWidth="1"/>
    <col min="13315" max="13315" width="9.109375" style="1" customWidth="1"/>
    <col min="13316" max="13316" width="7.33203125" style="1" customWidth="1"/>
    <col min="13317" max="13317" width="8.77734375" style="1" customWidth="1"/>
    <col min="13318" max="13318" width="11.6640625" style="1" customWidth="1"/>
    <col min="13319" max="13319" width="40.5546875" style="1" customWidth="1"/>
    <col min="13320" max="13320" width="12.88671875" style="1" bestFit="1" customWidth="1"/>
    <col min="13321" max="13321" width="0" style="1" hidden="1" customWidth="1"/>
    <col min="13322" max="13322" width="2.77734375" style="1" customWidth="1"/>
    <col min="13323" max="13568" width="7.44140625" style="1"/>
    <col min="13569" max="13569" width="34.5546875" style="1" customWidth="1"/>
    <col min="13570" max="13570" width="13.77734375" style="1" customWidth="1"/>
    <col min="13571" max="13571" width="9.109375" style="1" customWidth="1"/>
    <col min="13572" max="13572" width="7.33203125" style="1" customWidth="1"/>
    <col min="13573" max="13573" width="8.77734375" style="1" customWidth="1"/>
    <col min="13574" max="13574" width="11.6640625" style="1" customWidth="1"/>
    <col min="13575" max="13575" width="40.5546875" style="1" customWidth="1"/>
    <col min="13576" max="13576" width="12.88671875" style="1" bestFit="1" customWidth="1"/>
    <col min="13577" max="13577" width="0" style="1" hidden="1" customWidth="1"/>
    <col min="13578" max="13578" width="2.77734375" style="1" customWidth="1"/>
    <col min="13579" max="13824" width="7.44140625" style="1"/>
    <col min="13825" max="13825" width="34.5546875" style="1" customWidth="1"/>
    <col min="13826" max="13826" width="13.77734375" style="1" customWidth="1"/>
    <col min="13827" max="13827" width="9.109375" style="1" customWidth="1"/>
    <col min="13828" max="13828" width="7.33203125" style="1" customWidth="1"/>
    <col min="13829" max="13829" width="8.77734375" style="1" customWidth="1"/>
    <col min="13830" max="13830" width="11.6640625" style="1" customWidth="1"/>
    <col min="13831" max="13831" width="40.5546875" style="1" customWidth="1"/>
    <col min="13832" max="13832" width="12.88671875" style="1" bestFit="1" customWidth="1"/>
    <col min="13833" max="13833" width="0" style="1" hidden="1" customWidth="1"/>
    <col min="13834" max="13834" width="2.77734375" style="1" customWidth="1"/>
    <col min="13835" max="14080" width="7.44140625" style="1"/>
    <col min="14081" max="14081" width="34.5546875" style="1" customWidth="1"/>
    <col min="14082" max="14082" width="13.77734375" style="1" customWidth="1"/>
    <col min="14083" max="14083" width="9.109375" style="1" customWidth="1"/>
    <col min="14084" max="14084" width="7.33203125" style="1" customWidth="1"/>
    <col min="14085" max="14085" width="8.77734375" style="1" customWidth="1"/>
    <col min="14086" max="14086" width="11.6640625" style="1" customWidth="1"/>
    <col min="14087" max="14087" width="40.5546875" style="1" customWidth="1"/>
    <col min="14088" max="14088" width="12.88671875" style="1" bestFit="1" customWidth="1"/>
    <col min="14089" max="14089" width="0" style="1" hidden="1" customWidth="1"/>
    <col min="14090" max="14090" width="2.77734375" style="1" customWidth="1"/>
    <col min="14091" max="14336" width="7.44140625" style="1"/>
    <col min="14337" max="14337" width="34.5546875" style="1" customWidth="1"/>
    <col min="14338" max="14338" width="13.77734375" style="1" customWidth="1"/>
    <col min="14339" max="14339" width="9.109375" style="1" customWidth="1"/>
    <col min="14340" max="14340" width="7.33203125" style="1" customWidth="1"/>
    <col min="14341" max="14341" width="8.77734375" style="1" customWidth="1"/>
    <col min="14342" max="14342" width="11.6640625" style="1" customWidth="1"/>
    <col min="14343" max="14343" width="40.5546875" style="1" customWidth="1"/>
    <col min="14344" max="14344" width="12.88671875" style="1" bestFit="1" customWidth="1"/>
    <col min="14345" max="14345" width="0" style="1" hidden="1" customWidth="1"/>
    <col min="14346" max="14346" width="2.77734375" style="1" customWidth="1"/>
    <col min="14347" max="14592" width="7.44140625" style="1"/>
    <col min="14593" max="14593" width="34.5546875" style="1" customWidth="1"/>
    <col min="14594" max="14594" width="13.77734375" style="1" customWidth="1"/>
    <col min="14595" max="14595" width="9.109375" style="1" customWidth="1"/>
    <col min="14596" max="14596" width="7.33203125" style="1" customWidth="1"/>
    <col min="14597" max="14597" width="8.77734375" style="1" customWidth="1"/>
    <col min="14598" max="14598" width="11.6640625" style="1" customWidth="1"/>
    <col min="14599" max="14599" width="40.5546875" style="1" customWidth="1"/>
    <col min="14600" max="14600" width="12.88671875" style="1" bestFit="1" customWidth="1"/>
    <col min="14601" max="14601" width="0" style="1" hidden="1" customWidth="1"/>
    <col min="14602" max="14602" width="2.77734375" style="1" customWidth="1"/>
    <col min="14603" max="14848" width="7.44140625" style="1"/>
    <col min="14849" max="14849" width="34.5546875" style="1" customWidth="1"/>
    <col min="14850" max="14850" width="13.77734375" style="1" customWidth="1"/>
    <col min="14851" max="14851" width="9.109375" style="1" customWidth="1"/>
    <col min="14852" max="14852" width="7.33203125" style="1" customWidth="1"/>
    <col min="14853" max="14853" width="8.77734375" style="1" customWidth="1"/>
    <col min="14854" max="14854" width="11.6640625" style="1" customWidth="1"/>
    <col min="14855" max="14855" width="40.5546875" style="1" customWidth="1"/>
    <col min="14856" max="14856" width="12.88671875" style="1" bestFit="1" customWidth="1"/>
    <col min="14857" max="14857" width="0" style="1" hidden="1" customWidth="1"/>
    <col min="14858" max="14858" width="2.77734375" style="1" customWidth="1"/>
    <col min="14859" max="15104" width="7.44140625" style="1"/>
    <col min="15105" max="15105" width="34.5546875" style="1" customWidth="1"/>
    <col min="15106" max="15106" width="13.77734375" style="1" customWidth="1"/>
    <col min="15107" max="15107" width="9.109375" style="1" customWidth="1"/>
    <col min="15108" max="15108" width="7.33203125" style="1" customWidth="1"/>
    <col min="15109" max="15109" width="8.77734375" style="1" customWidth="1"/>
    <col min="15110" max="15110" width="11.6640625" style="1" customWidth="1"/>
    <col min="15111" max="15111" width="40.5546875" style="1" customWidth="1"/>
    <col min="15112" max="15112" width="12.88671875" style="1" bestFit="1" customWidth="1"/>
    <col min="15113" max="15113" width="0" style="1" hidden="1" customWidth="1"/>
    <col min="15114" max="15114" width="2.77734375" style="1" customWidth="1"/>
    <col min="15115" max="15360" width="7.44140625" style="1"/>
    <col min="15361" max="15361" width="34.5546875" style="1" customWidth="1"/>
    <col min="15362" max="15362" width="13.77734375" style="1" customWidth="1"/>
    <col min="15363" max="15363" width="9.109375" style="1" customWidth="1"/>
    <col min="15364" max="15364" width="7.33203125" style="1" customWidth="1"/>
    <col min="15365" max="15365" width="8.77734375" style="1" customWidth="1"/>
    <col min="15366" max="15366" width="11.6640625" style="1" customWidth="1"/>
    <col min="15367" max="15367" width="40.5546875" style="1" customWidth="1"/>
    <col min="15368" max="15368" width="12.88671875" style="1" bestFit="1" customWidth="1"/>
    <col min="15369" max="15369" width="0" style="1" hidden="1" customWidth="1"/>
    <col min="15370" max="15370" width="2.77734375" style="1" customWidth="1"/>
    <col min="15371" max="15616" width="7.44140625" style="1"/>
    <col min="15617" max="15617" width="34.5546875" style="1" customWidth="1"/>
    <col min="15618" max="15618" width="13.77734375" style="1" customWidth="1"/>
    <col min="15619" max="15619" width="9.109375" style="1" customWidth="1"/>
    <col min="15620" max="15620" width="7.33203125" style="1" customWidth="1"/>
    <col min="15621" max="15621" width="8.77734375" style="1" customWidth="1"/>
    <col min="15622" max="15622" width="11.6640625" style="1" customWidth="1"/>
    <col min="15623" max="15623" width="40.5546875" style="1" customWidth="1"/>
    <col min="15624" max="15624" width="12.88671875" style="1" bestFit="1" customWidth="1"/>
    <col min="15625" max="15625" width="0" style="1" hidden="1" customWidth="1"/>
    <col min="15626" max="15626" width="2.77734375" style="1" customWidth="1"/>
    <col min="15627" max="15872" width="7.44140625" style="1"/>
    <col min="15873" max="15873" width="34.5546875" style="1" customWidth="1"/>
    <col min="15874" max="15874" width="13.77734375" style="1" customWidth="1"/>
    <col min="15875" max="15875" width="9.109375" style="1" customWidth="1"/>
    <col min="15876" max="15876" width="7.33203125" style="1" customWidth="1"/>
    <col min="15877" max="15877" width="8.77734375" style="1" customWidth="1"/>
    <col min="15878" max="15878" width="11.6640625" style="1" customWidth="1"/>
    <col min="15879" max="15879" width="40.5546875" style="1" customWidth="1"/>
    <col min="15880" max="15880" width="12.88671875" style="1" bestFit="1" customWidth="1"/>
    <col min="15881" max="15881" width="0" style="1" hidden="1" customWidth="1"/>
    <col min="15882" max="15882" width="2.77734375" style="1" customWidth="1"/>
    <col min="15883" max="16128" width="7.44140625" style="1"/>
    <col min="16129" max="16129" width="34.5546875" style="1" customWidth="1"/>
    <col min="16130" max="16130" width="13.77734375" style="1" customWidth="1"/>
    <col min="16131" max="16131" width="9.109375" style="1" customWidth="1"/>
    <col min="16132" max="16132" width="7.33203125" style="1" customWidth="1"/>
    <col min="16133" max="16133" width="8.77734375" style="1" customWidth="1"/>
    <col min="16134" max="16134" width="11.6640625" style="1" customWidth="1"/>
    <col min="16135" max="16135" width="40.5546875" style="1" customWidth="1"/>
    <col min="16136" max="16136" width="12.88671875" style="1" bestFit="1" customWidth="1"/>
    <col min="16137" max="16137" width="0" style="1" hidden="1" customWidth="1"/>
    <col min="16138" max="16138" width="2.77734375" style="1" customWidth="1"/>
    <col min="16139" max="16384" width="7.44140625" style="1"/>
  </cols>
  <sheetData>
    <row r="3" spans="1:8" ht="15.75" x14ac:dyDescent="0.25">
      <c r="A3" s="1" t="s">
        <v>611</v>
      </c>
      <c r="B3" s="80" t="s">
        <v>549</v>
      </c>
    </row>
    <row r="4" spans="1:8" x14ac:dyDescent="0.2">
      <c r="A4" s="1" t="s">
        <v>612</v>
      </c>
      <c r="B4" s="5" t="s">
        <v>613</v>
      </c>
    </row>
    <row r="5" spans="1:8" x14ac:dyDescent="0.2">
      <c r="A5" s="1" t="s">
        <v>13</v>
      </c>
      <c r="B5" s="5" t="s">
        <v>32</v>
      </c>
    </row>
    <row r="6" spans="1:8" x14ac:dyDescent="0.2">
      <c r="A6" s="2" t="s">
        <v>0</v>
      </c>
      <c r="B6" s="9"/>
      <c r="C6" s="9"/>
      <c r="D6" s="2"/>
    </row>
    <row r="8" spans="1:8" x14ac:dyDescent="0.2">
      <c r="A8" s="82" t="s">
        <v>2</v>
      </c>
      <c r="B8" s="83" t="s">
        <v>1</v>
      </c>
      <c r="C8" s="9"/>
      <c r="D8" s="2" t="s">
        <v>3</v>
      </c>
      <c r="E8" s="1">
        <v>500</v>
      </c>
      <c r="F8" s="9" t="s">
        <v>4</v>
      </c>
    </row>
    <row r="9" spans="1:8" x14ac:dyDescent="0.2">
      <c r="A9" s="84"/>
      <c r="H9" s="85"/>
    </row>
    <row r="10" spans="1:8" ht="30" x14ac:dyDescent="0.2">
      <c r="A10" s="86" t="s">
        <v>5</v>
      </c>
      <c r="B10" s="87" t="s">
        <v>614</v>
      </c>
      <c r="C10" s="87" t="s">
        <v>615</v>
      </c>
      <c r="D10" s="88" t="s">
        <v>6</v>
      </c>
      <c r="E10" s="88" t="s">
        <v>1</v>
      </c>
      <c r="F10" s="89" t="s">
        <v>7</v>
      </c>
      <c r="G10" s="90" t="s">
        <v>8</v>
      </c>
      <c r="H10" s="91" t="s">
        <v>616</v>
      </c>
    </row>
    <row r="11" spans="1:8" x14ac:dyDescent="0.2">
      <c r="A11" s="84"/>
      <c r="B11" s="92" t="s">
        <v>1</v>
      </c>
      <c r="C11" s="92"/>
      <c r="D11" s="84"/>
      <c r="E11" s="84"/>
      <c r="F11" s="93"/>
      <c r="G11" s="92"/>
    </row>
    <row r="12" spans="1:8" x14ac:dyDescent="0.2">
      <c r="A12" s="1">
        <v>1</v>
      </c>
      <c r="B12" s="5">
        <v>1</v>
      </c>
      <c r="C12" s="5">
        <v>1</v>
      </c>
      <c r="D12" s="1">
        <v>1</v>
      </c>
      <c r="F12" s="94" t="s">
        <v>330</v>
      </c>
      <c r="G12" s="9" t="s">
        <v>351</v>
      </c>
    </row>
    <row r="13" spans="1:8" x14ac:dyDescent="0.2">
      <c r="A13" s="1">
        <v>2</v>
      </c>
      <c r="B13" s="5">
        <v>2</v>
      </c>
      <c r="C13" s="5">
        <f t="shared" ref="C13:C18" si="0">C12+D13</f>
        <v>10</v>
      </c>
      <c r="D13" s="1">
        <v>9</v>
      </c>
      <c r="E13" s="2" t="s">
        <v>1</v>
      </c>
      <c r="F13" s="94" t="s">
        <v>329</v>
      </c>
      <c r="G13" s="9" t="s">
        <v>40</v>
      </c>
    </row>
    <row r="14" spans="1:8" x14ac:dyDescent="0.2">
      <c r="A14" s="1">
        <v>3</v>
      </c>
      <c r="B14" s="5">
        <v>11</v>
      </c>
      <c r="C14" s="5">
        <f t="shared" si="0"/>
        <v>18</v>
      </c>
      <c r="D14" s="1">
        <v>8</v>
      </c>
      <c r="F14" s="94" t="s">
        <v>329</v>
      </c>
      <c r="G14" s="265" t="s">
        <v>39</v>
      </c>
      <c r="H14" s="1" t="s">
        <v>617</v>
      </c>
    </row>
    <row r="15" spans="1:8" x14ac:dyDescent="0.2">
      <c r="A15" s="1">
        <v>4</v>
      </c>
      <c r="B15" s="5">
        <v>19</v>
      </c>
      <c r="C15" s="5">
        <f t="shared" si="0"/>
        <v>29</v>
      </c>
      <c r="D15" s="1">
        <v>11</v>
      </c>
      <c r="E15" s="2" t="s">
        <v>1</v>
      </c>
      <c r="F15" s="94" t="s">
        <v>329</v>
      </c>
      <c r="G15" s="9" t="s">
        <v>618</v>
      </c>
    </row>
    <row r="16" spans="1:8" x14ac:dyDescent="0.2">
      <c r="A16" s="1">
        <v>5</v>
      </c>
      <c r="B16" s="5">
        <v>30</v>
      </c>
      <c r="C16" s="5">
        <f t="shared" si="0"/>
        <v>31</v>
      </c>
      <c r="D16" s="1">
        <v>2</v>
      </c>
      <c r="E16" s="2"/>
      <c r="F16" s="94" t="s">
        <v>329</v>
      </c>
      <c r="G16" s="9" t="s">
        <v>40</v>
      </c>
    </row>
    <row r="17" spans="1:12" x14ac:dyDescent="0.2">
      <c r="A17" s="1">
        <v>6</v>
      </c>
      <c r="B17" s="5">
        <v>32</v>
      </c>
      <c r="C17" s="5">
        <f t="shared" si="0"/>
        <v>46</v>
      </c>
      <c r="D17" s="1">
        <v>15</v>
      </c>
      <c r="E17" s="2"/>
      <c r="F17" s="94" t="s">
        <v>329</v>
      </c>
      <c r="G17" s="9" t="s">
        <v>619</v>
      </c>
    </row>
    <row r="18" spans="1:12" x14ac:dyDescent="0.2">
      <c r="A18" s="1">
        <v>7</v>
      </c>
      <c r="B18" s="5">
        <v>47</v>
      </c>
      <c r="C18" s="5">
        <f t="shared" si="0"/>
        <v>500</v>
      </c>
      <c r="D18" s="1">
        <f>500-46</f>
        <v>454</v>
      </c>
      <c r="F18" s="94" t="s">
        <v>330</v>
      </c>
      <c r="G18" s="9" t="s">
        <v>620</v>
      </c>
    </row>
    <row r="19" spans="1:12" hidden="1" x14ac:dyDescent="0.2"/>
    <row r="21" spans="1:12" x14ac:dyDescent="0.2">
      <c r="A21" s="82" t="s">
        <v>10</v>
      </c>
      <c r="B21" s="83"/>
      <c r="C21" s="9"/>
      <c r="D21" s="2" t="s">
        <v>3</v>
      </c>
      <c r="E21" s="1">
        <v>500</v>
      </c>
      <c r="F21" s="94" t="s">
        <v>4</v>
      </c>
    </row>
    <row r="22" spans="1:12" x14ac:dyDescent="0.2">
      <c r="A22" s="84"/>
      <c r="H22" s="85"/>
    </row>
    <row r="23" spans="1:12" ht="30" x14ac:dyDescent="0.2">
      <c r="A23" s="95" t="s">
        <v>5</v>
      </c>
      <c r="B23" s="90" t="s">
        <v>621</v>
      </c>
      <c r="C23" s="90" t="s">
        <v>615</v>
      </c>
      <c r="D23" s="96" t="s">
        <v>6</v>
      </c>
      <c r="E23" s="96" t="s">
        <v>1</v>
      </c>
      <c r="F23" s="97" t="s">
        <v>7</v>
      </c>
      <c r="G23" s="90" t="s">
        <v>8</v>
      </c>
      <c r="H23" s="91" t="s">
        <v>337</v>
      </c>
    </row>
    <row r="24" spans="1:12" x14ac:dyDescent="0.2">
      <c r="A24" s="1">
        <f>1</f>
        <v>1</v>
      </c>
      <c r="B24" s="5">
        <v>1</v>
      </c>
      <c r="C24" s="5">
        <v>1</v>
      </c>
      <c r="D24" s="1">
        <v>1</v>
      </c>
      <c r="F24" s="94" t="s">
        <v>330</v>
      </c>
      <c r="G24" s="9" t="s">
        <v>622</v>
      </c>
      <c r="L24" s="267" t="s">
        <v>1181</v>
      </c>
    </row>
    <row r="25" spans="1:12" x14ac:dyDescent="0.2">
      <c r="A25" s="1">
        <f>A24+1</f>
        <v>2</v>
      </c>
      <c r="B25" s="531">
        <f t="shared" ref="B25:B54" si="1">B24+D24</f>
        <v>2</v>
      </c>
      <c r="C25" s="531">
        <f t="shared" ref="C25:C58" si="2">C24+D25</f>
        <v>9</v>
      </c>
      <c r="D25" s="532">
        <v>8</v>
      </c>
      <c r="E25" s="533" t="s">
        <v>1</v>
      </c>
      <c r="F25" s="534" t="s">
        <v>329</v>
      </c>
      <c r="G25" s="264" t="s">
        <v>39</v>
      </c>
      <c r="H25" s="1" t="s">
        <v>30</v>
      </c>
      <c r="L25" s="267" t="s">
        <v>1183</v>
      </c>
    </row>
    <row r="26" spans="1:12" x14ac:dyDescent="0.2">
      <c r="A26" s="1">
        <f t="shared" ref="A26:A46" si="3">A25+1</f>
        <v>3</v>
      </c>
      <c r="B26" s="5">
        <f t="shared" si="1"/>
        <v>10</v>
      </c>
      <c r="C26" s="5">
        <f t="shared" si="2"/>
        <v>19</v>
      </c>
      <c r="D26" s="3">
        <v>10</v>
      </c>
      <c r="E26" s="2"/>
      <c r="F26" s="94" t="s">
        <v>329</v>
      </c>
      <c r="G26" s="9" t="s">
        <v>623</v>
      </c>
      <c r="L26" s="268">
        <v>450</v>
      </c>
    </row>
    <row r="27" spans="1:12" x14ac:dyDescent="0.2">
      <c r="A27" s="1">
        <f t="shared" si="3"/>
        <v>4</v>
      </c>
      <c r="B27" s="5">
        <f t="shared" si="1"/>
        <v>20</v>
      </c>
      <c r="C27" s="5">
        <f t="shared" si="2"/>
        <v>23</v>
      </c>
      <c r="D27" s="3">
        <v>4</v>
      </c>
      <c r="E27" s="2"/>
      <c r="F27" s="94" t="s">
        <v>329</v>
      </c>
      <c r="G27" s="9" t="s">
        <v>624</v>
      </c>
      <c r="H27" s="1" t="s">
        <v>625</v>
      </c>
      <c r="L27" s="268">
        <v>0</v>
      </c>
    </row>
    <row r="28" spans="1:12" x14ac:dyDescent="0.2">
      <c r="A28" s="1">
        <f t="shared" si="3"/>
        <v>5</v>
      </c>
      <c r="B28" s="531">
        <f t="shared" si="1"/>
        <v>24</v>
      </c>
      <c r="C28" s="531">
        <f t="shared" si="2"/>
        <v>26</v>
      </c>
      <c r="D28" s="532">
        <v>3</v>
      </c>
      <c r="E28" s="533"/>
      <c r="F28" s="534" t="s">
        <v>330</v>
      </c>
      <c r="G28" s="264" t="s">
        <v>626</v>
      </c>
      <c r="K28" s="1" t="s">
        <v>1180</v>
      </c>
      <c r="L28" s="268" t="s">
        <v>1184</v>
      </c>
    </row>
    <row r="29" spans="1:12" x14ac:dyDescent="0.2">
      <c r="A29" s="1">
        <f t="shared" si="3"/>
        <v>6</v>
      </c>
      <c r="B29" s="5">
        <f t="shared" si="1"/>
        <v>27</v>
      </c>
      <c r="C29" s="5">
        <f t="shared" si="2"/>
        <v>27</v>
      </c>
      <c r="D29" s="3">
        <v>1</v>
      </c>
      <c r="E29" s="2"/>
      <c r="F29" s="94" t="s">
        <v>329</v>
      </c>
      <c r="G29" s="9" t="s">
        <v>627</v>
      </c>
      <c r="H29" s="1" t="s">
        <v>625</v>
      </c>
      <c r="L29" s="268">
        <v>0</v>
      </c>
    </row>
    <row r="30" spans="1:12" x14ac:dyDescent="0.2">
      <c r="A30" s="1">
        <f t="shared" si="3"/>
        <v>7</v>
      </c>
      <c r="B30" s="5">
        <f t="shared" si="1"/>
        <v>28</v>
      </c>
      <c r="C30" s="5">
        <f t="shared" si="2"/>
        <v>33</v>
      </c>
      <c r="D30" s="3">
        <v>6</v>
      </c>
      <c r="E30" s="2"/>
      <c r="F30" s="94" t="s">
        <v>330</v>
      </c>
      <c r="G30" s="9" t="s">
        <v>628</v>
      </c>
      <c r="L30" s="268"/>
    </row>
    <row r="31" spans="1:12" x14ac:dyDescent="0.2">
      <c r="A31" s="1">
        <f t="shared" si="3"/>
        <v>8</v>
      </c>
      <c r="B31" s="5">
        <f t="shared" si="1"/>
        <v>34</v>
      </c>
      <c r="C31" s="5">
        <f t="shared" si="2"/>
        <v>37</v>
      </c>
      <c r="D31" s="3">
        <v>4</v>
      </c>
      <c r="E31" s="2"/>
      <c r="F31" s="94" t="s">
        <v>330</v>
      </c>
      <c r="G31" s="9" t="s">
        <v>629</v>
      </c>
      <c r="L31" s="268"/>
    </row>
    <row r="32" spans="1:12" x14ac:dyDescent="0.2">
      <c r="A32" s="1">
        <f>A31+1</f>
        <v>9</v>
      </c>
      <c r="B32" s="531">
        <f>B31+D31</f>
        <v>38</v>
      </c>
      <c r="C32" s="531">
        <f t="shared" si="2"/>
        <v>41</v>
      </c>
      <c r="D32" s="532">
        <v>4</v>
      </c>
      <c r="E32" s="533"/>
      <c r="F32" s="534" t="s">
        <v>330</v>
      </c>
      <c r="G32" s="264" t="s">
        <v>630</v>
      </c>
      <c r="L32" s="268" t="s">
        <v>1185</v>
      </c>
    </row>
    <row r="33" spans="1:12" x14ac:dyDescent="0.2">
      <c r="A33" s="1">
        <f t="shared" si="3"/>
        <v>10</v>
      </c>
      <c r="B33" s="5">
        <f t="shared" si="1"/>
        <v>42</v>
      </c>
      <c r="C33" s="5">
        <f t="shared" si="2"/>
        <v>48</v>
      </c>
      <c r="D33" s="3">
        <v>7</v>
      </c>
      <c r="E33" s="2"/>
      <c r="F33" s="94" t="s">
        <v>330</v>
      </c>
      <c r="G33" s="9" t="s">
        <v>631</v>
      </c>
      <c r="L33" s="268"/>
    </row>
    <row r="34" spans="1:12" x14ac:dyDescent="0.2">
      <c r="A34" s="1">
        <f t="shared" si="3"/>
        <v>11</v>
      </c>
      <c r="B34" s="5">
        <f t="shared" si="1"/>
        <v>49</v>
      </c>
      <c r="C34" s="5">
        <f t="shared" si="2"/>
        <v>49</v>
      </c>
      <c r="D34" s="3">
        <v>1</v>
      </c>
      <c r="E34" s="2"/>
      <c r="F34" s="94" t="s">
        <v>330</v>
      </c>
      <c r="G34" s="9" t="s">
        <v>629</v>
      </c>
      <c r="L34" s="268"/>
    </row>
    <row r="35" spans="1:12" x14ac:dyDescent="0.2">
      <c r="A35" s="1">
        <f t="shared" si="3"/>
        <v>12</v>
      </c>
      <c r="B35" s="531">
        <f t="shared" si="1"/>
        <v>50</v>
      </c>
      <c r="C35" s="531">
        <f t="shared" si="2"/>
        <v>68</v>
      </c>
      <c r="D35" s="532">
        <v>19</v>
      </c>
      <c r="E35" s="533"/>
      <c r="F35" s="534" t="s">
        <v>330</v>
      </c>
      <c r="G35" s="264" t="s">
        <v>632</v>
      </c>
      <c r="L35" s="267" t="s">
        <v>1182</v>
      </c>
    </row>
    <row r="36" spans="1:12" x14ac:dyDescent="0.2">
      <c r="A36" s="1">
        <f t="shared" si="3"/>
        <v>13</v>
      </c>
      <c r="B36" s="5">
        <f t="shared" si="1"/>
        <v>69</v>
      </c>
      <c r="C36" s="5">
        <f t="shared" si="2"/>
        <v>76</v>
      </c>
      <c r="D36" s="3">
        <v>8</v>
      </c>
      <c r="E36" s="2"/>
      <c r="F36" s="94" t="s">
        <v>330</v>
      </c>
      <c r="G36" s="263" t="s">
        <v>633</v>
      </c>
      <c r="H36" s="1" t="s">
        <v>30</v>
      </c>
      <c r="L36" s="267" t="s">
        <v>1183</v>
      </c>
    </row>
    <row r="37" spans="1:12" x14ac:dyDescent="0.2">
      <c r="A37" s="1">
        <f t="shared" si="3"/>
        <v>14</v>
      </c>
      <c r="B37" s="5">
        <f t="shared" si="1"/>
        <v>77</v>
      </c>
      <c r="C37" s="5">
        <f t="shared" si="2"/>
        <v>87</v>
      </c>
      <c r="D37" s="3">
        <v>11</v>
      </c>
      <c r="E37" s="2"/>
      <c r="F37" s="94" t="s">
        <v>330</v>
      </c>
      <c r="G37" s="562" t="s">
        <v>634</v>
      </c>
      <c r="L37" s="268"/>
    </row>
    <row r="38" spans="1:12" x14ac:dyDescent="0.2">
      <c r="A38" s="1">
        <f t="shared" si="3"/>
        <v>15</v>
      </c>
      <c r="B38" s="531">
        <f t="shared" si="1"/>
        <v>88</v>
      </c>
      <c r="C38" s="531">
        <f t="shared" si="2"/>
        <v>93</v>
      </c>
      <c r="D38" s="532">
        <v>6</v>
      </c>
      <c r="E38" s="533"/>
      <c r="F38" s="534" t="s">
        <v>330</v>
      </c>
      <c r="G38" s="264" t="s">
        <v>635</v>
      </c>
      <c r="L38" s="268" t="s">
        <v>1186</v>
      </c>
    </row>
    <row r="39" spans="1:12" x14ac:dyDescent="0.2">
      <c r="A39" s="1">
        <f t="shared" si="3"/>
        <v>16</v>
      </c>
      <c r="B39" s="5">
        <f t="shared" si="1"/>
        <v>94</v>
      </c>
      <c r="C39" s="5">
        <f t="shared" si="2"/>
        <v>95</v>
      </c>
      <c r="D39" s="3">
        <v>2</v>
      </c>
      <c r="E39" s="2"/>
      <c r="F39" s="94" t="s">
        <v>329</v>
      </c>
      <c r="G39" s="9" t="s">
        <v>629</v>
      </c>
      <c r="L39" s="268"/>
    </row>
    <row r="40" spans="1:12" ht="30" x14ac:dyDescent="0.2">
      <c r="A40" s="1">
        <f t="shared" si="3"/>
        <v>17</v>
      </c>
      <c r="B40" s="531">
        <f t="shared" si="1"/>
        <v>96</v>
      </c>
      <c r="C40" s="531">
        <f t="shared" si="2"/>
        <v>110</v>
      </c>
      <c r="D40" s="532">
        <v>15</v>
      </c>
      <c r="E40" s="533"/>
      <c r="F40" s="534" t="s">
        <v>329</v>
      </c>
      <c r="G40" s="264" t="s">
        <v>636</v>
      </c>
      <c r="L40" s="268">
        <v>1034</v>
      </c>
    </row>
    <row r="41" spans="1:12" x14ac:dyDescent="0.2">
      <c r="A41" s="1">
        <f t="shared" si="3"/>
        <v>18</v>
      </c>
      <c r="B41" s="5">
        <f t="shared" si="1"/>
        <v>111</v>
      </c>
      <c r="C41" s="5">
        <f t="shared" si="2"/>
        <v>112</v>
      </c>
      <c r="D41" s="3">
        <v>2</v>
      </c>
      <c r="E41" s="2"/>
      <c r="F41" s="94" t="s">
        <v>329</v>
      </c>
      <c r="G41" s="9" t="s">
        <v>629</v>
      </c>
      <c r="L41" s="268"/>
    </row>
    <row r="42" spans="1:12" x14ac:dyDescent="0.2">
      <c r="A42" s="1">
        <f t="shared" si="3"/>
        <v>19</v>
      </c>
      <c r="B42" s="5">
        <f t="shared" si="1"/>
        <v>113</v>
      </c>
      <c r="C42" s="5">
        <f t="shared" si="2"/>
        <v>127</v>
      </c>
      <c r="D42" s="3">
        <v>15</v>
      </c>
      <c r="E42" s="2"/>
      <c r="F42" s="94" t="s">
        <v>329</v>
      </c>
      <c r="G42" s="9" t="s">
        <v>629</v>
      </c>
      <c r="L42" s="268"/>
    </row>
    <row r="43" spans="1:12" x14ac:dyDescent="0.2">
      <c r="A43" s="1">
        <f t="shared" si="3"/>
        <v>20</v>
      </c>
      <c r="B43" s="5">
        <f t="shared" si="1"/>
        <v>128</v>
      </c>
      <c r="C43" s="5">
        <f t="shared" si="2"/>
        <v>129</v>
      </c>
      <c r="D43" s="3">
        <v>2</v>
      </c>
      <c r="E43" s="2"/>
      <c r="F43" s="94" t="s">
        <v>329</v>
      </c>
      <c r="G43" s="9" t="s">
        <v>629</v>
      </c>
      <c r="L43" s="268"/>
    </row>
    <row r="44" spans="1:12" x14ac:dyDescent="0.2">
      <c r="A44" s="1">
        <f t="shared" si="3"/>
        <v>21</v>
      </c>
      <c r="B44" s="5">
        <f>B43+D43</f>
        <v>130</v>
      </c>
      <c r="C44" s="5">
        <f t="shared" si="2"/>
        <v>144</v>
      </c>
      <c r="D44" s="3">
        <v>15</v>
      </c>
      <c r="E44" s="2"/>
      <c r="F44" s="94" t="s">
        <v>329</v>
      </c>
      <c r="G44" s="9" t="s">
        <v>629</v>
      </c>
      <c r="L44" s="268"/>
    </row>
    <row r="45" spans="1:12" x14ac:dyDescent="0.2">
      <c r="A45" s="1">
        <f t="shared" si="3"/>
        <v>22</v>
      </c>
      <c r="B45" s="5">
        <f t="shared" si="1"/>
        <v>145</v>
      </c>
      <c r="C45" s="5">
        <f t="shared" si="2"/>
        <v>146</v>
      </c>
      <c r="D45" s="3">
        <v>2</v>
      </c>
      <c r="E45" s="2"/>
      <c r="F45" s="94" t="s">
        <v>329</v>
      </c>
      <c r="G45" s="9" t="s">
        <v>629</v>
      </c>
      <c r="L45" s="268"/>
    </row>
    <row r="46" spans="1:12" x14ac:dyDescent="0.2">
      <c r="A46" s="1">
        <f t="shared" si="3"/>
        <v>23</v>
      </c>
      <c r="B46" s="5">
        <f t="shared" si="1"/>
        <v>147</v>
      </c>
      <c r="C46" s="5">
        <f t="shared" si="2"/>
        <v>161</v>
      </c>
      <c r="D46" s="3">
        <v>15</v>
      </c>
      <c r="E46" s="2"/>
      <c r="F46" s="94" t="s">
        <v>329</v>
      </c>
      <c r="G46" s="9" t="s">
        <v>629</v>
      </c>
      <c r="L46" s="268"/>
    </row>
    <row r="47" spans="1:12" x14ac:dyDescent="0.2">
      <c r="A47" s="1">
        <f>A42+1</f>
        <v>20</v>
      </c>
      <c r="B47" s="550">
        <f t="shared" si="1"/>
        <v>162</v>
      </c>
      <c r="C47" s="550">
        <f t="shared" si="2"/>
        <v>163</v>
      </c>
      <c r="D47" s="551">
        <v>2</v>
      </c>
      <c r="E47" s="552"/>
      <c r="F47" s="553" t="s">
        <v>330</v>
      </c>
      <c r="G47" s="554" t="s">
        <v>637</v>
      </c>
      <c r="L47" s="268" t="s">
        <v>1188</v>
      </c>
    </row>
    <row r="48" spans="1:12" x14ac:dyDescent="0.2">
      <c r="A48" s="1">
        <f>A47+1</f>
        <v>21</v>
      </c>
      <c r="B48" s="5">
        <f t="shared" si="1"/>
        <v>164</v>
      </c>
      <c r="C48" s="5">
        <f t="shared" si="2"/>
        <v>164</v>
      </c>
      <c r="D48" s="3">
        <v>1</v>
      </c>
      <c r="E48" s="2"/>
      <c r="F48" s="94" t="s">
        <v>330</v>
      </c>
      <c r="G48" s="9" t="s">
        <v>629</v>
      </c>
      <c r="L48" s="268"/>
    </row>
    <row r="49" spans="1:12" x14ac:dyDescent="0.2">
      <c r="A49" s="1">
        <f>A48+1</f>
        <v>22</v>
      </c>
      <c r="B49" s="5">
        <f t="shared" si="1"/>
        <v>165</v>
      </c>
      <c r="C49" s="5">
        <f t="shared" si="2"/>
        <v>167</v>
      </c>
      <c r="D49" s="3">
        <v>3</v>
      </c>
      <c r="E49" s="2"/>
      <c r="F49" s="94" t="s">
        <v>330</v>
      </c>
      <c r="G49" s="9" t="s">
        <v>638</v>
      </c>
      <c r="L49" s="268" t="s">
        <v>1184</v>
      </c>
    </row>
    <row r="50" spans="1:12" x14ac:dyDescent="0.2">
      <c r="A50" s="1">
        <f>A49+1</f>
        <v>23</v>
      </c>
      <c r="B50" s="5">
        <f t="shared" si="1"/>
        <v>168</v>
      </c>
      <c r="C50" s="5">
        <f t="shared" si="2"/>
        <v>192</v>
      </c>
      <c r="D50" s="3">
        <v>25</v>
      </c>
      <c r="E50" s="2"/>
      <c r="F50" s="94" t="s">
        <v>330</v>
      </c>
      <c r="G50" s="9" t="s">
        <v>639</v>
      </c>
      <c r="L50" s="268" t="s">
        <v>1189</v>
      </c>
    </row>
    <row r="51" spans="1:12" x14ac:dyDescent="0.2">
      <c r="A51" s="1">
        <f>A46+1</f>
        <v>24</v>
      </c>
      <c r="B51" s="5">
        <f t="shared" si="1"/>
        <v>193</v>
      </c>
      <c r="C51" s="5">
        <f t="shared" si="2"/>
        <v>205</v>
      </c>
      <c r="D51" s="3">
        <v>13</v>
      </c>
      <c r="E51" s="2"/>
      <c r="F51" s="94" t="s">
        <v>330</v>
      </c>
      <c r="G51" s="266" t="s">
        <v>640</v>
      </c>
      <c r="L51" s="268" t="s">
        <v>1187</v>
      </c>
    </row>
    <row r="52" spans="1:12" x14ac:dyDescent="0.2">
      <c r="A52" s="1">
        <f t="shared" ref="A52:A58" si="4">A51+1</f>
        <v>25</v>
      </c>
      <c r="B52" s="5">
        <f t="shared" si="1"/>
        <v>206</v>
      </c>
      <c r="C52" s="5">
        <f t="shared" si="2"/>
        <v>208</v>
      </c>
      <c r="D52" s="3">
        <v>3</v>
      </c>
      <c r="E52" s="2"/>
      <c r="F52" s="94" t="s">
        <v>330</v>
      </c>
      <c r="G52" s="9" t="s">
        <v>641</v>
      </c>
      <c r="L52" s="268" t="s">
        <v>1190</v>
      </c>
    </row>
    <row r="53" spans="1:12" x14ac:dyDescent="0.2">
      <c r="A53" s="1">
        <f t="shared" si="4"/>
        <v>26</v>
      </c>
      <c r="B53" s="5">
        <f t="shared" si="1"/>
        <v>209</v>
      </c>
      <c r="C53" s="5">
        <f t="shared" si="2"/>
        <v>212</v>
      </c>
      <c r="D53" s="3">
        <v>4</v>
      </c>
      <c r="E53" s="2"/>
      <c r="F53" s="94" t="s">
        <v>330</v>
      </c>
      <c r="G53" s="9" t="s">
        <v>642</v>
      </c>
      <c r="L53" s="268"/>
    </row>
    <row r="54" spans="1:12" x14ac:dyDescent="0.2">
      <c r="A54" s="1">
        <f t="shared" si="4"/>
        <v>27</v>
      </c>
      <c r="B54" s="5">
        <f t="shared" si="1"/>
        <v>213</v>
      </c>
      <c r="C54" s="5">
        <f t="shared" si="2"/>
        <v>220</v>
      </c>
      <c r="D54" s="3">
        <v>8</v>
      </c>
      <c r="E54" s="2"/>
      <c r="F54" s="94" t="s">
        <v>330</v>
      </c>
      <c r="G54" s="9" t="s">
        <v>629</v>
      </c>
      <c r="L54" s="268"/>
    </row>
    <row r="55" spans="1:12" ht="16.5" customHeight="1" x14ac:dyDescent="0.2">
      <c r="A55" s="1">
        <f t="shared" si="4"/>
        <v>28</v>
      </c>
      <c r="B55" s="5">
        <f>B54+D54</f>
        <v>221</v>
      </c>
      <c r="C55" s="5">
        <f t="shared" si="2"/>
        <v>236</v>
      </c>
      <c r="D55" s="3">
        <v>16</v>
      </c>
      <c r="E55" s="2"/>
      <c r="F55" s="94" t="s">
        <v>330</v>
      </c>
      <c r="G55" s="5" t="s">
        <v>643</v>
      </c>
      <c r="L55" s="268"/>
    </row>
    <row r="56" spans="1:12" ht="30" x14ac:dyDescent="0.2">
      <c r="A56" s="1">
        <f t="shared" si="4"/>
        <v>29</v>
      </c>
      <c r="B56" s="5">
        <f>B55+D55</f>
        <v>237</v>
      </c>
      <c r="C56" s="5">
        <f t="shared" si="2"/>
        <v>238</v>
      </c>
      <c r="D56" s="3">
        <v>2</v>
      </c>
      <c r="E56" s="2"/>
      <c r="F56" s="94" t="s">
        <v>330</v>
      </c>
      <c r="G56" s="9" t="s">
        <v>644</v>
      </c>
      <c r="L56" s="268" t="s">
        <v>1191</v>
      </c>
    </row>
    <row r="57" spans="1:12" x14ac:dyDescent="0.2">
      <c r="A57" s="1">
        <f t="shared" si="4"/>
        <v>30</v>
      </c>
      <c r="B57" s="5">
        <f>B56+D56</f>
        <v>239</v>
      </c>
      <c r="C57" s="5">
        <f t="shared" si="2"/>
        <v>239</v>
      </c>
      <c r="D57" s="3">
        <v>1</v>
      </c>
      <c r="E57" s="2"/>
      <c r="F57" s="94" t="s">
        <v>330</v>
      </c>
      <c r="G57" s="9" t="s">
        <v>645</v>
      </c>
      <c r="L57" s="268" t="s">
        <v>1188</v>
      </c>
    </row>
    <row r="58" spans="1:12" x14ac:dyDescent="0.2">
      <c r="A58" s="1">
        <f t="shared" si="4"/>
        <v>31</v>
      </c>
      <c r="B58" s="5">
        <f>B57+D57</f>
        <v>240</v>
      </c>
      <c r="C58" s="5">
        <f t="shared" si="2"/>
        <v>240</v>
      </c>
      <c r="D58" s="3">
        <v>1</v>
      </c>
      <c r="E58" s="2"/>
      <c r="F58" s="94" t="s">
        <v>330</v>
      </c>
      <c r="G58" s="9" t="s">
        <v>646</v>
      </c>
      <c r="L58" s="268"/>
    </row>
    <row r="59" spans="1:12" x14ac:dyDescent="0.2">
      <c r="A59" s="556">
        <v>32</v>
      </c>
      <c r="B59" s="557">
        <v>241</v>
      </c>
      <c r="C59" s="557">
        <v>247</v>
      </c>
      <c r="D59" s="558">
        <v>7</v>
      </c>
      <c r="E59" s="559"/>
      <c r="F59" s="560" t="s">
        <v>1271</v>
      </c>
      <c r="G59" s="561" t="s">
        <v>1272</v>
      </c>
      <c r="L59" s="268"/>
    </row>
    <row r="60" spans="1:12" x14ac:dyDescent="0.2">
      <c r="A60" s="1">
        <v>33</v>
      </c>
      <c r="B60" s="5">
        <v>248</v>
      </c>
      <c r="C60" s="5">
        <f>C58+D60</f>
        <v>493</v>
      </c>
      <c r="D60" s="3">
        <v>253</v>
      </c>
      <c r="E60" s="2"/>
      <c r="F60" s="94" t="s">
        <v>330</v>
      </c>
      <c r="G60" s="9" t="s">
        <v>620</v>
      </c>
      <c r="L60" s="268"/>
    </row>
    <row r="61" spans="1:12" hidden="1" x14ac:dyDescent="0.2">
      <c r="A61" s="98" t="s">
        <v>647</v>
      </c>
      <c r="B61" s="83"/>
      <c r="C61" s="9"/>
      <c r="D61" s="2" t="s">
        <v>3</v>
      </c>
      <c r="E61" s="1">
        <v>1000</v>
      </c>
      <c r="F61" s="94" t="s">
        <v>4</v>
      </c>
    </row>
    <row r="62" spans="1:12" hidden="1" x14ac:dyDescent="0.2">
      <c r="A62" s="84"/>
    </row>
    <row r="63" spans="1:12" hidden="1" x14ac:dyDescent="0.2">
      <c r="A63" s="99" t="s">
        <v>5</v>
      </c>
      <c r="B63" s="92" t="s">
        <v>621</v>
      </c>
      <c r="C63" s="92"/>
      <c r="D63" s="84" t="s">
        <v>6</v>
      </c>
      <c r="E63" s="84" t="s">
        <v>1</v>
      </c>
      <c r="F63" s="93" t="s">
        <v>7</v>
      </c>
      <c r="G63" s="100" t="s">
        <v>8</v>
      </c>
    </row>
    <row r="64" spans="1:12" hidden="1" x14ac:dyDescent="0.2">
      <c r="A64" s="84"/>
      <c r="B64" s="92" t="s">
        <v>1</v>
      </c>
      <c r="C64" s="92"/>
      <c r="D64" s="84"/>
      <c r="E64" s="84"/>
      <c r="F64" s="93"/>
      <c r="G64" s="92"/>
    </row>
    <row r="65" spans="1:7" hidden="1" x14ac:dyDescent="0.2">
      <c r="A65" s="1">
        <v>1</v>
      </c>
      <c r="B65" s="5">
        <v>1</v>
      </c>
      <c r="C65" s="5">
        <f>C64+D65</f>
        <v>1</v>
      </c>
      <c r="D65" s="1">
        <v>1</v>
      </c>
      <c r="F65" s="94" t="s">
        <v>330</v>
      </c>
      <c r="G65" s="9" t="s">
        <v>348</v>
      </c>
    </row>
    <row r="66" spans="1:7" ht="30" hidden="1" x14ac:dyDescent="0.2">
      <c r="A66" s="1">
        <v>2</v>
      </c>
      <c r="B66" s="5">
        <v>2</v>
      </c>
      <c r="C66" s="5">
        <f>C65+D66</f>
        <v>7</v>
      </c>
      <c r="D66" s="1">
        <v>6</v>
      </c>
      <c r="E66" s="2" t="s">
        <v>1</v>
      </c>
      <c r="F66" s="94" t="s">
        <v>329</v>
      </c>
      <c r="G66" s="9" t="s">
        <v>648</v>
      </c>
    </row>
    <row r="67" spans="1:7" hidden="1" x14ac:dyDescent="0.2">
      <c r="A67" s="1">
        <v>3</v>
      </c>
      <c r="B67" s="5">
        <v>8</v>
      </c>
      <c r="C67" s="5">
        <f>C66+D67</f>
        <v>1000</v>
      </c>
      <c r="D67" s="1">
        <v>993</v>
      </c>
      <c r="F67" s="94" t="s">
        <v>330</v>
      </c>
      <c r="G67" s="9" t="s">
        <v>620</v>
      </c>
    </row>
  </sheetData>
  <pageMargins left="0" right="0" top="0.19685039370078741" bottom="0.19685039370078741" header="0.59055118110236227" footer="0"/>
  <pageSetup paperSize="9" scale="50" orientation="portrait" useFirstPageNumber="1" horizontalDpi="360" verticalDpi="36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20481" r:id="rId4">
          <objectPr defaultSize="0" autoPict="0" r:id="rId5">
            <anchor moveWithCells="1" sizeWithCells="1">
              <from>
                <xdr:col>0</xdr:col>
                <xdr:colOff>180975</xdr:colOff>
                <xdr:row>0</xdr:row>
                <xdr:rowOff>28575</xdr:rowOff>
              </from>
              <to>
                <xdr:col>0</xdr:col>
                <xdr:colOff>1362075</xdr:colOff>
                <xdr:row>2</xdr:row>
                <xdr:rowOff>0</xdr:rowOff>
              </to>
            </anchor>
          </objectPr>
        </oleObject>
      </mc:Choice>
      <mc:Fallback>
        <oleObject progId="MSPhotoEd.3" shapeId="20481" r:id="rId4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J61"/>
  <sheetViews>
    <sheetView topLeftCell="A16" workbookViewId="0">
      <selection activeCell="H27" sqref="C27:H27"/>
    </sheetView>
  </sheetViews>
  <sheetFormatPr baseColWidth="10" defaultColWidth="11.5546875" defaultRowHeight="11.25" x14ac:dyDescent="0.15"/>
  <cols>
    <col min="1" max="1" width="0.6640625" style="40" customWidth="1"/>
    <col min="2" max="2" width="16.21875" style="40" customWidth="1"/>
    <col min="3" max="3" width="4.109375" style="40" customWidth="1"/>
    <col min="4" max="4" width="6.6640625" style="40" customWidth="1"/>
    <col min="5" max="5" width="3.109375" style="40" customWidth="1"/>
    <col min="6" max="6" width="11.5546875" style="40"/>
    <col min="7" max="7" width="8.33203125" style="275" customWidth="1"/>
    <col min="8" max="8" width="22.88671875" style="40" customWidth="1"/>
    <col min="9" max="9" width="11.5546875" style="40"/>
    <col min="10" max="10" width="17.6640625" style="40" customWidth="1"/>
    <col min="11" max="16384" width="11.5546875" style="40"/>
  </cols>
  <sheetData>
    <row r="1" spans="2:10" x14ac:dyDescent="0.15">
      <c r="B1" s="45" t="s">
        <v>557</v>
      </c>
      <c r="C1" s="46"/>
      <c r="D1" s="45"/>
      <c r="E1" s="47"/>
      <c r="F1" s="45"/>
      <c r="G1" s="49"/>
      <c r="H1" s="46"/>
    </row>
    <row r="2" spans="2:10" x14ac:dyDescent="0.15">
      <c r="B2" s="45" t="s">
        <v>11</v>
      </c>
      <c r="C2" s="46"/>
      <c r="D2" s="45">
        <v>220</v>
      </c>
      <c r="E2" s="47"/>
      <c r="F2" s="45"/>
      <c r="G2" s="49"/>
      <c r="H2" s="46"/>
    </row>
    <row r="3" spans="2:10" ht="15" x14ac:dyDescent="0.15">
      <c r="B3" s="45" t="s">
        <v>19</v>
      </c>
      <c r="C3" s="46"/>
      <c r="D3" s="417" t="s">
        <v>1244</v>
      </c>
      <c r="E3" s="47"/>
      <c r="F3" s="45"/>
      <c r="G3" s="49"/>
      <c r="H3" s="45" t="s">
        <v>1243</v>
      </c>
    </row>
    <row r="4" spans="2:10" x14ac:dyDescent="0.15">
      <c r="B4" s="45" t="s">
        <v>13</v>
      </c>
      <c r="C4" s="46"/>
      <c r="D4" s="45" t="s">
        <v>525</v>
      </c>
      <c r="E4" s="47"/>
      <c r="F4" s="45"/>
      <c r="G4" s="49"/>
      <c r="H4" s="46"/>
    </row>
    <row r="5" spans="2:10" ht="12.75" x14ac:dyDescent="0.2">
      <c r="B5" s="49" t="s">
        <v>274</v>
      </c>
      <c r="C5" s="46"/>
      <c r="D5" s="10" t="s">
        <v>1174</v>
      </c>
      <c r="E5" s="47"/>
      <c r="F5" s="45"/>
      <c r="G5" s="49"/>
      <c r="H5" s="46"/>
    </row>
    <row r="6" spans="2:10" x14ac:dyDescent="0.15">
      <c r="B6" s="49" t="s">
        <v>0</v>
      </c>
      <c r="C6" s="46"/>
      <c r="D6" s="45"/>
      <c r="E6" s="47"/>
      <c r="F6" s="45"/>
      <c r="G6" s="49"/>
      <c r="H6" s="46"/>
    </row>
    <row r="7" spans="2:10" x14ac:dyDescent="0.15">
      <c r="B7" s="50" t="s">
        <v>2</v>
      </c>
      <c r="C7" s="51" t="s">
        <v>1</v>
      </c>
      <c r="D7" s="49" t="s">
        <v>3</v>
      </c>
      <c r="E7" s="47">
        <v>220</v>
      </c>
      <c r="F7" s="49" t="s">
        <v>4</v>
      </c>
      <c r="G7" s="58"/>
      <c r="H7" s="45"/>
    </row>
    <row r="8" spans="2:10" x14ac:dyDescent="0.15">
      <c r="B8" s="52"/>
      <c r="C8" s="46"/>
      <c r="D8" s="45"/>
      <c r="E8" s="47"/>
      <c r="F8" s="45"/>
      <c r="G8" s="58"/>
      <c r="H8" s="45"/>
    </row>
    <row r="9" spans="2:10" ht="45" x14ac:dyDescent="0.15">
      <c r="B9" s="53" t="s">
        <v>5</v>
      </c>
      <c r="C9" s="54" t="s">
        <v>12</v>
      </c>
      <c r="D9" s="55" t="s">
        <v>6</v>
      </c>
      <c r="E9" s="56" t="s">
        <v>217</v>
      </c>
      <c r="F9" s="55" t="s">
        <v>7</v>
      </c>
      <c r="G9" s="274" t="s">
        <v>29</v>
      </c>
      <c r="H9" s="55" t="s">
        <v>8</v>
      </c>
      <c r="I9" s="57" t="s">
        <v>337</v>
      </c>
    </row>
    <row r="10" spans="2:10" x14ac:dyDescent="0.15">
      <c r="B10" s="58" t="s">
        <v>1</v>
      </c>
      <c r="C10" s="418">
        <v>1</v>
      </c>
      <c r="D10" s="418">
        <v>1</v>
      </c>
      <c r="E10" s="419">
        <f>C10+D10-1</f>
        <v>1</v>
      </c>
      <c r="F10" s="420" t="s">
        <v>330</v>
      </c>
      <c r="G10" s="421" t="s">
        <v>1</v>
      </c>
      <c r="H10" s="421" t="s">
        <v>1245</v>
      </c>
      <c r="I10" s="45"/>
      <c r="J10" s="40" t="str">
        <f t="shared" ref="J10:J16" si="0">MID($B$50,C10,D10)</f>
        <v>0</v>
      </c>
    </row>
    <row r="11" spans="2:10" x14ac:dyDescent="0.15">
      <c r="B11" s="61" t="s">
        <v>1</v>
      </c>
      <c r="C11" s="418">
        <f t="shared" ref="C11:C16" si="1">E10+1</f>
        <v>2</v>
      </c>
      <c r="D11" s="418">
        <v>2</v>
      </c>
      <c r="E11" s="419">
        <f t="shared" ref="E11:E16" si="2">E10+D11</f>
        <v>3</v>
      </c>
      <c r="F11" s="420" t="s">
        <v>330</v>
      </c>
      <c r="G11" s="420"/>
      <c r="H11" s="421" t="s">
        <v>561</v>
      </c>
      <c r="J11" s="40" t="str">
        <f t="shared" si="0"/>
        <v>18</v>
      </c>
    </row>
    <row r="12" spans="2:10" ht="12" x14ac:dyDescent="0.2">
      <c r="B12" s="61" t="s">
        <v>473</v>
      </c>
      <c r="C12" s="422">
        <f t="shared" si="1"/>
        <v>4</v>
      </c>
      <c r="D12" s="422">
        <v>8</v>
      </c>
      <c r="E12" s="47">
        <f t="shared" si="2"/>
        <v>11</v>
      </c>
      <c r="F12" s="49" t="s">
        <v>329</v>
      </c>
      <c r="G12" s="58" t="s">
        <v>30</v>
      </c>
      <c r="H12" s="58" t="s">
        <v>218</v>
      </c>
      <c r="J12" s="40" t="str">
        <f t="shared" si="0"/>
        <v>20130304</v>
      </c>
    </row>
    <row r="13" spans="2:10" ht="12" x14ac:dyDescent="0.2">
      <c r="B13" s="61" t="s">
        <v>474</v>
      </c>
      <c r="C13" s="422">
        <f t="shared" si="1"/>
        <v>12</v>
      </c>
      <c r="D13" s="422">
        <v>6</v>
      </c>
      <c r="E13" s="47">
        <f t="shared" si="2"/>
        <v>17</v>
      </c>
      <c r="F13" s="49" t="s">
        <v>329</v>
      </c>
      <c r="G13" s="49" t="s">
        <v>47</v>
      </c>
      <c r="H13" s="58" t="s">
        <v>275</v>
      </c>
      <c r="J13" s="40" t="str">
        <f t="shared" si="0"/>
        <v>135452</v>
      </c>
    </row>
    <row r="14" spans="2:10" ht="12" x14ac:dyDescent="0.2">
      <c r="B14" s="61" t="s">
        <v>475</v>
      </c>
      <c r="C14" s="422">
        <f t="shared" si="1"/>
        <v>18</v>
      </c>
      <c r="D14" s="422" t="s">
        <v>1247</v>
      </c>
      <c r="E14" s="47">
        <f t="shared" si="2"/>
        <v>24</v>
      </c>
      <c r="F14" s="49" t="s">
        <v>329</v>
      </c>
      <c r="G14" s="58"/>
      <c r="H14" s="58" t="s">
        <v>125</v>
      </c>
      <c r="J14" s="40" t="str">
        <f t="shared" si="0"/>
        <v>0000008</v>
      </c>
    </row>
    <row r="15" spans="2:10" ht="12" x14ac:dyDescent="0.2">
      <c r="B15" s="61" t="s">
        <v>1</v>
      </c>
      <c r="C15" s="422">
        <f t="shared" si="1"/>
        <v>25</v>
      </c>
      <c r="D15" s="422" t="s">
        <v>1249</v>
      </c>
      <c r="E15" s="47">
        <f t="shared" si="2"/>
        <v>39</v>
      </c>
      <c r="F15" s="420" t="s">
        <v>329</v>
      </c>
      <c r="G15" s="420"/>
      <c r="H15" s="421" t="s">
        <v>1250</v>
      </c>
      <c r="J15" s="40" t="str">
        <f t="shared" si="0"/>
        <v>000000001426496</v>
      </c>
    </row>
    <row r="16" spans="2:10" ht="12" x14ac:dyDescent="0.2">
      <c r="B16" s="45" t="s">
        <v>467</v>
      </c>
      <c r="C16" s="422">
        <f t="shared" si="1"/>
        <v>40</v>
      </c>
      <c r="D16" s="422" t="s">
        <v>1198</v>
      </c>
      <c r="E16" s="47">
        <f t="shared" si="2"/>
        <v>220</v>
      </c>
      <c r="F16" s="49"/>
      <c r="G16" s="58"/>
      <c r="H16" s="58" t="s">
        <v>471</v>
      </c>
      <c r="J16" s="40" t="str">
        <f t="shared" si="0"/>
        <v xml:space="preserve">00000000000000000000000000008  </v>
      </c>
    </row>
    <row r="17" spans="2:10" x14ac:dyDescent="0.15">
      <c r="C17" s="46"/>
      <c r="D17" s="45"/>
      <c r="E17" s="47"/>
      <c r="F17" s="45"/>
      <c r="G17" s="49"/>
      <c r="H17" s="46"/>
    </row>
    <row r="18" spans="2:10" ht="45" x14ac:dyDescent="0.15">
      <c r="B18" s="53" t="s">
        <v>5</v>
      </c>
      <c r="C18" s="54" t="s">
        <v>12</v>
      </c>
      <c r="D18" s="55" t="s">
        <v>6</v>
      </c>
      <c r="E18" s="56" t="s">
        <v>217</v>
      </c>
      <c r="F18" s="55" t="s">
        <v>7</v>
      </c>
      <c r="G18" s="274" t="s">
        <v>29</v>
      </c>
      <c r="H18" s="55" t="s">
        <v>8</v>
      </c>
      <c r="I18" s="57" t="s">
        <v>337</v>
      </c>
    </row>
    <row r="19" spans="2:10" x14ac:dyDescent="0.15">
      <c r="B19" s="40" t="s">
        <v>558</v>
      </c>
      <c r="C19" s="46">
        <v>1</v>
      </c>
      <c r="D19" s="46">
        <v>1</v>
      </c>
      <c r="E19" s="47">
        <f>C19+D19-1</f>
        <v>1</v>
      </c>
      <c r="F19" s="49" t="s">
        <v>330</v>
      </c>
      <c r="G19" s="49"/>
      <c r="H19" s="58" t="s">
        <v>559</v>
      </c>
      <c r="J19" s="40" t="str">
        <f t="shared" ref="J19:J47" si="3">MID($B$49,C19,D19)</f>
        <v>1</v>
      </c>
    </row>
    <row r="20" spans="2:10" x14ac:dyDescent="0.15">
      <c r="B20" s="40" t="s">
        <v>560</v>
      </c>
      <c r="C20" s="402">
        <f>E19+1</f>
        <v>2</v>
      </c>
      <c r="D20" s="402">
        <v>2</v>
      </c>
      <c r="E20" s="404">
        <f>E19+D20</f>
        <v>3</v>
      </c>
      <c r="F20" s="405" t="s">
        <v>330</v>
      </c>
      <c r="G20" s="405"/>
      <c r="H20" s="407" t="s">
        <v>561</v>
      </c>
      <c r="I20" s="408"/>
      <c r="J20" s="408" t="str">
        <f t="shared" si="3"/>
        <v>18</v>
      </c>
    </row>
    <row r="21" spans="2:10" x14ac:dyDescent="0.15">
      <c r="B21" s="40" t="s">
        <v>562</v>
      </c>
      <c r="C21" s="46">
        <f t="shared" ref="C21:C43" si="4">E20+1</f>
        <v>4</v>
      </c>
      <c r="D21" s="46">
        <v>3</v>
      </c>
      <c r="E21" s="47">
        <f t="shared" ref="E21:E43" si="5">E20+D21</f>
        <v>6</v>
      </c>
      <c r="F21" s="49" t="s">
        <v>330</v>
      </c>
      <c r="G21" s="49"/>
      <c r="H21" s="58" t="s">
        <v>563</v>
      </c>
      <c r="J21" s="40" t="str">
        <f t="shared" si="3"/>
        <v>181</v>
      </c>
    </row>
    <row r="22" spans="2:10" x14ac:dyDescent="0.15">
      <c r="B22" s="40" t="s">
        <v>564</v>
      </c>
      <c r="C22" s="46">
        <f t="shared" si="4"/>
        <v>7</v>
      </c>
      <c r="D22" s="46">
        <v>14</v>
      </c>
      <c r="E22" s="47">
        <f t="shared" si="5"/>
        <v>20</v>
      </c>
      <c r="F22" s="49" t="s">
        <v>330</v>
      </c>
      <c r="G22" s="49"/>
      <c r="H22" s="58" t="s">
        <v>565</v>
      </c>
      <c r="J22" s="40" t="str">
        <f t="shared" si="3"/>
        <v>00000000000000</v>
      </c>
    </row>
    <row r="23" spans="2:10" x14ac:dyDescent="0.15">
      <c r="B23" s="40" t="s">
        <v>566</v>
      </c>
      <c r="C23" s="402">
        <f t="shared" si="4"/>
        <v>21</v>
      </c>
      <c r="D23" s="402">
        <v>19</v>
      </c>
      <c r="E23" s="404">
        <f t="shared" si="5"/>
        <v>39</v>
      </c>
      <c r="F23" s="405" t="s">
        <v>330</v>
      </c>
      <c r="G23" s="405"/>
      <c r="H23" s="407" t="s">
        <v>567</v>
      </c>
      <c r="I23" s="408"/>
      <c r="J23" s="408" t="str">
        <f t="shared" si="3"/>
        <v>0005216280000000445</v>
      </c>
    </row>
    <row r="24" spans="2:10" x14ac:dyDescent="0.15">
      <c r="B24" s="40" t="s">
        <v>568</v>
      </c>
      <c r="C24" s="46">
        <f t="shared" si="4"/>
        <v>40</v>
      </c>
      <c r="D24" s="46">
        <v>4</v>
      </c>
      <c r="E24" s="47">
        <f t="shared" si="5"/>
        <v>43</v>
      </c>
      <c r="F24" s="49" t="s">
        <v>330</v>
      </c>
      <c r="G24" s="49"/>
      <c r="H24" s="58" t="s">
        <v>569</v>
      </c>
      <c r="J24" s="40" t="str">
        <f t="shared" si="3"/>
        <v>0000</v>
      </c>
    </row>
    <row r="25" spans="2:10" x14ac:dyDescent="0.15">
      <c r="B25" s="40" t="s">
        <v>570</v>
      </c>
      <c r="C25" s="423">
        <f t="shared" si="4"/>
        <v>44</v>
      </c>
      <c r="D25" s="423">
        <v>8</v>
      </c>
      <c r="E25" s="424">
        <f t="shared" si="5"/>
        <v>51</v>
      </c>
      <c r="F25" s="425" t="s">
        <v>330</v>
      </c>
      <c r="G25" s="425" t="s">
        <v>30</v>
      </c>
      <c r="H25" s="426" t="s">
        <v>571</v>
      </c>
      <c r="I25" s="432"/>
      <c r="J25" s="432" t="str">
        <f t="shared" si="3"/>
        <v>20130304</v>
      </c>
    </row>
    <row r="26" spans="2:10" x14ac:dyDescent="0.15">
      <c r="B26" s="40" t="s">
        <v>572</v>
      </c>
      <c r="C26" s="46">
        <f t="shared" si="4"/>
        <v>52</v>
      </c>
      <c r="D26" s="46">
        <v>2</v>
      </c>
      <c r="E26" s="47">
        <f t="shared" si="5"/>
        <v>53</v>
      </c>
      <c r="F26" s="49" t="s">
        <v>330</v>
      </c>
      <c r="G26" s="49"/>
      <c r="H26" s="58" t="s">
        <v>573</v>
      </c>
      <c r="J26" s="40" t="str">
        <f t="shared" si="3"/>
        <v>01</v>
      </c>
    </row>
    <row r="27" spans="2:10" x14ac:dyDescent="0.15">
      <c r="B27" s="40" t="s">
        <v>574</v>
      </c>
      <c r="C27" s="535">
        <f t="shared" si="4"/>
        <v>54</v>
      </c>
      <c r="D27" s="535">
        <v>3</v>
      </c>
      <c r="E27" s="536">
        <f t="shared" si="5"/>
        <v>56</v>
      </c>
      <c r="F27" s="537" t="s">
        <v>330</v>
      </c>
      <c r="G27" s="537"/>
      <c r="H27" s="538" t="s">
        <v>575</v>
      </c>
      <c r="J27" s="40" t="str">
        <f t="shared" si="3"/>
        <v>052</v>
      </c>
    </row>
    <row r="28" spans="2:10" x14ac:dyDescent="0.15">
      <c r="B28" s="40" t="s">
        <v>576</v>
      </c>
      <c r="C28" s="402">
        <f t="shared" si="4"/>
        <v>57</v>
      </c>
      <c r="D28" s="402">
        <v>19</v>
      </c>
      <c r="E28" s="404">
        <f t="shared" si="5"/>
        <v>75</v>
      </c>
      <c r="F28" s="405" t="s">
        <v>330</v>
      </c>
      <c r="G28" s="405"/>
      <c r="H28" s="407" t="s">
        <v>83</v>
      </c>
      <c r="I28" s="408"/>
      <c r="J28" s="408" t="str">
        <f t="shared" si="3"/>
        <v>0005216280000000445</v>
      </c>
    </row>
    <row r="29" spans="2:10" x14ac:dyDescent="0.15">
      <c r="B29" s="40" t="s">
        <v>577</v>
      </c>
      <c r="C29" s="402">
        <f t="shared" si="4"/>
        <v>76</v>
      </c>
      <c r="D29" s="402">
        <v>15</v>
      </c>
      <c r="E29" s="404">
        <f t="shared" si="5"/>
        <v>90</v>
      </c>
      <c r="F29" s="405" t="s">
        <v>329</v>
      </c>
      <c r="G29" s="405"/>
      <c r="H29" s="407" t="s">
        <v>578</v>
      </c>
      <c r="I29" s="408"/>
      <c r="J29" s="408" t="str">
        <f t="shared" si="3"/>
        <v>000000000361397</v>
      </c>
    </row>
    <row r="30" spans="2:10" x14ac:dyDescent="0.15">
      <c r="B30" s="40" t="s">
        <v>579</v>
      </c>
      <c r="C30" s="46">
        <f t="shared" si="4"/>
        <v>91</v>
      </c>
      <c r="D30" s="46">
        <v>4</v>
      </c>
      <c r="E30" s="47">
        <f t="shared" si="5"/>
        <v>94</v>
      </c>
      <c r="F30" s="49" t="s">
        <v>330</v>
      </c>
      <c r="G30" s="49"/>
      <c r="H30" s="58" t="s">
        <v>580</v>
      </c>
      <c r="J30" s="40" t="str">
        <f t="shared" si="3"/>
        <v>0604</v>
      </c>
    </row>
    <row r="31" spans="2:10" x14ac:dyDescent="0.15">
      <c r="B31" s="40" t="s">
        <v>581</v>
      </c>
      <c r="C31" s="46">
        <f t="shared" si="4"/>
        <v>95</v>
      </c>
      <c r="D31" s="46">
        <v>3</v>
      </c>
      <c r="E31" s="47">
        <f t="shared" si="5"/>
        <v>97</v>
      </c>
      <c r="F31" s="49" t="s">
        <v>330</v>
      </c>
      <c r="G31" s="49"/>
      <c r="H31" s="58" t="s">
        <v>582</v>
      </c>
      <c r="J31" s="40" t="str">
        <f t="shared" si="3"/>
        <v>001</v>
      </c>
    </row>
    <row r="32" spans="2:10" x14ac:dyDescent="0.15">
      <c r="B32" s="40" t="s">
        <v>583</v>
      </c>
      <c r="C32" s="46">
        <f t="shared" si="4"/>
        <v>98</v>
      </c>
      <c r="D32" s="46">
        <v>10</v>
      </c>
      <c r="E32" s="47">
        <f t="shared" si="5"/>
        <v>107</v>
      </c>
      <c r="F32" s="49" t="s">
        <v>329</v>
      </c>
      <c r="G32" s="49"/>
      <c r="H32" s="58" t="s">
        <v>584</v>
      </c>
      <c r="J32" s="40" t="str">
        <f t="shared" si="3"/>
        <v>0000000000</v>
      </c>
    </row>
    <row r="33" spans="2:10" x14ac:dyDescent="0.15">
      <c r="B33" s="40" t="s">
        <v>585</v>
      </c>
      <c r="C33" s="46">
        <f t="shared" si="4"/>
        <v>108</v>
      </c>
      <c r="D33" s="46">
        <v>15</v>
      </c>
      <c r="E33" s="47">
        <f t="shared" si="5"/>
        <v>122</v>
      </c>
      <c r="F33" s="49" t="s">
        <v>329</v>
      </c>
      <c r="G33" s="49"/>
      <c r="H33" s="58" t="s">
        <v>586</v>
      </c>
      <c r="J33" s="40" t="str">
        <f t="shared" si="3"/>
        <v>000000000000000</v>
      </c>
    </row>
    <row r="34" spans="2:10" x14ac:dyDescent="0.15">
      <c r="B34" s="40" t="s">
        <v>587</v>
      </c>
      <c r="C34" s="46">
        <f t="shared" si="4"/>
        <v>123</v>
      </c>
      <c r="D34" s="46">
        <v>30</v>
      </c>
      <c r="E34" s="47">
        <f t="shared" si="5"/>
        <v>152</v>
      </c>
      <c r="F34" s="49" t="s">
        <v>330</v>
      </c>
      <c r="G34" s="49"/>
      <c r="H34" s="58" t="s">
        <v>588</v>
      </c>
      <c r="J34" s="40" t="str">
        <f t="shared" si="3"/>
        <v xml:space="preserve">CARGO POR SOBRREGIRO          </v>
      </c>
    </row>
    <row r="35" spans="2:10" x14ac:dyDescent="0.15">
      <c r="B35" s="40" t="s">
        <v>589</v>
      </c>
      <c r="C35" s="46">
        <f t="shared" si="4"/>
        <v>153</v>
      </c>
      <c r="D35" s="46">
        <v>1</v>
      </c>
      <c r="E35" s="47">
        <f t="shared" si="5"/>
        <v>153</v>
      </c>
      <c r="F35" s="49" t="s">
        <v>330</v>
      </c>
      <c r="G35" s="49"/>
      <c r="H35" s="58" t="s">
        <v>590</v>
      </c>
      <c r="J35" s="40" t="str">
        <f t="shared" si="3"/>
        <v>1</v>
      </c>
    </row>
    <row r="36" spans="2:10" x14ac:dyDescent="0.15">
      <c r="B36" s="45" t="s">
        <v>591</v>
      </c>
      <c r="C36" s="46">
        <f t="shared" si="4"/>
        <v>154</v>
      </c>
      <c r="D36" s="46">
        <v>3</v>
      </c>
      <c r="E36" s="47">
        <f t="shared" si="5"/>
        <v>156</v>
      </c>
      <c r="F36" s="49" t="s">
        <v>330</v>
      </c>
      <c r="H36" s="58" t="s">
        <v>592</v>
      </c>
      <c r="J36" s="40" t="str">
        <f t="shared" si="3"/>
        <v>000</v>
      </c>
    </row>
    <row r="37" spans="2:10" x14ac:dyDescent="0.15">
      <c r="B37" s="45" t="s">
        <v>593</v>
      </c>
      <c r="C37" s="46">
        <f t="shared" si="4"/>
        <v>157</v>
      </c>
      <c r="D37" s="46">
        <v>11</v>
      </c>
      <c r="E37" s="47">
        <f t="shared" si="5"/>
        <v>167</v>
      </c>
      <c r="F37" s="49" t="s">
        <v>330</v>
      </c>
      <c r="H37" s="58" t="s">
        <v>594</v>
      </c>
      <c r="J37" s="40" t="str">
        <f t="shared" si="3"/>
        <v>00000000000</v>
      </c>
    </row>
    <row r="38" spans="2:10" x14ac:dyDescent="0.15">
      <c r="B38" s="45" t="s">
        <v>595</v>
      </c>
      <c r="C38" s="418">
        <f t="shared" si="4"/>
        <v>168</v>
      </c>
      <c r="D38" s="418">
        <v>14</v>
      </c>
      <c r="E38" s="419">
        <f t="shared" si="5"/>
        <v>181</v>
      </c>
      <c r="F38" s="420" t="s">
        <v>330</v>
      </c>
      <c r="G38" s="433"/>
      <c r="H38" s="421" t="s">
        <v>596</v>
      </c>
      <c r="I38" s="434"/>
      <c r="J38" s="434" t="str">
        <f t="shared" si="3"/>
        <v>00004024329742</v>
      </c>
    </row>
    <row r="39" spans="2:10" x14ac:dyDescent="0.15">
      <c r="B39" s="45" t="s">
        <v>597</v>
      </c>
      <c r="C39" s="46">
        <f t="shared" si="4"/>
        <v>182</v>
      </c>
      <c r="D39" s="46">
        <v>7</v>
      </c>
      <c r="E39" s="47">
        <f t="shared" si="5"/>
        <v>188</v>
      </c>
      <c r="F39" s="49" t="s">
        <v>330</v>
      </c>
      <c r="H39" s="58" t="s">
        <v>598</v>
      </c>
      <c r="J39" s="40" t="str">
        <f t="shared" si="3"/>
        <v>0000000</v>
      </c>
    </row>
    <row r="40" spans="2:10" x14ac:dyDescent="0.15">
      <c r="B40" s="45" t="s">
        <v>599</v>
      </c>
      <c r="C40" s="46">
        <f t="shared" si="4"/>
        <v>189</v>
      </c>
      <c r="D40" s="46">
        <v>6</v>
      </c>
      <c r="E40" s="47">
        <f t="shared" si="5"/>
        <v>194</v>
      </c>
      <c r="F40" s="49" t="s">
        <v>330</v>
      </c>
      <c r="H40" s="58" t="s">
        <v>600</v>
      </c>
      <c r="J40" s="40" t="str">
        <f t="shared" si="3"/>
        <v>000000</v>
      </c>
    </row>
    <row r="41" spans="2:10" x14ac:dyDescent="0.15">
      <c r="B41" s="45" t="s">
        <v>601</v>
      </c>
      <c r="C41" s="402">
        <f t="shared" si="4"/>
        <v>195</v>
      </c>
      <c r="D41" s="402">
        <v>8</v>
      </c>
      <c r="E41" s="404">
        <f t="shared" si="5"/>
        <v>202</v>
      </c>
      <c r="F41" s="405" t="s">
        <v>330</v>
      </c>
      <c r="G41" s="405" t="s">
        <v>30</v>
      </c>
      <c r="H41" s="407" t="s">
        <v>602</v>
      </c>
      <c r="I41" s="408"/>
      <c r="J41" s="408" t="str">
        <f t="shared" si="3"/>
        <v>20130304</v>
      </c>
    </row>
    <row r="42" spans="2:10" x14ac:dyDescent="0.15">
      <c r="B42" s="45" t="s">
        <v>603</v>
      </c>
      <c r="C42" s="402">
        <f t="shared" si="4"/>
        <v>203</v>
      </c>
      <c r="D42" s="402">
        <v>5</v>
      </c>
      <c r="E42" s="404">
        <f t="shared" si="5"/>
        <v>207</v>
      </c>
      <c r="F42" s="405" t="s">
        <v>330</v>
      </c>
      <c r="G42" s="435"/>
      <c r="H42" s="407" t="s">
        <v>604</v>
      </c>
      <c r="I42" s="408"/>
      <c r="J42" s="408" t="str">
        <f t="shared" si="3"/>
        <v>00000</v>
      </c>
    </row>
    <row r="43" spans="2:10" x14ac:dyDescent="0.15">
      <c r="B43" s="45" t="s">
        <v>605</v>
      </c>
      <c r="C43" s="402">
        <f t="shared" si="4"/>
        <v>208</v>
      </c>
      <c r="D43" s="402">
        <v>3</v>
      </c>
      <c r="E43" s="404">
        <f t="shared" si="5"/>
        <v>210</v>
      </c>
      <c r="F43" s="405" t="s">
        <v>330</v>
      </c>
      <c r="G43" s="435"/>
      <c r="H43" s="407" t="s">
        <v>606</v>
      </c>
      <c r="I43" s="408"/>
      <c r="J43" s="408" t="str">
        <f t="shared" si="3"/>
        <v>000</v>
      </c>
    </row>
    <row r="44" spans="2:10" x14ac:dyDescent="0.15">
      <c r="B44" s="45" t="s">
        <v>607</v>
      </c>
      <c r="C44" s="46">
        <f>E43+1</f>
        <v>211</v>
      </c>
      <c r="D44" s="46">
        <v>4</v>
      </c>
      <c r="E44" s="47">
        <f>E43+D44</f>
        <v>214</v>
      </c>
      <c r="F44" s="49" t="s">
        <v>330</v>
      </c>
      <c r="H44" s="58" t="s">
        <v>467</v>
      </c>
      <c r="J44" s="428" t="str">
        <f t="shared" si="3"/>
        <v xml:space="preserve">    </v>
      </c>
    </row>
    <row r="45" spans="2:10" s="409" customFormat="1" ht="22.5" x14ac:dyDescent="0.2">
      <c r="B45" s="411"/>
      <c r="C45" s="410">
        <f>E44+1</f>
        <v>215</v>
      </c>
      <c r="D45" s="410">
        <v>1</v>
      </c>
      <c r="E45" s="412">
        <f>E44+D45</f>
        <v>215</v>
      </c>
      <c r="F45" s="413" t="s">
        <v>330</v>
      </c>
      <c r="G45" s="429"/>
      <c r="H45" s="415" t="s">
        <v>1251</v>
      </c>
      <c r="I45" s="430"/>
      <c r="J45" s="431" t="str">
        <f t="shared" si="3"/>
        <v>T</v>
      </c>
    </row>
    <row r="46" spans="2:10" s="409" customFormat="1" x14ac:dyDescent="0.2">
      <c r="B46" s="411"/>
      <c r="C46" s="410">
        <f>E45+1</f>
        <v>216</v>
      </c>
      <c r="D46" s="410">
        <v>4</v>
      </c>
      <c r="E46" s="412">
        <f>E45+D46</f>
        <v>219</v>
      </c>
      <c r="F46" s="413" t="s">
        <v>330</v>
      </c>
      <c r="G46" s="429"/>
      <c r="H46" s="415" t="s">
        <v>1252</v>
      </c>
      <c r="I46" s="430"/>
      <c r="J46" s="431" t="str">
        <f t="shared" si="3"/>
        <v xml:space="preserve">    </v>
      </c>
    </row>
    <row r="47" spans="2:10" x14ac:dyDescent="0.15">
      <c r="B47" s="45" t="s">
        <v>608</v>
      </c>
      <c r="C47" s="46">
        <f>E46+1</f>
        <v>220</v>
      </c>
      <c r="D47" s="46">
        <v>1</v>
      </c>
      <c r="E47" s="47">
        <f>E46+D47</f>
        <v>220</v>
      </c>
      <c r="F47" s="49" t="s">
        <v>330</v>
      </c>
      <c r="H47" s="58" t="s">
        <v>609</v>
      </c>
      <c r="J47" s="40" t="str">
        <f t="shared" si="3"/>
        <v>*</v>
      </c>
    </row>
    <row r="48" spans="2:10" x14ac:dyDescent="0.15">
      <c r="B48" s="45"/>
      <c r="C48" s="46"/>
      <c r="D48" s="59"/>
      <c r="E48" s="47"/>
      <c r="F48" s="49"/>
      <c r="H48" s="58"/>
    </row>
    <row r="49" spans="2:8" x14ac:dyDescent="0.15">
      <c r="B49" s="45" t="s">
        <v>1248</v>
      </c>
      <c r="C49" s="46"/>
      <c r="D49" s="59"/>
      <c r="E49" s="47"/>
      <c r="F49" s="49"/>
      <c r="H49" s="58"/>
    </row>
    <row r="50" spans="2:8" x14ac:dyDescent="0.15">
      <c r="B50" s="427" t="s">
        <v>1246</v>
      </c>
      <c r="C50" s="46"/>
      <c r="D50" s="59"/>
      <c r="E50" s="47"/>
      <c r="F50" s="49"/>
      <c r="H50" s="58"/>
    </row>
    <row r="51" spans="2:8" x14ac:dyDescent="0.15">
      <c r="B51" s="45"/>
      <c r="C51" s="46"/>
      <c r="D51" s="59"/>
      <c r="E51" s="47"/>
      <c r="F51" s="49"/>
      <c r="H51" s="58"/>
    </row>
    <row r="52" spans="2:8" x14ac:dyDescent="0.15">
      <c r="B52" s="45"/>
      <c r="C52" s="46"/>
      <c r="D52" s="59"/>
      <c r="E52" s="47"/>
      <c r="F52" s="49"/>
      <c r="H52" s="58"/>
    </row>
    <row r="53" spans="2:8" x14ac:dyDescent="0.15">
      <c r="B53" s="45"/>
      <c r="C53" s="46"/>
      <c r="D53" s="59"/>
      <c r="E53" s="47"/>
      <c r="F53" s="49"/>
      <c r="H53" s="58"/>
    </row>
    <row r="54" spans="2:8" x14ac:dyDescent="0.15">
      <c r="B54" s="45"/>
      <c r="C54" s="46"/>
      <c r="D54" s="59"/>
      <c r="E54" s="47"/>
      <c r="F54" s="49"/>
      <c r="H54" s="58"/>
    </row>
    <row r="55" spans="2:8" x14ac:dyDescent="0.15">
      <c r="B55" s="45"/>
      <c r="C55" s="46"/>
      <c r="D55" s="59"/>
      <c r="E55" s="47"/>
      <c r="F55" s="49"/>
      <c r="H55" s="58"/>
    </row>
    <row r="56" spans="2:8" x14ac:dyDescent="0.15">
      <c r="B56" s="45"/>
      <c r="C56" s="46"/>
      <c r="D56" s="59"/>
      <c r="E56" s="47"/>
      <c r="F56" s="49"/>
      <c r="H56" s="58"/>
    </row>
    <row r="57" spans="2:8" x14ac:dyDescent="0.15">
      <c r="B57" s="45"/>
      <c r="C57" s="46"/>
      <c r="D57" s="59"/>
      <c r="E57" s="47"/>
      <c r="F57" s="49"/>
      <c r="H57" s="58"/>
    </row>
    <row r="58" spans="2:8" x14ac:dyDescent="0.15">
      <c r="B58" s="45"/>
      <c r="C58" s="46"/>
      <c r="D58" s="59"/>
      <c r="E58" s="47"/>
      <c r="F58" s="49"/>
      <c r="H58" s="58"/>
    </row>
    <row r="59" spans="2:8" x14ac:dyDescent="0.15">
      <c r="C59" s="46"/>
      <c r="E59" s="47"/>
      <c r="F59" s="49"/>
    </row>
    <row r="60" spans="2:8" x14ac:dyDescent="0.15">
      <c r="C60" s="46"/>
      <c r="E60" s="47"/>
      <c r="F60" s="49"/>
    </row>
    <row r="61" spans="2:8" x14ac:dyDescent="0.15">
      <c r="C61" s="46"/>
    </row>
  </sheetData>
  <pageMargins left="0.75" right="0.75" top="1" bottom="1" header="0" footer="0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H23"/>
  <sheetViews>
    <sheetView zoomScale="90" zoomScaleNormal="90" workbookViewId="0">
      <selection activeCell="H12" sqref="H12:H16"/>
    </sheetView>
  </sheetViews>
  <sheetFormatPr baseColWidth="10" defaultRowHeight="15" x14ac:dyDescent="0.2"/>
  <cols>
    <col min="2" max="2" width="9.6640625" style="6" customWidth="1"/>
    <col min="4" max="4" width="10.21875" style="6" customWidth="1"/>
    <col min="6" max="6" width="10.6640625" customWidth="1"/>
    <col min="7" max="7" width="25.109375" style="6" customWidth="1"/>
  </cols>
  <sheetData>
    <row r="3" spans="1:8" x14ac:dyDescent="0.2">
      <c r="A3" s="10" t="s">
        <v>58</v>
      </c>
      <c r="B3" s="23"/>
      <c r="C3" s="10"/>
      <c r="D3" s="22"/>
      <c r="E3" s="10"/>
      <c r="F3" s="10"/>
      <c r="G3" s="6">
        <v>10</v>
      </c>
    </row>
    <row r="4" spans="1:8" x14ac:dyDescent="0.2">
      <c r="A4" s="10" t="s">
        <v>11</v>
      </c>
      <c r="B4" s="23"/>
      <c r="C4" s="10">
        <v>13</v>
      </c>
      <c r="D4" s="22"/>
      <c r="E4" s="10"/>
      <c r="F4" s="10"/>
      <c r="G4" s="22" t="s">
        <v>1241</v>
      </c>
    </row>
    <row r="5" spans="1:8" x14ac:dyDescent="0.2">
      <c r="A5" s="10" t="s">
        <v>19</v>
      </c>
      <c r="B5" s="23"/>
      <c r="C5" s="10" t="s">
        <v>59</v>
      </c>
      <c r="D5" s="22"/>
      <c r="E5" s="10" t="s">
        <v>22</v>
      </c>
      <c r="F5" s="10"/>
      <c r="G5" s="23"/>
    </row>
    <row r="6" spans="1:8" x14ac:dyDescent="0.2">
      <c r="A6" s="10" t="s">
        <v>13</v>
      </c>
      <c r="B6" s="23"/>
      <c r="C6" s="10" t="s">
        <v>309</v>
      </c>
      <c r="D6" s="22"/>
      <c r="E6" s="10"/>
      <c r="F6" s="10"/>
      <c r="G6" s="23"/>
    </row>
    <row r="7" spans="1:8" x14ac:dyDescent="0.2">
      <c r="A7" s="12" t="s">
        <v>274</v>
      </c>
      <c r="B7" s="23"/>
      <c r="C7" s="10" t="s">
        <v>344</v>
      </c>
      <c r="D7" s="22"/>
      <c r="E7" s="10"/>
      <c r="F7" s="10"/>
      <c r="G7" s="23"/>
    </row>
    <row r="8" spans="1:8" x14ac:dyDescent="0.2">
      <c r="A8" s="12" t="s">
        <v>0</v>
      </c>
      <c r="B8" s="23"/>
      <c r="C8" s="10"/>
      <c r="D8" s="22"/>
      <c r="E8" s="10"/>
      <c r="F8" s="10"/>
      <c r="G8" s="23"/>
    </row>
    <row r="9" spans="1:8" x14ac:dyDescent="0.2">
      <c r="A9" s="10"/>
      <c r="B9" s="23"/>
      <c r="C9" s="10"/>
      <c r="D9" s="22"/>
      <c r="E9" s="10"/>
      <c r="F9" s="10"/>
      <c r="G9" s="23"/>
    </row>
    <row r="10" spans="1:8" x14ac:dyDescent="0.2">
      <c r="A10" s="13" t="s">
        <v>10</v>
      </c>
      <c r="B10" s="29"/>
      <c r="C10" s="12" t="s">
        <v>3</v>
      </c>
      <c r="D10" s="22">
        <v>13</v>
      </c>
      <c r="E10" s="12" t="s">
        <v>4</v>
      </c>
      <c r="F10" s="10"/>
      <c r="G10" s="23"/>
    </row>
    <row r="11" spans="1:8" x14ac:dyDescent="0.2">
      <c r="A11" s="19"/>
      <c r="B11" s="23"/>
      <c r="C11" s="10"/>
      <c r="D11" s="22"/>
      <c r="E11" s="10"/>
      <c r="F11" s="10"/>
      <c r="G11" s="23"/>
    </row>
    <row r="12" spans="1:8" ht="25.5" x14ac:dyDescent="0.2">
      <c r="A12" s="15" t="s">
        <v>5</v>
      </c>
      <c r="B12" s="24" t="s">
        <v>12</v>
      </c>
      <c r="C12" s="16" t="s">
        <v>6</v>
      </c>
      <c r="D12" s="25" t="s">
        <v>217</v>
      </c>
      <c r="E12" s="16" t="s">
        <v>7</v>
      </c>
      <c r="F12" s="15" t="s">
        <v>29</v>
      </c>
      <c r="G12" s="26" t="s">
        <v>8</v>
      </c>
      <c r="H12" s="398" t="str">
        <f>CONCATENATE("01 BNFW5502-REG.")</f>
        <v>01 BNFW5502-REG.</v>
      </c>
    </row>
    <row r="13" spans="1:8" x14ac:dyDescent="0.2">
      <c r="A13" s="10">
        <v>1</v>
      </c>
      <c r="B13" s="23">
        <v>1</v>
      </c>
      <c r="C13" s="10">
        <v>3</v>
      </c>
      <c r="D13" s="22">
        <f>C13</f>
        <v>3</v>
      </c>
      <c r="E13" s="12" t="s">
        <v>329</v>
      </c>
      <c r="F13" s="10"/>
      <c r="G13" s="27" t="s">
        <v>513</v>
      </c>
      <c r="H13" s="398" t="str">
        <f>CONCATENATE("   02 BNFW5502-CODORG              PIC X(0",C13,").")</f>
        <v xml:space="preserve">   02 BNFW5502-CODORG              PIC X(03).</v>
      </c>
    </row>
    <row r="14" spans="1:8" x14ac:dyDescent="0.2">
      <c r="A14" s="10">
        <f>A13+1</f>
        <v>2</v>
      </c>
      <c r="B14" s="23">
        <f>D13+1</f>
        <v>4</v>
      </c>
      <c r="C14" s="21">
        <v>3</v>
      </c>
      <c r="D14" s="22">
        <f>D13+C14</f>
        <v>6</v>
      </c>
      <c r="E14" s="12" t="s">
        <v>329</v>
      </c>
      <c r="F14" s="10"/>
      <c r="G14" s="27" t="s">
        <v>326</v>
      </c>
      <c r="H14" s="398" t="str">
        <f>CONCATENATE("   02 BNFW5502-CODPRO              PIC X(0",C14,").")</f>
        <v xml:space="preserve">   02 BNFW5502-CODPRO              PIC X(03).</v>
      </c>
    </row>
    <row r="15" spans="1:8" x14ac:dyDescent="0.2">
      <c r="A15" s="10">
        <f>A14+1</f>
        <v>3</v>
      </c>
      <c r="B15" s="23">
        <f>D14+1</f>
        <v>7</v>
      </c>
      <c r="C15" s="21">
        <v>3</v>
      </c>
      <c r="D15" s="22">
        <f>D14+C15</f>
        <v>9</v>
      </c>
      <c r="E15" s="12" t="s">
        <v>330</v>
      </c>
      <c r="F15" s="10"/>
      <c r="G15" s="27" t="s">
        <v>272</v>
      </c>
      <c r="H15" s="398" t="str">
        <f>CONCATENATE("   02 BNFW5502-CALCLI              PIC X(0",C15,").")</f>
        <v xml:space="preserve">   02 BNFW5502-CALCLI              PIC X(03).</v>
      </c>
    </row>
    <row r="16" spans="1:8" x14ac:dyDescent="0.2">
      <c r="A16" s="10">
        <f>A15+1</f>
        <v>4</v>
      </c>
      <c r="B16" s="23">
        <f>D15+1</f>
        <v>10</v>
      </c>
      <c r="C16" s="21">
        <v>4</v>
      </c>
      <c r="D16" s="22">
        <f>D15+C16</f>
        <v>13</v>
      </c>
      <c r="E16" s="12" t="s">
        <v>330</v>
      </c>
      <c r="F16" s="10"/>
      <c r="G16" s="27" t="s">
        <v>40</v>
      </c>
      <c r="H16" s="398" t="str">
        <f>CONCATENATE("   02 BNFW5502-RESERV              PIC X(0",C16,").")</f>
        <v xml:space="preserve">   02 BNFW5502-RESERV              PIC X(04).</v>
      </c>
    </row>
    <row r="17" spans="1:7" x14ac:dyDescent="0.2">
      <c r="A17" s="10"/>
      <c r="B17" s="23"/>
      <c r="C17" s="21"/>
      <c r="D17" s="22"/>
      <c r="E17" s="12"/>
      <c r="F17" s="10"/>
      <c r="G17" s="27"/>
    </row>
    <row r="18" spans="1:7" x14ac:dyDescent="0.2">
      <c r="A18" s="10"/>
      <c r="B18" s="23"/>
      <c r="C18" s="21"/>
      <c r="D18" s="22"/>
      <c r="E18" s="12"/>
      <c r="F18" s="10"/>
      <c r="G18" s="27"/>
    </row>
    <row r="19" spans="1:7" x14ac:dyDescent="0.2">
      <c r="A19" s="1"/>
      <c r="B19" s="5"/>
      <c r="C19" s="4"/>
      <c r="D19" s="8"/>
      <c r="E19" s="2"/>
      <c r="G19" s="9"/>
    </row>
    <row r="20" spans="1:7" x14ac:dyDescent="0.2">
      <c r="A20" s="1"/>
      <c r="B20" s="5"/>
      <c r="C20" s="4"/>
      <c r="D20" s="8"/>
      <c r="E20" s="2"/>
      <c r="G20" s="9"/>
    </row>
    <row r="21" spans="1:7" x14ac:dyDescent="0.2">
      <c r="A21" s="1"/>
      <c r="B21" s="5"/>
      <c r="C21" s="4"/>
      <c r="D21" s="8"/>
      <c r="E21" s="2"/>
      <c r="G21" s="9"/>
    </row>
    <row r="22" spans="1:7" x14ac:dyDescent="0.2">
      <c r="A22" s="1"/>
      <c r="B22" s="5"/>
      <c r="C22" s="4"/>
      <c r="D22" s="8"/>
      <c r="E22" s="2"/>
      <c r="G22" s="9"/>
    </row>
    <row r="23" spans="1:7" x14ac:dyDescent="0.2">
      <c r="A23" s="1"/>
      <c r="B23" s="5"/>
      <c r="C23" s="4"/>
      <c r="D23" s="8"/>
      <c r="E23" s="2"/>
      <c r="G23" s="9"/>
    </row>
  </sheetData>
  <phoneticPr fontId="5" type="noConversion"/>
  <pageMargins left="0.75" right="0.75" top="1" bottom="1" header="0" footer="0"/>
  <pageSetup paperSize="9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4338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990600</xdr:colOff>
                <xdr:row>1</xdr:row>
                <xdr:rowOff>171450</xdr:rowOff>
              </to>
            </anchor>
          </objectPr>
        </oleObject>
      </mc:Choice>
      <mc:Fallback>
        <oleObject progId="MSPhotoEd.3" shapeId="14338" r:id="rId4"/>
      </mc:Fallback>
    </mc:AlternateContent>
  </oleObjec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10" workbookViewId="0">
      <selection activeCell="F25" sqref="F25"/>
    </sheetView>
  </sheetViews>
  <sheetFormatPr baseColWidth="10" defaultColWidth="11.5546875" defaultRowHeight="12.75" x14ac:dyDescent="0.2"/>
  <cols>
    <col min="1" max="1" width="11.5546875" style="74"/>
    <col min="2" max="3" width="6.33203125" style="74" customWidth="1"/>
    <col min="4" max="4" width="6.77734375" style="74" customWidth="1"/>
    <col min="5" max="5" width="11.5546875" style="74"/>
    <col min="6" max="6" width="6.33203125" style="77" customWidth="1"/>
    <col min="7" max="7" width="22.33203125" style="74" customWidth="1"/>
    <col min="8" max="8" width="34.5546875" style="74" customWidth="1"/>
    <col min="9" max="16384" width="11.5546875" style="74"/>
  </cols>
  <sheetData>
    <row r="1" spans="1:8" x14ac:dyDescent="0.2">
      <c r="A1" s="10" t="s">
        <v>353</v>
      </c>
      <c r="B1" s="23"/>
      <c r="C1" s="10"/>
      <c r="D1" s="22"/>
      <c r="E1" s="10"/>
      <c r="F1" s="36"/>
      <c r="G1" s="23"/>
    </row>
    <row r="2" spans="1:8" x14ac:dyDescent="0.2">
      <c r="A2" s="10" t="s">
        <v>11</v>
      </c>
      <c r="B2" s="23"/>
      <c r="C2" s="10">
        <f>D49</f>
        <v>341</v>
      </c>
      <c r="D2" s="22"/>
      <c r="E2" s="10"/>
      <c r="F2" s="36"/>
      <c r="G2" s="23"/>
    </row>
    <row r="3" spans="1:8" x14ac:dyDescent="0.2">
      <c r="A3" s="10" t="s">
        <v>19</v>
      </c>
      <c r="B3" s="23"/>
      <c r="C3" s="10" t="s">
        <v>354</v>
      </c>
      <c r="D3" s="22"/>
      <c r="E3" s="10" t="s">
        <v>22</v>
      </c>
      <c r="F3" s="36"/>
      <c r="G3" s="23"/>
    </row>
    <row r="4" spans="1:8" x14ac:dyDescent="0.2">
      <c r="A4" s="10" t="s">
        <v>13</v>
      </c>
      <c r="B4" s="23"/>
      <c r="C4" s="10" t="s">
        <v>309</v>
      </c>
      <c r="D4" s="22"/>
      <c r="E4" s="10"/>
      <c r="F4" s="36"/>
      <c r="G4" s="23"/>
      <c r="H4" s="74" t="s">
        <v>1</v>
      </c>
    </row>
    <row r="5" spans="1:8" x14ac:dyDescent="0.2">
      <c r="A5" s="12" t="s">
        <v>274</v>
      </c>
      <c r="B5" s="23"/>
      <c r="C5" s="10"/>
      <c r="D5" s="22"/>
      <c r="E5" s="10"/>
      <c r="F5" s="36"/>
      <c r="G5" s="23"/>
    </row>
    <row r="6" spans="1:8" x14ac:dyDescent="0.2">
      <c r="A6" s="12" t="s">
        <v>0</v>
      </c>
      <c r="B6" s="23"/>
      <c r="C6" s="10"/>
      <c r="D6" s="22"/>
      <c r="E6" s="10"/>
      <c r="F6" s="36"/>
      <c r="G6" s="23"/>
    </row>
    <row r="7" spans="1:8" x14ac:dyDescent="0.2">
      <c r="A7" s="10"/>
      <c r="B7" s="23"/>
      <c r="C7" s="10"/>
      <c r="D7" s="22"/>
      <c r="E7" s="10"/>
      <c r="F7" s="36"/>
      <c r="G7" s="23"/>
    </row>
    <row r="8" spans="1:8" x14ac:dyDescent="0.2">
      <c r="A8" s="13" t="s">
        <v>10</v>
      </c>
      <c r="B8" s="29"/>
      <c r="C8" s="12" t="s">
        <v>3</v>
      </c>
      <c r="D8" s="22">
        <v>341</v>
      </c>
      <c r="E8" s="12" t="s">
        <v>4</v>
      </c>
      <c r="F8" s="36"/>
      <c r="G8" s="23"/>
    </row>
    <row r="9" spans="1:8" x14ac:dyDescent="0.2">
      <c r="A9" s="19"/>
      <c r="B9" s="23"/>
      <c r="C9" s="10"/>
      <c r="D9" s="22"/>
      <c r="E9" s="10"/>
      <c r="F9" s="36"/>
      <c r="G9" s="23"/>
    </row>
    <row r="10" spans="1:8" ht="25.5" x14ac:dyDescent="0.2">
      <c r="A10" s="15" t="s">
        <v>5</v>
      </c>
      <c r="B10" s="24" t="s">
        <v>12</v>
      </c>
      <c r="C10" s="16" t="s">
        <v>6</v>
      </c>
      <c r="D10" s="25" t="s">
        <v>217</v>
      </c>
      <c r="E10" s="16" t="s">
        <v>7</v>
      </c>
      <c r="F10" s="37" t="s">
        <v>29</v>
      </c>
      <c r="G10" s="26" t="s">
        <v>8</v>
      </c>
      <c r="H10" s="398" t="str">
        <f>CONCATENATE("01   BNFW4005-DAT.")</f>
        <v>01   BNFW4005-DAT.</v>
      </c>
    </row>
    <row r="11" spans="1:8" x14ac:dyDescent="0.2">
      <c r="A11" s="23" t="s">
        <v>355</v>
      </c>
      <c r="B11" s="23">
        <v>1</v>
      </c>
      <c r="C11" s="10">
        <v>3</v>
      </c>
      <c r="D11" s="22">
        <f>B11+C11-1</f>
        <v>3</v>
      </c>
      <c r="E11" s="12" t="s">
        <v>329</v>
      </c>
      <c r="F11" s="36"/>
      <c r="G11" s="27" t="s">
        <v>450</v>
      </c>
      <c r="H11" s="398" t="str">
        <f>CONCATENATE("   02 BNFW4005-CODORG           PIC X(0",C11,").")</f>
        <v xml:space="preserve">   02 BNFW4005-CODORG           PIC X(03).</v>
      </c>
    </row>
    <row r="12" spans="1:8" x14ac:dyDescent="0.2">
      <c r="A12" s="10" t="s">
        <v>356</v>
      </c>
      <c r="B12" s="458">
        <f>D11+1</f>
        <v>4</v>
      </c>
      <c r="C12" s="463">
        <v>19</v>
      </c>
      <c r="D12" s="460">
        <f t="shared" ref="D12:D49" si="0">B12+C12-1</f>
        <v>22</v>
      </c>
      <c r="E12" s="461" t="s">
        <v>330</v>
      </c>
      <c r="F12" s="462"/>
      <c r="G12" s="462" t="s">
        <v>357</v>
      </c>
      <c r="H12" s="398" t="str">
        <f>CONCATENATE("   02 BNFW4055-NUMCTA            PIC X(",C12,").")</f>
        <v xml:space="preserve">   02 BNFW4055-NUMCTA            PIC X(19).</v>
      </c>
    </row>
    <row r="13" spans="1:8" x14ac:dyDescent="0.2">
      <c r="A13" s="10" t="s">
        <v>358</v>
      </c>
      <c r="B13" s="458">
        <f t="shared" ref="B13:B49" si="1">D12+1</f>
        <v>23</v>
      </c>
      <c r="C13" s="463">
        <v>19</v>
      </c>
      <c r="D13" s="460">
        <f t="shared" si="0"/>
        <v>41</v>
      </c>
      <c r="E13" s="461" t="s">
        <v>330</v>
      </c>
      <c r="F13" s="462"/>
      <c r="G13" s="462" t="s">
        <v>359</v>
      </c>
      <c r="H13" s="398" t="str">
        <f>CONCATENATE("   02 BNFW4055-NUMTAR            PIC X(",C13,").")</f>
        <v xml:space="preserve">   02 BNFW4055-NUMTAR            PIC X(19).</v>
      </c>
    </row>
    <row r="14" spans="1:8" x14ac:dyDescent="0.2">
      <c r="A14" s="10" t="s">
        <v>360</v>
      </c>
      <c r="B14" s="458">
        <f t="shared" si="1"/>
        <v>42</v>
      </c>
      <c r="C14" s="463">
        <v>3</v>
      </c>
      <c r="D14" s="460">
        <f t="shared" si="0"/>
        <v>44</v>
      </c>
      <c r="E14" s="461" t="s">
        <v>100</v>
      </c>
      <c r="F14" s="462"/>
      <c r="G14" s="462" t="s">
        <v>361</v>
      </c>
      <c r="H14" s="398" t="str">
        <f>CONCATENATE("   02 BNFW4055-CODLOG            PIC X(0",C14,").")</f>
        <v xml:space="preserve">   02 BNFW4055-CODLOG            PIC X(03).</v>
      </c>
    </row>
    <row r="15" spans="1:8" x14ac:dyDescent="0.2">
      <c r="A15" s="10" t="s">
        <v>362</v>
      </c>
      <c r="B15" s="23">
        <f t="shared" si="1"/>
        <v>45</v>
      </c>
      <c r="C15" s="10">
        <v>3</v>
      </c>
      <c r="D15" s="22">
        <f t="shared" si="0"/>
        <v>47</v>
      </c>
      <c r="E15" s="12" t="s">
        <v>363</v>
      </c>
      <c r="F15" s="27"/>
      <c r="G15" s="27" t="s">
        <v>364</v>
      </c>
      <c r="H15" s="398" t="str">
        <f>CONCATENATE("   02 BNFW4055-CODPCT            PIC X(0",C15,").")</f>
        <v xml:space="preserve">   02 BNFW4055-CODPCT            PIC X(03).</v>
      </c>
    </row>
    <row r="16" spans="1:8" x14ac:dyDescent="0.2">
      <c r="A16" s="10" t="s">
        <v>365</v>
      </c>
      <c r="B16" s="458">
        <f t="shared" si="1"/>
        <v>48</v>
      </c>
      <c r="C16" s="463">
        <v>5</v>
      </c>
      <c r="D16" s="460">
        <f t="shared" si="0"/>
        <v>52</v>
      </c>
      <c r="E16" s="461" t="s">
        <v>366</v>
      </c>
      <c r="F16" s="462"/>
      <c r="G16" s="462" t="s">
        <v>367</v>
      </c>
      <c r="H16" s="398" t="str">
        <f>CONCATENATE("   02 BNFW4055-CODPLA            PIC X(0",C16,").")</f>
        <v xml:space="preserve">   02 BNFW4055-CODPLA            PIC X(05).</v>
      </c>
    </row>
    <row r="17" spans="1:8" x14ac:dyDescent="0.2">
      <c r="A17" s="10" t="s">
        <v>368</v>
      </c>
      <c r="B17" s="23">
        <f t="shared" si="1"/>
        <v>53</v>
      </c>
      <c r="C17" s="21">
        <v>12</v>
      </c>
      <c r="D17" s="22">
        <f t="shared" si="0"/>
        <v>64</v>
      </c>
      <c r="E17" s="12" t="s">
        <v>329</v>
      </c>
      <c r="F17" s="27"/>
      <c r="G17" s="27" t="s">
        <v>369</v>
      </c>
      <c r="H17" s="398" t="str">
        <f>CONCATENATE("   02 BNFW4055-SECPAG            PIC 9(",C17,").")</f>
        <v xml:space="preserve">   02 BNFW4055-SECPAG            PIC 9(12).</v>
      </c>
    </row>
    <row r="18" spans="1:8" ht="25.5" x14ac:dyDescent="0.2">
      <c r="A18" s="10" t="s">
        <v>370</v>
      </c>
      <c r="B18" s="23">
        <f t="shared" si="1"/>
        <v>65</v>
      </c>
      <c r="C18" s="21">
        <v>6</v>
      </c>
      <c r="D18" s="22">
        <f t="shared" si="0"/>
        <v>70</v>
      </c>
      <c r="E18" s="12" t="s">
        <v>330</v>
      </c>
      <c r="F18" s="27"/>
      <c r="G18" s="27" t="s">
        <v>371</v>
      </c>
      <c r="H18" s="398" t="str">
        <f>CONCATENATE("   02 BNFW4055-AUTCOM            PIC X(0",C18,").")</f>
        <v xml:space="preserve">   02 BNFW4055-AUTCOM            PIC X(06).</v>
      </c>
    </row>
    <row r="19" spans="1:8" ht="25.5" x14ac:dyDescent="0.2">
      <c r="A19" s="10" t="s">
        <v>372</v>
      </c>
      <c r="B19" s="23">
        <f t="shared" si="1"/>
        <v>71</v>
      </c>
      <c r="C19" s="21">
        <v>9</v>
      </c>
      <c r="D19" s="22">
        <f t="shared" si="0"/>
        <v>79</v>
      </c>
      <c r="E19" s="12" t="s">
        <v>330</v>
      </c>
      <c r="F19" s="27"/>
      <c r="G19" s="27" t="s">
        <v>373</v>
      </c>
      <c r="H19" s="398" t="str">
        <f>CONCATENATE("   02 BNFW4055-CODCOM            PIC X(0",C19,").")</f>
        <v xml:space="preserve">   02 BNFW4055-CODCOM            PIC X(09).</v>
      </c>
    </row>
    <row r="20" spans="1:8" x14ac:dyDescent="0.2">
      <c r="A20" s="10" t="s">
        <v>374</v>
      </c>
      <c r="B20" s="23">
        <f t="shared" si="1"/>
        <v>80</v>
      </c>
      <c r="C20" s="21">
        <v>40</v>
      </c>
      <c r="D20" s="22">
        <f t="shared" si="0"/>
        <v>119</v>
      </c>
      <c r="E20" s="12" t="s">
        <v>330</v>
      </c>
      <c r="F20" s="27"/>
      <c r="G20" s="27" t="s">
        <v>375</v>
      </c>
      <c r="H20" s="398" t="str">
        <f>CONCATENATE("   02 BNFW4055-NOMCOM           PIC X(",C20,").")</f>
        <v xml:space="preserve">   02 BNFW4055-NOMCOM           PIC X(40).</v>
      </c>
    </row>
    <row r="21" spans="1:8" ht="25.5" x14ac:dyDescent="0.2">
      <c r="A21" s="10" t="s">
        <v>376</v>
      </c>
      <c r="B21" s="23">
        <f t="shared" si="1"/>
        <v>120</v>
      </c>
      <c r="C21" s="11">
        <v>4</v>
      </c>
      <c r="D21" s="22">
        <f t="shared" si="0"/>
        <v>123</v>
      </c>
      <c r="E21" s="12" t="s">
        <v>330</v>
      </c>
      <c r="F21" s="27"/>
      <c r="G21" s="27" t="s">
        <v>377</v>
      </c>
      <c r="H21" s="398" t="str">
        <f>CONCATENATE("   02 BNFW4055-CODMCC            PIC X(0",C21,").")</f>
        <v xml:space="preserve">   02 BNFW4055-CODMCC            PIC X(04).</v>
      </c>
    </row>
    <row r="22" spans="1:8" ht="25.5" x14ac:dyDescent="0.2">
      <c r="A22" s="10" t="s">
        <v>378</v>
      </c>
      <c r="B22" s="23">
        <f t="shared" si="1"/>
        <v>124</v>
      </c>
      <c r="C22" s="11">
        <v>8</v>
      </c>
      <c r="D22" s="22">
        <f t="shared" si="0"/>
        <v>131</v>
      </c>
      <c r="E22" s="12" t="s">
        <v>329</v>
      </c>
      <c r="F22" s="27" t="s">
        <v>30</v>
      </c>
      <c r="G22" s="27" t="s">
        <v>379</v>
      </c>
      <c r="H22" s="398" t="str">
        <f>CONCATENATE("   02 BNFW4055-FECCOM            PIC X(0",C22,").")</f>
        <v xml:space="preserve">   02 BNFW4055-FECCOM            PIC X(08).</v>
      </c>
    </row>
    <row r="23" spans="1:8" x14ac:dyDescent="0.2">
      <c r="A23" s="10" t="s">
        <v>380</v>
      </c>
      <c r="B23" s="458">
        <f t="shared" si="1"/>
        <v>132</v>
      </c>
      <c r="C23" s="459">
        <v>13</v>
      </c>
      <c r="D23" s="460">
        <f t="shared" si="0"/>
        <v>144</v>
      </c>
      <c r="E23" s="461" t="s">
        <v>329</v>
      </c>
      <c r="F23" s="462">
        <v>11.2</v>
      </c>
      <c r="G23" s="462" t="s">
        <v>381</v>
      </c>
      <c r="H23" s="398" t="str">
        <f>CONCATENATE("   02 BNFW4055-IMPORI            PIC 9(",C23-2,")V99.")</f>
        <v xml:space="preserve">   02 BNFW4055-IMPORI            PIC 9(11)V99.</v>
      </c>
    </row>
    <row r="24" spans="1:8" x14ac:dyDescent="0.2">
      <c r="A24" s="10" t="s">
        <v>382</v>
      </c>
      <c r="B24" s="23">
        <f t="shared" si="1"/>
        <v>145</v>
      </c>
      <c r="C24" s="11">
        <v>3</v>
      </c>
      <c r="D24" s="22">
        <f t="shared" si="0"/>
        <v>147</v>
      </c>
      <c r="E24" s="12" t="s">
        <v>329</v>
      </c>
      <c r="F24" s="27"/>
      <c r="G24" s="27" t="s">
        <v>383</v>
      </c>
      <c r="H24" s="398" t="str">
        <f>CONCATENATE("   02 BNFW4055-MONCOM            PIC X(0",C24,").")</f>
        <v xml:space="preserve">   02 BNFW4055-MONCOM            PIC X(03).</v>
      </c>
    </row>
    <row r="25" spans="1:8" x14ac:dyDescent="0.2">
      <c r="A25" s="10" t="s">
        <v>384</v>
      </c>
      <c r="B25" s="23">
        <f t="shared" si="1"/>
        <v>148</v>
      </c>
      <c r="C25" s="11">
        <v>3</v>
      </c>
      <c r="D25" s="22">
        <f t="shared" si="0"/>
        <v>150</v>
      </c>
      <c r="E25" s="12" t="s">
        <v>329</v>
      </c>
      <c r="F25" s="77" t="s">
        <v>1</v>
      </c>
      <c r="G25" s="27" t="s">
        <v>385</v>
      </c>
      <c r="H25" s="398" t="str">
        <f>CONCATENATE("   02 BNFW4055-DIADIF            PIC 9(0",C25,").")</f>
        <v xml:space="preserve">   02 BNFW4055-DIADIF            PIC 9(03).</v>
      </c>
    </row>
    <row r="26" spans="1:8" x14ac:dyDescent="0.2">
      <c r="A26" s="10" t="s">
        <v>386</v>
      </c>
      <c r="B26" s="23">
        <f t="shared" si="1"/>
        <v>151</v>
      </c>
      <c r="C26" s="11">
        <v>3</v>
      </c>
      <c r="D26" s="22">
        <f t="shared" si="0"/>
        <v>153</v>
      </c>
      <c r="E26" s="12" t="s">
        <v>329</v>
      </c>
      <c r="G26" s="27" t="s">
        <v>387</v>
      </c>
      <c r="H26" s="398" t="str">
        <f>CONCATENATE("   02 BNFW4055-NUMTOTCUO            PIC 9(0",C26,").")</f>
        <v xml:space="preserve">   02 BNFW4055-NUMTOTCUO            PIC 9(03).</v>
      </c>
    </row>
    <row r="27" spans="1:8" x14ac:dyDescent="0.2">
      <c r="A27" s="10" t="s">
        <v>388</v>
      </c>
      <c r="B27" s="23">
        <f t="shared" si="1"/>
        <v>154</v>
      </c>
      <c r="C27" s="11">
        <v>3</v>
      </c>
      <c r="D27" s="22">
        <f t="shared" si="0"/>
        <v>156</v>
      </c>
      <c r="E27" s="12" t="s">
        <v>329</v>
      </c>
      <c r="G27" s="27" t="s">
        <v>389</v>
      </c>
      <c r="H27" s="398" t="str">
        <f>CONCATENATE("   02 BNFW4055-SECCUO            PIC 9(0",C27,").")</f>
        <v xml:space="preserve">   02 BNFW4055-SECCUO            PIC 9(03).</v>
      </c>
    </row>
    <row r="28" spans="1:8" x14ac:dyDescent="0.2">
      <c r="A28" s="10" t="s">
        <v>390</v>
      </c>
      <c r="B28" s="23">
        <f t="shared" si="1"/>
        <v>157</v>
      </c>
      <c r="C28" s="11">
        <v>1</v>
      </c>
      <c r="D28" s="22">
        <f t="shared" si="0"/>
        <v>157</v>
      </c>
      <c r="E28" s="12" t="s">
        <v>329</v>
      </c>
      <c r="G28" s="27" t="s">
        <v>391</v>
      </c>
      <c r="H28" s="398" t="str">
        <f>CONCATENATE("   02 BNFW4055-INDMULPRO            PIC X(0",C28,").")</f>
        <v xml:space="preserve">   02 BNFW4055-INDMULPRO            PIC X(01).</v>
      </c>
    </row>
    <row r="29" spans="1:8" x14ac:dyDescent="0.2">
      <c r="A29" s="10" t="s">
        <v>392</v>
      </c>
      <c r="B29" s="23">
        <f t="shared" si="1"/>
        <v>158</v>
      </c>
      <c r="C29" s="11">
        <v>3</v>
      </c>
      <c r="D29" s="22">
        <f t="shared" si="0"/>
        <v>160</v>
      </c>
      <c r="E29" s="12" t="s">
        <v>329</v>
      </c>
      <c r="F29" s="77" t="s">
        <v>1</v>
      </c>
      <c r="G29" s="27" t="s">
        <v>393</v>
      </c>
      <c r="H29" s="398" t="str">
        <f>CONCATENATE("   02 BNFW4055-CODMULPRO            PIC X(0",C29,").")</f>
        <v xml:space="preserve">   02 BNFW4055-CODMULPRO            PIC X(03).</v>
      </c>
    </row>
    <row r="30" spans="1:8" x14ac:dyDescent="0.2">
      <c r="A30" s="10" t="s">
        <v>394</v>
      </c>
      <c r="B30" s="23">
        <f t="shared" si="1"/>
        <v>161</v>
      </c>
      <c r="C30" s="11">
        <v>13</v>
      </c>
      <c r="D30" s="22">
        <f t="shared" si="0"/>
        <v>173</v>
      </c>
      <c r="E30" s="12" t="s">
        <v>329</v>
      </c>
      <c r="F30" s="27">
        <v>11.2</v>
      </c>
      <c r="G30" s="27" t="s">
        <v>395</v>
      </c>
      <c r="H30" s="398" t="str">
        <f>CONCATENATE("   02 BNFW4055-IMPMULPRO            PIC 9(",C30-2,")V99.")</f>
        <v xml:space="preserve">   02 BNFW4055-IMPMULPRO            PIC 9(11)V99.</v>
      </c>
    </row>
    <row r="31" spans="1:8" x14ac:dyDescent="0.2">
      <c r="A31" s="10" t="s">
        <v>396</v>
      </c>
      <c r="B31" s="458">
        <f t="shared" si="1"/>
        <v>174</v>
      </c>
      <c r="C31" s="459">
        <v>13</v>
      </c>
      <c r="D31" s="460">
        <f t="shared" si="0"/>
        <v>186</v>
      </c>
      <c r="E31" s="461" t="s">
        <v>329</v>
      </c>
      <c r="F31" s="462">
        <v>11.2</v>
      </c>
      <c r="G31" s="462" t="s">
        <v>397</v>
      </c>
      <c r="H31" s="398" t="str">
        <f>CONCATENATE("   02 BNFW4055-VALCUO            PIC 9(",C31-2,")V99.")</f>
        <v xml:space="preserve">   02 BNFW4055-VALCUO            PIC 9(11)V99.</v>
      </c>
    </row>
    <row r="32" spans="1:8" x14ac:dyDescent="0.2">
      <c r="A32" s="10" t="s">
        <v>398</v>
      </c>
      <c r="B32" s="458">
        <f t="shared" si="1"/>
        <v>187</v>
      </c>
      <c r="C32" s="459">
        <v>13</v>
      </c>
      <c r="D32" s="460">
        <f t="shared" si="0"/>
        <v>199</v>
      </c>
      <c r="E32" s="461" t="s">
        <v>329</v>
      </c>
      <c r="F32" s="462">
        <v>11.2</v>
      </c>
      <c r="G32" s="462" t="s">
        <v>399</v>
      </c>
      <c r="H32" s="398" t="str">
        <f>CONCATENATE("   02 BNFW4055-CAPCUO           PIC 9(",C32-2,")V99.")</f>
        <v xml:space="preserve">   02 BNFW4055-CAPCUO           PIC 9(11)V99.</v>
      </c>
    </row>
    <row r="33" spans="1:8" s="78" customFormat="1" x14ac:dyDescent="0.2">
      <c r="A33" s="10" t="s">
        <v>400</v>
      </c>
      <c r="B33" s="458">
        <f t="shared" si="1"/>
        <v>200</v>
      </c>
      <c r="C33" s="459">
        <v>13</v>
      </c>
      <c r="D33" s="460">
        <f t="shared" si="0"/>
        <v>212</v>
      </c>
      <c r="E33" s="461" t="s">
        <v>329</v>
      </c>
      <c r="F33" s="462">
        <v>11.2</v>
      </c>
      <c r="G33" s="462" t="s">
        <v>401</v>
      </c>
      <c r="H33" s="398" t="str">
        <f>CONCATENATE("   02 BNFW4055-INTCUO            PIC 9(",C33-2,")V99.")</f>
        <v xml:space="preserve">   02 BNFW4055-INTCUO            PIC 9(11)V99.</v>
      </c>
    </row>
    <row r="34" spans="1:8" x14ac:dyDescent="0.2">
      <c r="A34" s="10" t="s">
        <v>402</v>
      </c>
      <c r="B34" s="453">
        <f t="shared" si="1"/>
        <v>213</v>
      </c>
      <c r="C34" s="454">
        <v>13</v>
      </c>
      <c r="D34" s="455">
        <f t="shared" si="0"/>
        <v>225</v>
      </c>
      <c r="E34" s="456" t="s">
        <v>329</v>
      </c>
      <c r="F34" s="457">
        <v>11.2</v>
      </c>
      <c r="G34" s="457" t="s">
        <v>509</v>
      </c>
      <c r="H34" s="398" t="str">
        <f>CONCATENATE("   02 BNFW4055-IMOABO            PIC 9(",C34-2,")V99.")</f>
        <v xml:space="preserve">   02 BNFW4055-IMOABO            PIC 9(11)V99.</v>
      </c>
    </row>
    <row r="35" spans="1:8" x14ac:dyDescent="0.2">
      <c r="A35" s="10" t="s">
        <v>403</v>
      </c>
      <c r="B35" s="453">
        <f t="shared" si="1"/>
        <v>226</v>
      </c>
      <c r="C35" s="454">
        <v>13</v>
      </c>
      <c r="D35" s="455">
        <f t="shared" si="0"/>
        <v>238</v>
      </c>
      <c r="E35" s="456" t="s">
        <v>329</v>
      </c>
      <c r="F35" s="457">
        <v>11.2</v>
      </c>
      <c r="G35" s="457" t="s">
        <v>510</v>
      </c>
      <c r="H35" s="398" t="str">
        <f>CONCATENATE("   02 BNFW4005-IMPPENPAG            PIC 9(",C35-2,")V99.")</f>
        <v xml:space="preserve">   02 BNFW4005-IMPPENPAG            PIC 9(11)V99.</v>
      </c>
    </row>
    <row r="36" spans="1:8" x14ac:dyDescent="0.2">
      <c r="A36" s="10" t="s">
        <v>404</v>
      </c>
      <c r="B36" s="23">
        <f t="shared" si="1"/>
        <v>239</v>
      </c>
      <c r="C36" s="11">
        <v>3</v>
      </c>
      <c r="D36" s="22">
        <f t="shared" si="0"/>
        <v>241</v>
      </c>
      <c r="E36" s="12" t="s">
        <v>329</v>
      </c>
      <c r="F36" s="27"/>
      <c r="G36" s="27" t="s">
        <v>405</v>
      </c>
      <c r="H36" s="398" t="str">
        <f>CONCATENATE("   02 BNFW4055-CANDIAINT            PIC 9(0",C36,").")</f>
        <v xml:space="preserve">   02 BNFW4055-CANDIAINT            PIC 9(03).</v>
      </c>
    </row>
    <row r="37" spans="1:8" x14ac:dyDescent="0.2">
      <c r="A37" s="10" t="s">
        <v>406</v>
      </c>
      <c r="B37" s="448">
        <f t="shared" si="1"/>
        <v>242</v>
      </c>
      <c r="C37" s="449">
        <v>13</v>
      </c>
      <c r="D37" s="450">
        <f t="shared" si="0"/>
        <v>254</v>
      </c>
      <c r="E37" s="451" t="s">
        <v>329</v>
      </c>
      <c r="F37" s="452">
        <v>11.2</v>
      </c>
      <c r="G37" s="452" t="s">
        <v>407</v>
      </c>
      <c r="H37" s="398" t="str">
        <f>CONCATENATE("   02 BNFW4055-INTDEV            PIC 9(",C37-2,")V99.")</f>
        <v xml:space="preserve">   02 BNFW4055-INTDEV            PIC 9(11)V99.</v>
      </c>
    </row>
    <row r="38" spans="1:8" x14ac:dyDescent="0.2">
      <c r="A38" s="10" t="s">
        <v>408</v>
      </c>
      <c r="B38" s="23">
        <f t="shared" si="1"/>
        <v>255</v>
      </c>
      <c r="C38" s="11">
        <v>2</v>
      </c>
      <c r="D38" s="22">
        <f t="shared" si="0"/>
        <v>256</v>
      </c>
      <c r="E38" s="12" t="s">
        <v>329</v>
      </c>
      <c r="F38" s="27" t="s">
        <v>1</v>
      </c>
      <c r="G38" s="27" t="s">
        <v>409</v>
      </c>
      <c r="H38" s="398" t="str">
        <f>CONCATENATE("   02 BNFW4055-CICFAC            PIC 9(0",C38,").")</f>
        <v xml:space="preserve">   02 BNFW4055-CICFAC            PIC 9(02).</v>
      </c>
    </row>
    <row r="39" spans="1:8" ht="25.5" x14ac:dyDescent="0.2">
      <c r="A39" s="10" t="s">
        <v>410</v>
      </c>
      <c r="B39" s="23">
        <f t="shared" si="1"/>
        <v>257</v>
      </c>
      <c r="C39" s="11">
        <v>8</v>
      </c>
      <c r="D39" s="22">
        <f t="shared" si="0"/>
        <v>264</v>
      </c>
      <c r="E39" s="12" t="s">
        <v>329</v>
      </c>
      <c r="F39" s="27" t="s">
        <v>30</v>
      </c>
      <c r="G39" s="27" t="s">
        <v>411</v>
      </c>
      <c r="H39" s="398" t="str">
        <f>CONCATENATE("   02 BNFW4055-FECFAC            PIC X(0",C39,").")</f>
        <v xml:space="preserve">   02 BNFW4055-FECFAC            PIC X(08).</v>
      </c>
    </row>
    <row r="40" spans="1:8" ht="25.5" x14ac:dyDescent="0.2">
      <c r="A40" s="10" t="s">
        <v>412</v>
      </c>
      <c r="B40" s="23">
        <f t="shared" si="1"/>
        <v>265</v>
      </c>
      <c r="C40" s="11">
        <v>8</v>
      </c>
      <c r="D40" s="22">
        <f t="shared" si="0"/>
        <v>272</v>
      </c>
      <c r="E40" s="12" t="s">
        <v>329</v>
      </c>
      <c r="F40" s="27" t="s">
        <v>30</v>
      </c>
      <c r="G40" s="27" t="s">
        <v>413</v>
      </c>
      <c r="H40" s="398" t="str">
        <f>CONCATENATE("   02 BNFW4055-FECVCTPAGCUO            PIC X(0",C40,").")</f>
        <v xml:space="preserve">   02 BNFW4055-FECVCTPAGCUO            PIC X(08).</v>
      </c>
    </row>
    <row r="41" spans="1:8" ht="25.5" x14ac:dyDescent="0.2">
      <c r="A41" s="10" t="s">
        <v>414</v>
      </c>
      <c r="B41" s="23">
        <f t="shared" si="1"/>
        <v>273</v>
      </c>
      <c r="C41" s="11">
        <v>8</v>
      </c>
      <c r="D41" s="22">
        <f t="shared" si="0"/>
        <v>280</v>
      </c>
      <c r="E41" s="12" t="s">
        <v>329</v>
      </c>
      <c r="F41" s="27" t="s">
        <v>30</v>
      </c>
      <c r="G41" s="27" t="s">
        <v>415</v>
      </c>
      <c r="H41" s="398" t="str">
        <f>CONCATENATE("   02 BNFW4055-FECULTPAG            PIC X(0",C41,").")</f>
        <v xml:space="preserve">   02 BNFW4055-FECULTPAG            PIC X(08).</v>
      </c>
    </row>
    <row r="42" spans="1:8" ht="25.5" x14ac:dyDescent="0.2">
      <c r="A42" s="10" t="s">
        <v>416</v>
      </c>
      <c r="B42" s="23">
        <f t="shared" si="1"/>
        <v>281</v>
      </c>
      <c r="C42" s="11">
        <v>2</v>
      </c>
      <c r="D42" s="22">
        <f t="shared" si="0"/>
        <v>282</v>
      </c>
      <c r="E42" s="12" t="s">
        <v>330</v>
      </c>
      <c r="F42" s="27"/>
      <c r="G42" s="27" t="s">
        <v>417</v>
      </c>
      <c r="H42" s="398" t="str">
        <f>CONCATENATE("   02 BNFW4055-ESTCUO            PIC X(0",C42,").")</f>
        <v xml:space="preserve">   02 BNFW4055-ESTCUO            PIC X(02).</v>
      </c>
    </row>
    <row r="43" spans="1:8" ht="25.5" x14ac:dyDescent="0.2">
      <c r="A43" s="10" t="s">
        <v>418</v>
      </c>
      <c r="B43" s="23">
        <f t="shared" si="1"/>
        <v>283</v>
      </c>
      <c r="C43" s="11">
        <v>8</v>
      </c>
      <c r="D43" s="22">
        <f t="shared" si="0"/>
        <v>290</v>
      </c>
      <c r="E43" s="12" t="s">
        <v>330</v>
      </c>
      <c r="F43" s="27" t="s">
        <v>30</v>
      </c>
      <c r="G43" s="27" t="s">
        <v>419</v>
      </c>
      <c r="H43" s="398" t="str">
        <f>CONCATENATE("   02 BNFW4055-FECPRO            PIC X(0",C43,").")</f>
        <v xml:space="preserve">   02 BNFW4055-FECPRO            PIC X(08).</v>
      </c>
    </row>
    <row r="44" spans="1:8" x14ac:dyDescent="0.2">
      <c r="A44" s="10" t="s">
        <v>420</v>
      </c>
      <c r="B44" s="23">
        <f t="shared" si="1"/>
        <v>291</v>
      </c>
      <c r="C44" s="11">
        <v>6</v>
      </c>
      <c r="D44" s="22">
        <f t="shared" si="0"/>
        <v>296</v>
      </c>
      <c r="E44" s="12" t="s">
        <v>329</v>
      </c>
      <c r="F44" s="27">
        <v>3.3</v>
      </c>
      <c r="G44" s="27" t="s">
        <v>421</v>
      </c>
      <c r="H44" s="398" t="str">
        <f>CONCATENATE("   02 BNFW4055-TIPCAM            PIC 9(0",C44-3,")V999.")</f>
        <v xml:space="preserve">   02 BNFW4055-TIPCAM            PIC 9(03)V999.</v>
      </c>
    </row>
    <row r="45" spans="1:8" x14ac:dyDescent="0.2">
      <c r="A45" s="10" t="s">
        <v>422</v>
      </c>
      <c r="B45" s="23">
        <f t="shared" si="1"/>
        <v>297</v>
      </c>
      <c r="C45" s="11">
        <v>11</v>
      </c>
      <c r="D45" s="22">
        <f t="shared" si="0"/>
        <v>307</v>
      </c>
      <c r="E45" s="12" t="s">
        <v>329</v>
      </c>
      <c r="F45" s="27">
        <v>4.7</v>
      </c>
      <c r="G45" s="27" t="s">
        <v>423</v>
      </c>
      <c r="H45" s="398" t="str">
        <f>CONCATENATE("   02 BNFW4055-TASEFETEA            PIC 9(0",C45-4,")V9(04).")</f>
        <v xml:space="preserve">   02 BNFW4055-TASEFETEA            PIC 9(07)V9(04).</v>
      </c>
    </row>
    <row r="46" spans="1:8" x14ac:dyDescent="0.2">
      <c r="A46" s="10" t="s">
        <v>424</v>
      </c>
      <c r="B46" s="23">
        <f t="shared" si="1"/>
        <v>308</v>
      </c>
      <c r="C46" s="11">
        <v>11</v>
      </c>
      <c r="D46" s="22">
        <f t="shared" si="0"/>
        <v>318</v>
      </c>
      <c r="E46" s="12" t="s">
        <v>329</v>
      </c>
      <c r="F46" s="27">
        <v>4.7</v>
      </c>
      <c r="G46" s="27" t="s">
        <v>425</v>
      </c>
      <c r="H46" s="398" t="str">
        <f>CONCATENATE("   02 BNFW4055-TASMEMTEM          PIC 9(0",C46-4,")V9(04).")</f>
        <v xml:space="preserve">   02 BNFW4055-TASMEMTEM          PIC 9(07)V9(04).</v>
      </c>
    </row>
    <row r="47" spans="1:8" x14ac:dyDescent="0.2">
      <c r="A47" s="10" t="s">
        <v>426</v>
      </c>
      <c r="B47" s="23">
        <f t="shared" si="1"/>
        <v>319</v>
      </c>
      <c r="C47" s="11">
        <v>11</v>
      </c>
      <c r="D47" s="22">
        <f t="shared" si="0"/>
        <v>329</v>
      </c>
      <c r="E47" s="12" t="s">
        <v>329</v>
      </c>
      <c r="F47" s="27">
        <v>4.7</v>
      </c>
      <c r="G47" s="27" t="s">
        <v>427</v>
      </c>
      <c r="H47" s="398" t="str">
        <f>CONCATENATE("   02 BNFW4055-TASNOMTNA            PIC 9(0",C47-4,")V9(04).")</f>
        <v xml:space="preserve">   02 BNFW4055-TASNOMTNA            PIC 9(07)V9(04).</v>
      </c>
    </row>
    <row r="48" spans="1:8" ht="25.5" x14ac:dyDescent="0.2">
      <c r="A48" s="27" t="s">
        <v>428</v>
      </c>
      <c r="B48" s="23">
        <f t="shared" si="1"/>
        <v>330</v>
      </c>
      <c r="C48" s="23">
        <v>8</v>
      </c>
      <c r="D48" s="23">
        <f t="shared" si="0"/>
        <v>337</v>
      </c>
      <c r="E48" s="27" t="s">
        <v>329</v>
      </c>
      <c r="F48" s="27" t="s">
        <v>30</v>
      </c>
      <c r="G48" s="27" t="s">
        <v>429</v>
      </c>
      <c r="H48" s="398" t="str">
        <f>CONCATENATE("   02 BNFW4055-FECULTINTDEV            PIC X(0",C48,").")</f>
        <v xml:space="preserve">   02 BNFW4055-FECULTINTDEV            PIC X(08).</v>
      </c>
    </row>
    <row r="49" spans="1:8" x14ac:dyDescent="0.2">
      <c r="A49" s="27" t="s">
        <v>430</v>
      </c>
      <c r="B49" s="23">
        <f t="shared" si="1"/>
        <v>338</v>
      </c>
      <c r="C49" s="23">
        <v>4</v>
      </c>
      <c r="D49" s="23">
        <f t="shared" si="0"/>
        <v>341</v>
      </c>
      <c r="E49" s="27" t="s">
        <v>329</v>
      </c>
      <c r="F49" s="27"/>
      <c r="G49" s="27" t="s">
        <v>431</v>
      </c>
      <c r="H49" s="398" t="str">
        <f>CONCATENATE("   02 BNFW4055-RESCUO            PIC 9(0",C49,").")</f>
        <v xml:space="preserve">   02 BNFW4055-RESCUO            PIC 9(04).</v>
      </c>
    </row>
    <row r="50" spans="1:8" x14ac:dyDescent="0.2">
      <c r="B50" s="23" t="s">
        <v>1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M56"/>
  <sheetViews>
    <sheetView topLeftCell="A9" zoomScale="85" zoomScaleNormal="85" workbookViewId="0">
      <selection activeCell="J19" sqref="J19"/>
    </sheetView>
  </sheetViews>
  <sheetFormatPr baseColWidth="10" defaultColWidth="11.5546875" defaultRowHeight="11.25" x14ac:dyDescent="0.15"/>
  <cols>
    <col min="1" max="1" width="2.77734375" style="40" customWidth="1"/>
    <col min="2" max="2" width="16.21875" style="40" customWidth="1"/>
    <col min="3" max="3" width="9.6640625" style="40" customWidth="1"/>
    <col min="4" max="4" width="9" style="40" customWidth="1"/>
    <col min="5" max="5" width="10.21875" style="40" customWidth="1"/>
    <col min="6" max="6" width="11.5546875" style="40"/>
    <col min="7" max="7" width="4.77734375" style="60" customWidth="1"/>
    <col min="8" max="8" width="24.6640625" style="40" customWidth="1"/>
    <col min="9" max="9" width="0" style="40" hidden="1" customWidth="1"/>
    <col min="10" max="10" width="18" style="40" customWidth="1"/>
    <col min="11" max="11" width="17.5546875" style="40" customWidth="1"/>
    <col min="12" max="13" width="17.6640625" style="40" customWidth="1"/>
    <col min="14" max="16384" width="11.5546875" style="40"/>
  </cols>
  <sheetData>
    <row r="1" spans="2:13" x14ac:dyDescent="0.15">
      <c r="B1" s="45" t="s">
        <v>447</v>
      </c>
      <c r="C1" s="46"/>
      <c r="D1" s="45"/>
      <c r="E1" s="47"/>
      <c r="F1" s="45"/>
      <c r="G1" s="48"/>
      <c r="H1" s="46"/>
    </row>
    <row r="2" spans="2:13" ht="12" x14ac:dyDescent="0.2">
      <c r="B2" s="45" t="s">
        <v>11</v>
      </c>
      <c r="C2" s="46"/>
      <c r="D2" s="45">
        <v>200</v>
      </c>
      <c r="E2" s="47"/>
      <c r="F2" s="400" t="s">
        <v>543</v>
      </c>
      <c r="G2" s="48"/>
      <c r="H2" s="46"/>
    </row>
    <row r="3" spans="2:13" x14ac:dyDescent="0.15">
      <c r="B3" s="45" t="s">
        <v>19</v>
      </c>
      <c r="C3" s="46"/>
      <c r="D3" s="45" t="s">
        <v>491</v>
      </c>
      <c r="E3" s="47"/>
      <c r="F3" s="45"/>
      <c r="G3" s="48"/>
      <c r="H3" s="46"/>
    </row>
    <row r="4" spans="2:13" x14ac:dyDescent="0.15">
      <c r="B4" s="45" t="s">
        <v>13</v>
      </c>
      <c r="C4" s="46"/>
      <c r="D4" s="45" t="s">
        <v>525</v>
      </c>
      <c r="E4" s="47"/>
      <c r="F4" s="45"/>
      <c r="G4" s="48"/>
      <c r="H4" s="46"/>
    </row>
    <row r="5" spans="2:13" ht="12.75" x14ac:dyDescent="0.2">
      <c r="B5" s="49" t="s">
        <v>274</v>
      </c>
      <c r="C5" s="46"/>
      <c r="D5" s="10" t="s">
        <v>480</v>
      </c>
      <c r="E5" s="47"/>
      <c r="F5" s="45"/>
      <c r="G5" s="48"/>
      <c r="H5" s="46"/>
    </row>
    <row r="6" spans="2:13" x14ac:dyDescent="0.15">
      <c r="B6" s="49" t="s">
        <v>0</v>
      </c>
      <c r="C6" s="46"/>
      <c r="D6" s="45"/>
      <c r="E6" s="47"/>
      <c r="F6" s="45"/>
      <c r="G6" s="48"/>
      <c r="H6" s="46"/>
    </row>
    <row r="7" spans="2:13" x14ac:dyDescent="0.15">
      <c r="B7" s="50" t="s">
        <v>2</v>
      </c>
      <c r="C7" s="51" t="s">
        <v>1</v>
      </c>
      <c r="D7" s="49" t="s">
        <v>3</v>
      </c>
      <c r="E7" s="47">
        <v>200</v>
      </c>
      <c r="F7" s="49" t="s">
        <v>4</v>
      </c>
      <c r="G7" s="46"/>
      <c r="H7" s="45"/>
    </row>
    <row r="8" spans="2:13" x14ac:dyDescent="0.15">
      <c r="B8" s="52"/>
      <c r="C8" s="46"/>
      <c r="D8" s="45"/>
      <c r="E8" s="47"/>
      <c r="F8" s="45"/>
      <c r="G8" s="46"/>
      <c r="H8" s="45"/>
    </row>
    <row r="9" spans="2:13" ht="22.5" x14ac:dyDescent="0.15">
      <c r="B9" s="53" t="s">
        <v>5</v>
      </c>
      <c r="C9" s="54" t="s">
        <v>12</v>
      </c>
      <c r="D9" s="55" t="s">
        <v>6</v>
      </c>
      <c r="E9" s="56" t="s">
        <v>217</v>
      </c>
      <c r="F9" s="55" t="s">
        <v>7</v>
      </c>
      <c r="G9" s="54" t="s">
        <v>29</v>
      </c>
      <c r="H9" s="55" t="s">
        <v>8</v>
      </c>
      <c r="I9" s="57" t="s">
        <v>337</v>
      </c>
      <c r="J9" s="469"/>
      <c r="K9" s="469"/>
    </row>
    <row r="10" spans="2:13" ht="22.5" x14ac:dyDescent="0.15">
      <c r="B10" s="61" t="s">
        <v>473</v>
      </c>
      <c r="C10" s="46">
        <v>1</v>
      </c>
      <c r="D10" s="45">
        <v>8</v>
      </c>
      <c r="E10" s="47">
        <v>8</v>
      </c>
      <c r="F10" s="49" t="s">
        <v>329</v>
      </c>
      <c r="G10" s="46" t="s">
        <v>30</v>
      </c>
      <c r="H10" s="58" t="s">
        <v>218</v>
      </c>
    </row>
    <row r="11" spans="2:13" x14ac:dyDescent="0.15">
      <c r="B11" s="61" t="s">
        <v>474</v>
      </c>
      <c r="C11" s="46">
        <f>E10+1</f>
        <v>9</v>
      </c>
      <c r="D11" s="45">
        <v>6</v>
      </c>
      <c r="E11" s="47">
        <f>E10+D11</f>
        <v>14</v>
      </c>
      <c r="F11" s="49" t="s">
        <v>329</v>
      </c>
      <c r="G11" s="45" t="s">
        <v>47</v>
      </c>
      <c r="H11" s="58" t="s">
        <v>275</v>
      </c>
    </row>
    <row r="12" spans="2:13" x14ac:dyDescent="0.15">
      <c r="B12" s="61" t="s">
        <v>475</v>
      </c>
      <c r="C12" s="46">
        <f>E11+1</f>
        <v>15</v>
      </c>
      <c r="D12" s="45">
        <v>15</v>
      </c>
      <c r="E12" s="47">
        <f>E11+D12</f>
        <v>29</v>
      </c>
      <c r="F12" s="49" t="s">
        <v>329</v>
      </c>
      <c r="G12" s="46"/>
      <c r="H12" s="58" t="s">
        <v>125</v>
      </c>
    </row>
    <row r="13" spans="2:13" x14ac:dyDescent="0.15">
      <c r="B13" s="45" t="s">
        <v>467</v>
      </c>
      <c r="C13" s="46">
        <f>E12+1</f>
        <v>30</v>
      </c>
      <c r="D13" s="45">
        <v>171</v>
      </c>
      <c r="E13" s="47">
        <f>E12+D13</f>
        <v>200</v>
      </c>
      <c r="F13" s="49"/>
      <c r="G13" s="46"/>
      <c r="H13" s="58" t="s">
        <v>471</v>
      </c>
    </row>
    <row r="14" spans="2:13" x14ac:dyDescent="0.15">
      <c r="B14" s="45"/>
      <c r="C14" s="46"/>
      <c r="D14" s="45"/>
      <c r="E14" s="47"/>
      <c r="F14" s="45"/>
      <c r="G14" s="48"/>
      <c r="H14" s="46"/>
    </row>
    <row r="15" spans="2:13" ht="22.5" x14ac:dyDescent="0.15">
      <c r="B15" s="53" t="s">
        <v>5</v>
      </c>
      <c r="C15" s="54" t="s">
        <v>12</v>
      </c>
      <c r="D15" s="55" t="s">
        <v>6</v>
      </c>
      <c r="E15" s="56" t="s">
        <v>217</v>
      </c>
      <c r="F15" s="55" t="s">
        <v>7</v>
      </c>
      <c r="G15" s="54" t="s">
        <v>29</v>
      </c>
      <c r="H15" s="55" t="s">
        <v>8</v>
      </c>
      <c r="I15" s="57" t="s">
        <v>337</v>
      </c>
      <c r="J15" s="469"/>
      <c r="K15" s="469"/>
    </row>
    <row r="16" spans="2:13" x14ac:dyDescent="0.15">
      <c r="B16" s="40" t="s">
        <v>448</v>
      </c>
      <c r="C16" s="46">
        <v>1</v>
      </c>
      <c r="D16" s="45">
        <v>3</v>
      </c>
      <c r="E16" s="47">
        <f>C16+D16-1</f>
        <v>3</v>
      </c>
      <c r="F16" s="49" t="s">
        <v>329</v>
      </c>
      <c r="G16" s="48"/>
      <c r="H16" s="58" t="s">
        <v>450</v>
      </c>
      <c r="J16" s="40" t="str">
        <f>MID($B$36,$C16,$D16)</f>
        <v>191</v>
      </c>
      <c r="K16" s="40" t="str">
        <f>MID($B$37,$C16,$D16)</f>
        <v>181</v>
      </c>
      <c r="L16" s="40" t="str">
        <f>MID($B$34,$C16,$D16)</f>
        <v>181</v>
      </c>
      <c r="M16" s="40" t="s">
        <v>1198</v>
      </c>
    </row>
    <row r="17" spans="2:13" x14ac:dyDescent="0.15">
      <c r="B17" s="40" t="s">
        <v>449</v>
      </c>
      <c r="C17" s="46">
        <f>E16+1</f>
        <v>4</v>
      </c>
      <c r="D17" s="45">
        <v>3</v>
      </c>
      <c r="E17" s="47">
        <f>C17+D17-1</f>
        <v>6</v>
      </c>
      <c r="F17" s="49" t="s">
        <v>330</v>
      </c>
      <c r="G17" s="48"/>
      <c r="H17" s="58" t="s">
        <v>361</v>
      </c>
      <c r="J17" s="40" t="str">
        <f t="shared" ref="J17:J31" si="0">MID($B$36,$C17,$D17)</f>
        <v>001</v>
      </c>
      <c r="K17" s="40" t="str">
        <f t="shared" ref="K17:K31" si="1">MID($B$37,$C17,$D17)</f>
        <v>002</v>
      </c>
      <c r="L17" s="40" t="str">
        <f t="shared" ref="L17:L31" si="2">MID($B$34,C17,D17)</f>
        <v>001</v>
      </c>
      <c r="M17" s="40" t="s">
        <v>1199</v>
      </c>
    </row>
    <row r="18" spans="2:13" x14ac:dyDescent="0.15">
      <c r="B18" s="40" t="s">
        <v>451</v>
      </c>
      <c r="C18" s="353">
        <f>E17+1</f>
        <v>7</v>
      </c>
      <c r="D18" s="354">
        <v>19</v>
      </c>
      <c r="E18" s="355">
        <f>C18+D18-1</f>
        <v>25</v>
      </c>
      <c r="F18" s="356" t="s">
        <v>330</v>
      </c>
      <c r="G18" s="357"/>
      <c r="H18" s="358" t="s">
        <v>452</v>
      </c>
      <c r="J18" s="40" t="str">
        <f t="shared" si="0"/>
        <v>0005309270100001136</v>
      </c>
      <c r="K18" s="40" t="str">
        <f t="shared" si="1"/>
        <v>0005227720000005370</v>
      </c>
      <c r="L18" s="40" t="str">
        <f t="shared" si="2"/>
        <v>0005450280000001042</v>
      </c>
      <c r="M18" s="40" t="s">
        <v>1200</v>
      </c>
    </row>
    <row r="19" spans="2:13" x14ac:dyDescent="0.15">
      <c r="B19" s="40" t="s">
        <v>453</v>
      </c>
      <c r="C19" s="347">
        <f>E18+1</f>
        <v>26</v>
      </c>
      <c r="D19" s="348">
        <v>19</v>
      </c>
      <c r="E19" s="349">
        <f>C19+D19-1</f>
        <v>44</v>
      </c>
      <c r="F19" s="350" t="s">
        <v>330</v>
      </c>
      <c r="G19" s="351"/>
      <c r="H19" s="352" t="s">
        <v>454</v>
      </c>
      <c r="J19" s="40" t="str">
        <f t="shared" si="0"/>
        <v>0005309270100000077</v>
      </c>
      <c r="K19" s="40" t="str">
        <f t="shared" si="1"/>
        <v>0005227720000005362</v>
      </c>
      <c r="L19" s="40" t="str">
        <f t="shared" si="2"/>
        <v>0005450280000002925</v>
      </c>
      <c r="M19" s="40" t="s">
        <v>1201</v>
      </c>
    </row>
    <row r="20" spans="2:13" s="409" customFormat="1" ht="22.5" x14ac:dyDescent="0.15">
      <c r="B20" s="409" t="s">
        <v>455</v>
      </c>
      <c r="C20" s="410">
        <f>E19+1</f>
        <v>45</v>
      </c>
      <c r="D20" s="411">
        <v>1</v>
      </c>
      <c r="E20" s="412">
        <f>C20+D20-1</f>
        <v>45</v>
      </c>
      <c r="F20" s="413" t="s">
        <v>330</v>
      </c>
      <c r="G20" s="414"/>
      <c r="H20" s="415" t="s">
        <v>477</v>
      </c>
      <c r="J20" s="40" t="str">
        <f t="shared" si="0"/>
        <v>P</v>
      </c>
      <c r="K20" s="40" t="str">
        <f t="shared" si="1"/>
        <v>P</v>
      </c>
      <c r="L20" s="409" t="str">
        <f t="shared" si="2"/>
        <v>P</v>
      </c>
      <c r="M20" s="409" t="s">
        <v>1202</v>
      </c>
    </row>
    <row r="21" spans="2:13" x14ac:dyDescent="0.15">
      <c r="B21" s="40" t="s">
        <v>456</v>
      </c>
      <c r="C21" s="46">
        <f t="shared" ref="C21:C28" si="3">E20+1</f>
        <v>46</v>
      </c>
      <c r="D21" s="45">
        <v>26</v>
      </c>
      <c r="E21" s="47">
        <f t="shared" ref="E21:E27" si="4">C21+D21-1</f>
        <v>71</v>
      </c>
      <c r="F21" s="49" t="s">
        <v>330</v>
      </c>
      <c r="G21" s="48"/>
      <c r="H21" s="58" t="s">
        <v>478</v>
      </c>
      <c r="J21" s="40" t="str">
        <f t="shared" si="0"/>
        <v xml:space="preserve">PEDRO CHAFLOQUE RAMIREZ   </v>
      </c>
      <c r="K21" s="40" t="str">
        <f t="shared" si="1"/>
        <v xml:space="preserve">MARIA ALARCO OLAVARRIA    </v>
      </c>
      <c r="L21" s="40" t="str">
        <f t="shared" si="2"/>
        <v xml:space="preserve">JAVIER URQUIAGA SALAZAR   </v>
      </c>
      <c r="M21" s="40" t="s">
        <v>1203</v>
      </c>
    </row>
    <row r="22" spans="2:13" x14ac:dyDescent="0.15">
      <c r="B22" s="40" t="s">
        <v>457</v>
      </c>
      <c r="C22" s="46">
        <f t="shared" si="3"/>
        <v>72</v>
      </c>
      <c r="D22" s="45">
        <v>8</v>
      </c>
      <c r="E22" s="47">
        <f t="shared" si="4"/>
        <v>79</v>
      </c>
      <c r="F22" s="49" t="s">
        <v>329</v>
      </c>
      <c r="G22" s="48" t="s">
        <v>30</v>
      </c>
      <c r="H22" s="58" t="s">
        <v>458</v>
      </c>
      <c r="J22" s="40" t="str">
        <f t="shared" si="0"/>
        <v>20290228</v>
      </c>
      <c r="K22" s="40" t="str">
        <f t="shared" si="1"/>
        <v>20170221</v>
      </c>
      <c r="L22" s="40" t="str">
        <f t="shared" si="2"/>
        <v>20171021</v>
      </c>
      <c r="M22" s="40" t="s">
        <v>1204</v>
      </c>
    </row>
    <row r="23" spans="2:13" x14ac:dyDescent="0.15">
      <c r="B23" s="40" t="s">
        <v>459</v>
      </c>
      <c r="C23" s="46">
        <f t="shared" si="3"/>
        <v>80</v>
      </c>
      <c r="D23" s="45">
        <v>8</v>
      </c>
      <c r="E23" s="47">
        <f t="shared" si="4"/>
        <v>87</v>
      </c>
      <c r="F23" s="49" t="s">
        <v>329</v>
      </c>
      <c r="G23" s="48" t="s">
        <v>30</v>
      </c>
      <c r="H23" s="58" t="s">
        <v>461</v>
      </c>
      <c r="J23" s="40" t="str">
        <f t="shared" si="0"/>
        <v>20240211</v>
      </c>
      <c r="K23" s="40" t="str">
        <f t="shared" si="1"/>
        <v>20130221</v>
      </c>
      <c r="L23" s="40" t="str">
        <f t="shared" si="2"/>
        <v>20121021</v>
      </c>
      <c r="M23" s="40" t="s">
        <v>1205</v>
      </c>
    </row>
    <row r="24" spans="2:13" x14ac:dyDescent="0.15">
      <c r="B24" s="40" t="s">
        <v>460</v>
      </c>
      <c r="C24" s="402">
        <f t="shared" si="3"/>
        <v>88</v>
      </c>
      <c r="D24" s="403">
        <v>1</v>
      </c>
      <c r="E24" s="404">
        <f t="shared" si="4"/>
        <v>88</v>
      </c>
      <c r="F24" s="405" t="s">
        <v>330</v>
      </c>
      <c r="G24" s="406"/>
      <c r="H24" s="407" t="s">
        <v>462</v>
      </c>
      <c r="I24" s="408"/>
      <c r="J24" s="471" t="str">
        <f t="shared" si="0"/>
        <v>N</v>
      </c>
      <c r="K24" s="470" t="str">
        <f t="shared" si="1"/>
        <v>N</v>
      </c>
      <c r="L24" s="401" t="str">
        <f t="shared" si="2"/>
        <v>N</v>
      </c>
      <c r="M24" s="40" t="s">
        <v>701</v>
      </c>
    </row>
    <row r="25" spans="2:13" x14ac:dyDescent="0.15">
      <c r="B25" s="40" t="s">
        <v>460</v>
      </c>
      <c r="C25" s="402">
        <f>E24+1</f>
        <v>89</v>
      </c>
      <c r="D25" s="403">
        <v>8</v>
      </c>
      <c r="E25" s="404">
        <f>C25+D25-1</f>
        <v>96</v>
      </c>
      <c r="F25" s="405" t="s">
        <v>330</v>
      </c>
      <c r="G25" s="406" t="s">
        <v>30</v>
      </c>
      <c r="H25" s="407" t="s">
        <v>479</v>
      </c>
      <c r="I25" s="408"/>
      <c r="J25" s="470" t="str">
        <f t="shared" si="0"/>
        <v>20241016</v>
      </c>
      <c r="K25" s="471" t="str">
        <f t="shared" si="1"/>
        <v>20130305</v>
      </c>
      <c r="L25" s="401" t="str">
        <f t="shared" si="2"/>
        <v>20130305</v>
      </c>
      <c r="M25" s="40" t="s">
        <v>1206</v>
      </c>
    </row>
    <row r="26" spans="2:13" x14ac:dyDescent="0.15">
      <c r="B26" s="40" t="s">
        <v>463</v>
      </c>
      <c r="C26" s="353">
        <f t="shared" si="3"/>
        <v>97</v>
      </c>
      <c r="D26" s="354">
        <v>19</v>
      </c>
      <c r="E26" s="355">
        <f t="shared" si="4"/>
        <v>115</v>
      </c>
      <c r="F26" s="356" t="s">
        <v>330</v>
      </c>
      <c r="G26" s="357"/>
      <c r="H26" s="358" t="s">
        <v>472</v>
      </c>
      <c r="J26" s="40" t="str">
        <f t="shared" si="0"/>
        <v>0000191000006009468</v>
      </c>
      <c r="K26" s="40" t="str">
        <f t="shared" si="1"/>
        <v>0000181000007243705</v>
      </c>
      <c r="L26" s="40" t="str">
        <f t="shared" si="2"/>
        <v>0000181000008099751</v>
      </c>
      <c r="M26" s="40" t="s">
        <v>1207</v>
      </c>
    </row>
    <row r="27" spans="2:13" x14ac:dyDescent="0.15">
      <c r="B27" s="40" t="s">
        <v>464</v>
      </c>
      <c r="C27" s="46">
        <f t="shared" si="3"/>
        <v>116</v>
      </c>
      <c r="D27" s="45">
        <v>30</v>
      </c>
      <c r="E27" s="47">
        <f t="shared" si="4"/>
        <v>145</v>
      </c>
      <c r="F27" s="49" t="s">
        <v>330</v>
      </c>
      <c r="G27" s="48"/>
      <c r="H27" s="58" t="s">
        <v>469</v>
      </c>
      <c r="J27" s="40" t="str">
        <f t="shared" si="0"/>
        <v xml:space="preserve">CHAFLOQUE RAMIREZ             </v>
      </c>
      <c r="K27" s="40" t="str">
        <f t="shared" si="1"/>
        <v xml:space="preserve">ALARCO OLAVARRIA              </v>
      </c>
      <c r="L27" s="40" t="str">
        <f t="shared" si="2"/>
        <v xml:space="preserve">URQUIAGA SALAZAR              </v>
      </c>
      <c r="M27" s="40" t="s">
        <v>1208</v>
      </c>
    </row>
    <row r="28" spans="2:13" x14ac:dyDescent="0.15">
      <c r="B28" s="40" t="s">
        <v>465</v>
      </c>
      <c r="C28" s="46">
        <f t="shared" si="3"/>
        <v>146</v>
      </c>
      <c r="D28" s="45">
        <v>30</v>
      </c>
      <c r="E28" s="47">
        <f>C28+D28-1</f>
        <v>175</v>
      </c>
      <c r="F28" s="49" t="s">
        <v>330</v>
      </c>
      <c r="G28" s="48"/>
      <c r="H28" s="58" t="s">
        <v>470</v>
      </c>
      <c r="J28" s="40" t="str">
        <f t="shared" si="0"/>
        <v xml:space="preserve">PEDRO PABLO                   </v>
      </c>
      <c r="K28" s="40" t="str">
        <f t="shared" si="1"/>
        <v xml:space="preserve">MARIA JESUS                   </v>
      </c>
      <c r="L28" s="40" t="str">
        <f t="shared" si="2"/>
        <v xml:space="preserve">JAVIER BALTAZAR               </v>
      </c>
      <c r="M28" s="40" t="s">
        <v>1209</v>
      </c>
    </row>
    <row r="29" spans="2:13" x14ac:dyDescent="0.15">
      <c r="B29" s="40" t="s">
        <v>466</v>
      </c>
      <c r="C29" s="46">
        <f>E28+1</f>
        <v>176</v>
      </c>
      <c r="D29" s="45">
        <v>2</v>
      </c>
      <c r="E29" s="47">
        <f>C29+D29-1</f>
        <v>177</v>
      </c>
      <c r="F29" s="49" t="s">
        <v>329</v>
      </c>
      <c r="G29" s="48"/>
      <c r="H29" s="58" t="s">
        <v>468</v>
      </c>
      <c r="J29" s="40" t="str">
        <f t="shared" si="0"/>
        <v>07</v>
      </c>
      <c r="K29" s="40" t="str">
        <f t="shared" si="1"/>
        <v>01</v>
      </c>
      <c r="L29" s="40" t="str">
        <f t="shared" si="2"/>
        <v>10</v>
      </c>
      <c r="M29" s="40" t="s">
        <v>1210</v>
      </c>
    </row>
    <row r="30" spans="2:13" ht="22.5" x14ac:dyDescent="0.15">
      <c r="C30" s="46">
        <f>E29+1</f>
        <v>178</v>
      </c>
      <c r="D30" s="45">
        <v>20</v>
      </c>
      <c r="E30" s="47">
        <f>C30+D30-1</f>
        <v>197</v>
      </c>
      <c r="F30" s="49" t="s">
        <v>329</v>
      </c>
      <c r="G30" s="48"/>
      <c r="H30" s="58" t="s">
        <v>482</v>
      </c>
      <c r="J30" s="40" t="str">
        <f t="shared" si="0"/>
        <v xml:space="preserve">00000600946801      </v>
      </c>
      <c r="K30" s="40" t="str">
        <f t="shared" si="1"/>
        <v xml:space="preserve"> 1000007243705      </v>
      </c>
      <c r="L30" s="40" t="str">
        <f t="shared" si="2"/>
        <v xml:space="preserve"> 1000008099751      </v>
      </c>
      <c r="M30" s="40" t="s">
        <v>1211</v>
      </c>
    </row>
    <row r="31" spans="2:13" x14ac:dyDescent="0.15">
      <c r="B31" s="40" t="s">
        <v>467</v>
      </c>
      <c r="C31" s="46">
        <f>E30+1</f>
        <v>198</v>
      </c>
      <c r="D31" s="45">
        <v>3</v>
      </c>
      <c r="E31" s="47">
        <f>C31+D31-1</f>
        <v>200</v>
      </c>
      <c r="F31" s="49" t="s">
        <v>330</v>
      </c>
      <c r="G31" s="48"/>
      <c r="H31" s="58" t="s">
        <v>471</v>
      </c>
      <c r="J31" s="40" t="str">
        <f t="shared" si="0"/>
        <v xml:space="preserve">   </v>
      </c>
      <c r="K31" s="40" t="str">
        <f t="shared" si="1"/>
        <v xml:space="preserve">   </v>
      </c>
      <c r="L31" s="40" t="str">
        <f t="shared" si="2"/>
        <v xml:space="preserve">   </v>
      </c>
      <c r="M31" s="40" t="s">
        <v>1212</v>
      </c>
    </row>
    <row r="32" spans="2:13" x14ac:dyDescent="0.15">
      <c r="C32" s="46"/>
      <c r="D32" s="45"/>
      <c r="E32" s="47"/>
      <c r="F32" s="49"/>
      <c r="G32" s="48"/>
      <c r="H32" s="58"/>
    </row>
    <row r="33" spans="2:8" x14ac:dyDescent="0.15">
      <c r="B33" s="45"/>
      <c r="C33" s="46"/>
      <c r="D33" s="59"/>
      <c r="E33" s="47"/>
      <c r="F33" s="49"/>
      <c r="H33" s="58"/>
    </row>
    <row r="34" spans="2:8" x14ac:dyDescent="0.15">
      <c r="B34" s="45" t="s">
        <v>1269</v>
      </c>
      <c r="C34" s="46"/>
      <c r="D34" s="59"/>
      <c r="E34" s="47"/>
      <c r="F34" s="49"/>
      <c r="H34" s="58"/>
    </row>
    <row r="35" spans="2:8" x14ac:dyDescent="0.15">
      <c r="B35" s="45"/>
      <c r="C35" s="46"/>
      <c r="D35" s="59"/>
      <c r="E35" s="47"/>
      <c r="F35" s="49"/>
      <c r="H35" s="58"/>
    </row>
    <row r="36" spans="2:8" x14ac:dyDescent="0.15">
      <c r="B36" s="45" t="s">
        <v>1539</v>
      </c>
      <c r="C36" s="46"/>
      <c r="D36" s="59"/>
      <c r="E36" s="47"/>
      <c r="F36" s="49"/>
      <c r="H36" s="58"/>
    </row>
    <row r="37" spans="2:8" x14ac:dyDescent="0.15">
      <c r="B37" s="45" t="s">
        <v>1267</v>
      </c>
      <c r="C37" s="46"/>
      <c r="D37" s="59"/>
      <c r="E37" s="47"/>
      <c r="F37" s="49"/>
      <c r="H37" s="58"/>
    </row>
    <row r="38" spans="2:8" x14ac:dyDescent="0.15">
      <c r="B38" s="45"/>
      <c r="C38" s="46"/>
      <c r="D38" s="59"/>
      <c r="E38" s="47"/>
      <c r="F38" s="49"/>
      <c r="H38" s="58"/>
    </row>
    <row r="39" spans="2:8" x14ac:dyDescent="0.15">
      <c r="B39" s="45"/>
      <c r="C39" s="46"/>
      <c r="D39" s="59"/>
      <c r="E39" s="47"/>
      <c r="F39" s="49"/>
      <c r="H39" s="58"/>
    </row>
    <row r="40" spans="2:8" x14ac:dyDescent="0.15">
      <c r="B40" s="45"/>
      <c r="C40" s="46"/>
      <c r="D40" s="59"/>
      <c r="E40" s="47"/>
      <c r="F40" s="49"/>
      <c r="H40" s="58"/>
    </row>
    <row r="41" spans="2:8" x14ac:dyDescent="0.15">
      <c r="B41" s="45"/>
      <c r="C41" s="46"/>
      <c r="D41" s="59"/>
      <c r="E41" s="47"/>
      <c r="F41" s="49"/>
      <c r="H41" s="58"/>
    </row>
    <row r="42" spans="2:8" x14ac:dyDescent="0.15">
      <c r="B42" s="45"/>
      <c r="C42" s="46"/>
      <c r="D42" s="59"/>
      <c r="E42" s="47"/>
      <c r="F42" s="49"/>
      <c r="H42" s="58"/>
    </row>
    <row r="43" spans="2:8" x14ac:dyDescent="0.15">
      <c r="B43" s="45"/>
      <c r="C43" s="46"/>
      <c r="D43" s="59"/>
      <c r="E43" s="47"/>
      <c r="F43" s="49"/>
      <c r="H43" s="58"/>
    </row>
    <row r="44" spans="2:8" x14ac:dyDescent="0.15">
      <c r="B44" s="45"/>
      <c r="C44" s="46"/>
      <c r="D44" s="59"/>
      <c r="E44" s="47"/>
      <c r="F44" s="49"/>
      <c r="H44" s="58"/>
    </row>
    <row r="45" spans="2:8" x14ac:dyDescent="0.15">
      <c r="B45" s="45"/>
      <c r="C45" s="46"/>
      <c r="D45" s="59"/>
      <c r="E45" s="47"/>
      <c r="F45" s="49"/>
      <c r="H45" s="58"/>
    </row>
    <row r="46" spans="2:8" x14ac:dyDescent="0.15">
      <c r="B46" s="45"/>
      <c r="C46" s="46"/>
      <c r="D46" s="59"/>
      <c r="E46" s="47"/>
      <c r="F46" s="49"/>
      <c r="H46" s="58"/>
    </row>
    <row r="47" spans="2:8" x14ac:dyDescent="0.15">
      <c r="B47" s="45"/>
      <c r="C47" s="46"/>
      <c r="D47" s="59"/>
      <c r="E47" s="47"/>
      <c r="F47" s="49"/>
      <c r="H47" s="58"/>
    </row>
    <row r="48" spans="2:8" x14ac:dyDescent="0.15">
      <c r="B48" s="45"/>
      <c r="C48" s="46"/>
      <c r="D48" s="59"/>
      <c r="E48" s="47"/>
      <c r="F48" s="49"/>
      <c r="H48" s="58"/>
    </row>
    <row r="49" spans="2:8" x14ac:dyDescent="0.15">
      <c r="B49" s="45"/>
      <c r="C49" s="46"/>
      <c r="D49" s="59"/>
      <c r="E49" s="47"/>
      <c r="F49" s="49"/>
      <c r="H49" s="58"/>
    </row>
    <row r="50" spans="2:8" x14ac:dyDescent="0.15">
      <c r="B50" s="45"/>
      <c r="C50" s="46"/>
      <c r="D50" s="59"/>
      <c r="E50" s="47"/>
      <c r="F50" s="49"/>
      <c r="H50" s="58"/>
    </row>
    <row r="51" spans="2:8" x14ac:dyDescent="0.15">
      <c r="B51" s="45"/>
      <c r="C51" s="46"/>
      <c r="D51" s="59"/>
      <c r="E51" s="47"/>
      <c r="F51" s="49"/>
      <c r="H51" s="58"/>
    </row>
    <row r="52" spans="2:8" x14ac:dyDescent="0.15">
      <c r="B52" s="45"/>
      <c r="C52" s="46"/>
      <c r="D52" s="59"/>
      <c r="E52" s="47"/>
      <c r="F52" s="49"/>
      <c r="H52" s="58"/>
    </row>
    <row r="53" spans="2:8" x14ac:dyDescent="0.15">
      <c r="B53" s="45"/>
      <c r="C53" s="46"/>
      <c r="D53" s="59"/>
      <c r="E53" s="47"/>
      <c r="F53" s="49"/>
      <c r="H53" s="58"/>
    </row>
    <row r="54" spans="2:8" x14ac:dyDescent="0.15">
      <c r="C54" s="46"/>
      <c r="E54" s="47"/>
      <c r="F54" s="49"/>
    </row>
    <row r="55" spans="2:8" x14ac:dyDescent="0.15">
      <c r="C55" s="46"/>
      <c r="E55" s="47"/>
      <c r="F55" s="49"/>
    </row>
    <row r="56" spans="2:8" x14ac:dyDescent="0.15">
      <c r="C56" s="46"/>
    </row>
  </sheetData>
  <phoneticPr fontId="13" type="noConversion"/>
  <pageMargins left="0.75" right="0.75" top="1" bottom="1" header="0" footer="0"/>
  <pageSetup paperSize="256" scale="78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I39"/>
  <sheetViews>
    <sheetView showGridLines="0" topLeftCell="E16" zoomScale="85" zoomScaleNormal="85" zoomScaleSheetLayoutView="50" workbookViewId="0">
      <selection activeCell="H45" sqref="H45"/>
    </sheetView>
  </sheetViews>
  <sheetFormatPr baseColWidth="10" defaultColWidth="7.44140625" defaultRowHeight="15" x14ac:dyDescent="0.2"/>
  <cols>
    <col min="1" max="1" width="10.77734375" style="1" customWidth="1"/>
    <col min="2" max="2" width="18.6640625" style="1" customWidth="1"/>
    <col min="3" max="3" width="8.109375" style="1" customWidth="1"/>
    <col min="4" max="4" width="11.44140625" style="4" bestFit="1" customWidth="1"/>
    <col min="5" max="5" width="5.33203125" style="1" customWidth="1"/>
    <col min="6" max="6" width="4.21875" style="1" customWidth="1"/>
    <col min="7" max="7" width="51.88671875" style="1" customWidth="1"/>
    <col min="8" max="8" width="24.21875" style="1" customWidth="1"/>
    <col min="9" max="9" width="10.109375" style="1" hidden="1" customWidth="1"/>
    <col min="10" max="10" width="2.77734375" style="1" customWidth="1"/>
    <col min="11" max="256" width="7.44140625" style="1"/>
    <col min="257" max="257" width="10.77734375" style="1" customWidth="1"/>
    <col min="258" max="258" width="18.6640625" style="1" customWidth="1"/>
    <col min="259" max="259" width="8.109375" style="1" customWidth="1"/>
    <col min="260" max="260" width="11.44140625" style="1" bestFit="1" customWidth="1"/>
    <col min="261" max="261" width="5.33203125" style="1" customWidth="1"/>
    <col min="262" max="262" width="4.21875" style="1" customWidth="1"/>
    <col min="263" max="263" width="68.88671875" style="1" customWidth="1"/>
    <col min="264" max="264" width="7.21875" style="1" customWidth="1"/>
    <col min="265" max="265" width="0" style="1" hidden="1" customWidth="1"/>
    <col min="266" max="266" width="2.77734375" style="1" customWidth="1"/>
    <col min="267" max="512" width="7.44140625" style="1"/>
    <col min="513" max="513" width="10.77734375" style="1" customWidth="1"/>
    <col min="514" max="514" width="18.6640625" style="1" customWidth="1"/>
    <col min="515" max="515" width="8.109375" style="1" customWidth="1"/>
    <col min="516" max="516" width="11.44140625" style="1" bestFit="1" customWidth="1"/>
    <col min="517" max="517" width="5.33203125" style="1" customWidth="1"/>
    <col min="518" max="518" width="4.21875" style="1" customWidth="1"/>
    <col min="519" max="519" width="68.88671875" style="1" customWidth="1"/>
    <col min="520" max="520" width="7.21875" style="1" customWidth="1"/>
    <col min="521" max="521" width="0" style="1" hidden="1" customWidth="1"/>
    <col min="522" max="522" width="2.77734375" style="1" customWidth="1"/>
    <col min="523" max="768" width="7.44140625" style="1"/>
    <col min="769" max="769" width="10.77734375" style="1" customWidth="1"/>
    <col min="770" max="770" width="18.6640625" style="1" customWidth="1"/>
    <col min="771" max="771" width="8.109375" style="1" customWidth="1"/>
    <col min="772" max="772" width="11.44140625" style="1" bestFit="1" customWidth="1"/>
    <col min="773" max="773" width="5.33203125" style="1" customWidth="1"/>
    <col min="774" max="774" width="4.21875" style="1" customWidth="1"/>
    <col min="775" max="775" width="68.88671875" style="1" customWidth="1"/>
    <col min="776" max="776" width="7.21875" style="1" customWidth="1"/>
    <col min="777" max="777" width="0" style="1" hidden="1" customWidth="1"/>
    <col min="778" max="778" width="2.77734375" style="1" customWidth="1"/>
    <col min="779" max="1024" width="7.44140625" style="1"/>
    <col min="1025" max="1025" width="10.77734375" style="1" customWidth="1"/>
    <col min="1026" max="1026" width="18.6640625" style="1" customWidth="1"/>
    <col min="1027" max="1027" width="8.109375" style="1" customWidth="1"/>
    <col min="1028" max="1028" width="11.44140625" style="1" bestFit="1" customWidth="1"/>
    <col min="1029" max="1029" width="5.33203125" style="1" customWidth="1"/>
    <col min="1030" max="1030" width="4.21875" style="1" customWidth="1"/>
    <col min="1031" max="1031" width="68.88671875" style="1" customWidth="1"/>
    <col min="1032" max="1032" width="7.21875" style="1" customWidth="1"/>
    <col min="1033" max="1033" width="0" style="1" hidden="1" customWidth="1"/>
    <col min="1034" max="1034" width="2.77734375" style="1" customWidth="1"/>
    <col min="1035" max="1280" width="7.44140625" style="1"/>
    <col min="1281" max="1281" width="10.77734375" style="1" customWidth="1"/>
    <col min="1282" max="1282" width="18.6640625" style="1" customWidth="1"/>
    <col min="1283" max="1283" width="8.109375" style="1" customWidth="1"/>
    <col min="1284" max="1284" width="11.44140625" style="1" bestFit="1" customWidth="1"/>
    <col min="1285" max="1285" width="5.33203125" style="1" customWidth="1"/>
    <col min="1286" max="1286" width="4.21875" style="1" customWidth="1"/>
    <col min="1287" max="1287" width="68.88671875" style="1" customWidth="1"/>
    <col min="1288" max="1288" width="7.21875" style="1" customWidth="1"/>
    <col min="1289" max="1289" width="0" style="1" hidden="1" customWidth="1"/>
    <col min="1290" max="1290" width="2.77734375" style="1" customWidth="1"/>
    <col min="1291" max="1536" width="7.44140625" style="1"/>
    <col min="1537" max="1537" width="10.77734375" style="1" customWidth="1"/>
    <col min="1538" max="1538" width="18.6640625" style="1" customWidth="1"/>
    <col min="1539" max="1539" width="8.109375" style="1" customWidth="1"/>
    <col min="1540" max="1540" width="11.44140625" style="1" bestFit="1" customWidth="1"/>
    <col min="1541" max="1541" width="5.33203125" style="1" customWidth="1"/>
    <col min="1542" max="1542" width="4.21875" style="1" customWidth="1"/>
    <col min="1543" max="1543" width="68.88671875" style="1" customWidth="1"/>
    <col min="1544" max="1544" width="7.21875" style="1" customWidth="1"/>
    <col min="1545" max="1545" width="0" style="1" hidden="1" customWidth="1"/>
    <col min="1546" max="1546" width="2.77734375" style="1" customWidth="1"/>
    <col min="1547" max="1792" width="7.44140625" style="1"/>
    <col min="1793" max="1793" width="10.77734375" style="1" customWidth="1"/>
    <col min="1794" max="1794" width="18.6640625" style="1" customWidth="1"/>
    <col min="1795" max="1795" width="8.109375" style="1" customWidth="1"/>
    <col min="1796" max="1796" width="11.44140625" style="1" bestFit="1" customWidth="1"/>
    <col min="1797" max="1797" width="5.33203125" style="1" customWidth="1"/>
    <col min="1798" max="1798" width="4.21875" style="1" customWidth="1"/>
    <col min="1799" max="1799" width="68.88671875" style="1" customWidth="1"/>
    <col min="1800" max="1800" width="7.21875" style="1" customWidth="1"/>
    <col min="1801" max="1801" width="0" style="1" hidden="1" customWidth="1"/>
    <col min="1802" max="1802" width="2.77734375" style="1" customWidth="1"/>
    <col min="1803" max="2048" width="7.44140625" style="1"/>
    <col min="2049" max="2049" width="10.77734375" style="1" customWidth="1"/>
    <col min="2050" max="2050" width="18.6640625" style="1" customWidth="1"/>
    <col min="2051" max="2051" width="8.109375" style="1" customWidth="1"/>
    <col min="2052" max="2052" width="11.44140625" style="1" bestFit="1" customWidth="1"/>
    <col min="2053" max="2053" width="5.33203125" style="1" customWidth="1"/>
    <col min="2054" max="2054" width="4.21875" style="1" customWidth="1"/>
    <col min="2055" max="2055" width="68.88671875" style="1" customWidth="1"/>
    <col min="2056" max="2056" width="7.21875" style="1" customWidth="1"/>
    <col min="2057" max="2057" width="0" style="1" hidden="1" customWidth="1"/>
    <col min="2058" max="2058" width="2.77734375" style="1" customWidth="1"/>
    <col min="2059" max="2304" width="7.44140625" style="1"/>
    <col min="2305" max="2305" width="10.77734375" style="1" customWidth="1"/>
    <col min="2306" max="2306" width="18.6640625" style="1" customWidth="1"/>
    <col min="2307" max="2307" width="8.109375" style="1" customWidth="1"/>
    <col min="2308" max="2308" width="11.44140625" style="1" bestFit="1" customWidth="1"/>
    <col min="2309" max="2309" width="5.33203125" style="1" customWidth="1"/>
    <col min="2310" max="2310" width="4.21875" style="1" customWidth="1"/>
    <col min="2311" max="2311" width="68.88671875" style="1" customWidth="1"/>
    <col min="2312" max="2312" width="7.21875" style="1" customWidth="1"/>
    <col min="2313" max="2313" width="0" style="1" hidden="1" customWidth="1"/>
    <col min="2314" max="2314" width="2.77734375" style="1" customWidth="1"/>
    <col min="2315" max="2560" width="7.44140625" style="1"/>
    <col min="2561" max="2561" width="10.77734375" style="1" customWidth="1"/>
    <col min="2562" max="2562" width="18.6640625" style="1" customWidth="1"/>
    <col min="2563" max="2563" width="8.109375" style="1" customWidth="1"/>
    <col min="2564" max="2564" width="11.44140625" style="1" bestFit="1" customWidth="1"/>
    <col min="2565" max="2565" width="5.33203125" style="1" customWidth="1"/>
    <col min="2566" max="2566" width="4.21875" style="1" customWidth="1"/>
    <col min="2567" max="2567" width="68.88671875" style="1" customWidth="1"/>
    <col min="2568" max="2568" width="7.21875" style="1" customWidth="1"/>
    <col min="2569" max="2569" width="0" style="1" hidden="1" customWidth="1"/>
    <col min="2570" max="2570" width="2.77734375" style="1" customWidth="1"/>
    <col min="2571" max="2816" width="7.44140625" style="1"/>
    <col min="2817" max="2817" width="10.77734375" style="1" customWidth="1"/>
    <col min="2818" max="2818" width="18.6640625" style="1" customWidth="1"/>
    <col min="2819" max="2819" width="8.109375" style="1" customWidth="1"/>
    <col min="2820" max="2820" width="11.44140625" style="1" bestFit="1" customWidth="1"/>
    <col min="2821" max="2821" width="5.33203125" style="1" customWidth="1"/>
    <col min="2822" max="2822" width="4.21875" style="1" customWidth="1"/>
    <col min="2823" max="2823" width="68.88671875" style="1" customWidth="1"/>
    <col min="2824" max="2824" width="7.21875" style="1" customWidth="1"/>
    <col min="2825" max="2825" width="0" style="1" hidden="1" customWidth="1"/>
    <col min="2826" max="2826" width="2.77734375" style="1" customWidth="1"/>
    <col min="2827" max="3072" width="7.44140625" style="1"/>
    <col min="3073" max="3073" width="10.77734375" style="1" customWidth="1"/>
    <col min="3074" max="3074" width="18.6640625" style="1" customWidth="1"/>
    <col min="3075" max="3075" width="8.109375" style="1" customWidth="1"/>
    <col min="3076" max="3076" width="11.44140625" style="1" bestFit="1" customWidth="1"/>
    <col min="3077" max="3077" width="5.33203125" style="1" customWidth="1"/>
    <col min="3078" max="3078" width="4.21875" style="1" customWidth="1"/>
    <col min="3079" max="3079" width="68.88671875" style="1" customWidth="1"/>
    <col min="3080" max="3080" width="7.21875" style="1" customWidth="1"/>
    <col min="3081" max="3081" width="0" style="1" hidden="1" customWidth="1"/>
    <col min="3082" max="3082" width="2.77734375" style="1" customWidth="1"/>
    <col min="3083" max="3328" width="7.44140625" style="1"/>
    <col min="3329" max="3329" width="10.77734375" style="1" customWidth="1"/>
    <col min="3330" max="3330" width="18.6640625" style="1" customWidth="1"/>
    <col min="3331" max="3331" width="8.109375" style="1" customWidth="1"/>
    <col min="3332" max="3332" width="11.44140625" style="1" bestFit="1" customWidth="1"/>
    <col min="3333" max="3333" width="5.33203125" style="1" customWidth="1"/>
    <col min="3334" max="3334" width="4.21875" style="1" customWidth="1"/>
    <col min="3335" max="3335" width="68.88671875" style="1" customWidth="1"/>
    <col min="3336" max="3336" width="7.21875" style="1" customWidth="1"/>
    <col min="3337" max="3337" width="0" style="1" hidden="1" customWidth="1"/>
    <col min="3338" max="3338" width="2.77734375" style="1" customWidth="1"/>
    <col min="3339" max="3584" width="7.44140625" style="1"/>
    <col min="3585" max="3585" width="10.77734375" style="1" customWidth="1"/>
    <col min="3586" max="3586" width="18.6640625" style="1" customWidth="1"/>
    <col min="3587" max="3587" width="8.109375" style="1" customWidth="1"/>
    <col min="3588" max="3588" width="11.44140625" style="1" bestFit="1" customWidth="1"/>
    <col min="3589" max="3589" width="5.33203125" style="1" customWidth="1"/>
    <col min="3590" max="3590" width="4.21875" style="1" customWidth="1"/>
    <col min="3591" max="3591" width="68.88671875" style="1" customWidth="1"/>
    <col min="3592" max="3592" width="7.21875" style="1" customWidth="1"/>
    <col min="3593" max="3593" width="0" style="1" hidden="1" customWidth="1"/>
    <col min="3594" max="3594" width="2.77734375" style="1" customWidth="1"/>
    <col min="3595" max="3840" width="7.44140625" style="1"/>
    <col min="3841" max="3841" width="10.77734375" style="1" customWidth="1"/>
    <col min="3842" max="3842" width="18.6640625" style="1" customWidth="1"/>
    <col min="3843" max="3843" width="8.109375" style="1" customWidth="1"/>
    <col min="3844" max="3844" width="11.44140625" style="1" bestFit="1" customWidth="1"/>
    <col min="3845" max="3845" width="5.33203125" style="1" customWidth="1"/>
    <col min="3846" max="3846" width="4.21875" style="1" customWidth="1"/>
    <col min="3847" max="3847" width="68.88671875" style="1" customWidth="1"/>
    <col min="3848" max="3848" width="7.21875" style="1" customWidth="1"/>
    <col min="3849" max="3849" width="0" style="1" hidden="1" customWidth="1"/>
    <col min="3850" max="3850" width="2.77734375" style="1" customWidth="1"/>
    <col min="3851" max="4096" width="7.44140625" style="1"/>
    <col min="4097" max="4097" width="10.77734375" style="1" customWidth="1"/>
    <col min="4098" max="4098" width="18.6640625" style="1" customWidth="1"/>
    <col min="4099" max="4099" width="8.109375" style="1" customWidth="1"/>
    <col min="4100" max="4100" width="11.44140625" style="1" bestFit="1" customWidth="1"/>
    <col min="4101" max="4101" width="5.33203125" style="1" customWidth="1"/>
    <col min="4102" max="4102" width="4.21875" style="1" customWidth="1"/>
    <col min="4103" max="4103" width="68.88671875" style="1" customWidth="1"/>
    <col min="4104" max="4104" width="7.21875" style="1" customWidth="1"/>
    <col min="4105" max="4105" width="0" style="1" hidden="1" customWidth="1"/>
    <col min="4106" max="4106" width="2.77734375" style="1" customWidth="1"/>
    <col min="4107" max="4352" width="7.44140625" style="1"/>
    <col min="4353" max="4353" width="10.77734375" style="1" customWidth="1"/>
    <col min="4354" max="4354" width="18.6640625" style="1" customWidth="1"/>
    <col min="4355" max="4355" width="8.109375" style="1" customWidth="1"/>
    <col min="4356" max="4356" width="11.44140625" style="1" bestFit="1" customWidth="1"/>
    <col min="4357" max="4357" width="5.33203125" style="1" customWidth="1"/>
    <col min="4358" max="4358" width="4.21875" style="1" customWidth="1"/>
    <col min="4359" max="4359" width="68.88671875" style="1" customWidth="1"/>
    <col min="4360" max="4360" width="7.21875" style="1" customWidth="1"/>
    <col min="4361" max="4361" width="0" style="1" hidden="1" customWidth="1"/>
    <col min="4362" max="4362" width="2.77734375" style="1" customWidth="1"/>
    <col min="4363" max="4608" width="7.44140625" style="1"/>
    <col min="4609" max="4609" width="10.77734375" style="1" customWidth="1"/>
    <col min="4610" max="4610" width="18.6640625" style="1" customWidth="1"/>
    <col min="4611" max="4611" width="8.109375" style="1" customWidth="1"/>
    <col min="4612" max="4612" width="11.44140625" style="1" bestFit="1" customWidth="1"/>
    <col min="4613" max="4613" width="5.33203125" style="1" customWidth="1"/>
    <col min="4614" max="4614" width="4.21875" style="1" customWidth="1"/>
    <col min="4615" max="4615" width="68.88671875" style="1" customWidth="1"/>
    <col min="4616" max="4616" width="7.21875" style="1" customWidth="1"/>
    <col min="4617" max="4617" width="0" style="1" hidden="1" customWidth="1"/>
    <col min="4618" max="4618" width="2.77734375" style="1" customWidth="1"/>
    <col min="4619" max="4864" width="7.44140625" style="1"/>
    <col min="4865" max="4865" width="10.77734375" style="1" customWidth="1"/>
    <col min="4866" max="4866" width="18.6640625" style="1" customWidth="1"/>
    <col min="4867" max="4867" width="8.109375" style="1" customWidth="1"/>
    <col min="4868" max="4868" width="11.44140625" style="1" bestFit="1" customWidth="1"/>
    <col min="4869" max="4869" width="5.33203125" style="1" customWidth="1"/>
    <col min="4870" max="4870" width="4.21875" style="1" customWidth="1"/>
    <col min="4871" max="4871" width="68.88671875" style="1" customWidth="1"/>
    <col min="4872" max="4872" width="7.21875" style="1" customWidth="1"/>
    <col min="4873" max="4873" width="0" style="1" hidden="1" customWidth="1"/>
    <col min="4874" max="4874" width="2.77734375" style="1" customWidth="1"/>
    <col min="4875" max="5120" width="7.44140625" style="1"/>
    <col min="5121" max="5121" width="10.77734375" style="1" customWidth="1"/>
    <col min="5122" max="5122" width="18.6640625" style="1" customWidth="1"/>
    <col min="5123" max="5123" width="8.109375" style="1" customWidth="1"/>
    <col min="5124" max="5124" width="11.44140625" style="1" bestFit="1" customWidth="1"/>
    <col min="5125" max="5125" width="5.33203125" style="1" customWidth="1"/>
    <col min="5126" max="5126" width="4.21875" style="1" customWidth="1"/>
    <col min="5127" max="5127" width="68.88671875" style="1" customWidth="1"/>
    <col min="5128" max="5128" width="7.21875" style="1" customWidth="1"/>
    <col min="5129" max="5129" width="0" style="1" hidden="1" customWidth="1"/>
    <col min="5130" max="5130" width="2.77734375" style="1" customWidth="1"/>
    <col min="5131" max="5376" width="7.44140625" style="1"/>
    <col min="5377" max="5377" width="10.77734375" style="1" customWidth="1"/>
    <col min="5378" max="5378" width="18.6640625" style="1" customWidth="1"/>
    <col min="5379" max="5379" width="8.109375" style="1" customWidth="1"/>
    <col min="5380" max="5380" width="11.44140625" style="1" bestFit="1" customWidth="1"/>
    <col min="5381" max="5381" width="5.33203125" style="1" customWidth="1"/>
    <col min="5382" max="5382" width="4.21875" style="1" customWidth="1"/>
    <col min="5383" max="5383" width="68.88671875" style="1" customWidth="1"/>
    <col min="5384" max="5384" width="7.21875" style="1" customWidth="1"/>
    <col min="5385" max="5385" width="0" style="1" hidden="1" customWidth="1"/>
    <col min="5386" max="5386" width="2.77734375" style="1" customWidth="1"/>
    <col min="5387" max="5632" width="7.44140625" style="1"/>
    <col min="5633" max="5633" width="10.77734375" style="1" customWidth="1"/>
    <col min="5634" max="5634" width="18.6640625" style="1" customWidth="1"/>
    <col min="5635" max="5635" width="8.109375" style="1" customWidth="1"/>
    <col min="5636" max="5636" width="11.44140625" style="1" bestFit="1" customWidth="1"/>
    <col min="5637" max="5637" width="5.33203125" style="1" customWidth="1"/>
    <col min="5638" max="5638" width="4.21875" style="1" customWidth="1"/>
    <col min="5639" max="5639" width="68.88671875" style="1" customWidth="1"/>
    <col min="5640" max="5640" width="7.21875" style="1" customWidth="1"/>
    <col min="5641" max="5641" width="0" style="1" hidden="1" customWidth="1"/>
    <col min="5642" max="5642" width="2.77734375" style="1" customWidth="1"/>
    <col min="5643" max="5888" width="7.44140625" style="1"/>
    <col min="5889" max="5889" width="10.77734375" style="1" customWidth="1"/>
    <col min="5890" max="5890" width="18.6640625" style="1" customWidth="1"/>
    <col min="5891" max="5891" width="8.109375" style="1" customWidth="1"/>
    <col min="5892" max="5892" width="11.44140625" style="1" bestFit="1" customWidth="1"/>
    <col min="5893" max="5893" width="5.33203125" style="1" customWidth="1"/>
    <col min="5894" max="5894" width="4.21875" style="1" customWidth="1"/>
    <col min="5895" max="5895" width="68.88671875" style="1" customWidth="1"/>
    <col min="5896" max="5896" width="7.21875" style="1" customWidth="1"/>
    <col min="5897" max="5897" width="0" style="1" hidden="1" customWidth="1"/>
    <col min="5898" max="5898" width="2.77734375" style="1" customWidth="1"/>
    <col min="5899" max="6144" width="7.44140625" style="1"/>
    <col min="6145" max="6145" width="10.77734375" style="1" customWidth="1"/>
    <col min="6146" max="6146" width="18.6640625" style="1" customWidth="1"/>
    <col min="6147" max="6147" width="8.109375" style="1" customWidth="1"/>
    <col min="6148" max="6148" width="11.44140625" style="1" bestFit="1" customWidth="1"/>
    <col min="6149" max="6149" width="5.33203125" style="1" customWidth="1"/>
    <col min="6150" max="6150" width="4.21875" style="1" customWidth="1"/>
    <col min="6151" max="6151" width="68.88671875" style="1" customWidth="1"/>
    <col min="6152" max="6152" width="7.21875" style="1" customWidth="1"/>
    <col min="6153" max="6153" width="0" style="1" hidden="1" customWidth="1"/>
    <col min="6154" max="6154" width="2.77734375" style="1" customWidth="1"/>
    <col min="6155" max="6400" width="7.44140625" style="1"/>
    <col min="6401" max="6401" width="10.77734375" style="1" customWidth="1"/>
    <col min="6402" max="6402" width="18.6640625" style="1" customWidth="1"/>
    <col min="6403" max="6403" width="8.109375" style="1" customWidth="1"/>
    <col min="6404" max="6404" width="11.44140625" style="1" bestFit="1" customWidth="1"/>
    <col min="6405" max="6405" width="5.33203125" style="1" customWidth="1"/>
    <col min="6406" max="6406" width="4.21875" style="1" customWidth="1"/>
    <col min="6407" max="6407" width="68.88671875" style="1" customWidth="1"/>
    <col min="6408" max="6408" width="7.21875" style="1" customWidth="1"/>
    <col min="6409" max="6409" width="0" style="1" hidden="1" customWidth="1"/>
    <col min="6410" max="6410" width="2.77734375" style="1" customWidth="1"/>
    <col min="6411" max="6656" width="7.44140625" style="1"/>
    <col min="6657" max="6657" width="10.77734375" style="1" customWidth="1"/>
    <col min="6658" max="6658" width="18.6640625" style="1" customWidth="1"/>
    <col min="6659" max="6659" width="8.109375" style="1" customWidth="1"/>
    <col min="6660" max="6660" width="11.44140625" style="1" bestFit="1" customWidth="1"/>
    <col min="6661" max="6661" width="5.33203125" style="1" customWidth="1"/>
    <col min="6662" max="6662" width="4.21875" style="1" customWidth="1"/>
    <col min="6663" max="6663" width="68.88671875" style="1" customWidth="1"/>
    <col min="6664" max="6664" width="7.21875" style="1" customWidth="1"/>
    <col min="6665" max="6665" width="0" style="1" hidden="1" customWidth="1"/>
    <col min="6666" max="6666" width="2.77734375" style="1" customWidth="1"/>
    <col min="6667" max="6912" width="7.44140625" style="1"/>
    <col min="6913" max="6913" width="10.77734375" style="1" customWidth="1"/>
    <col min="6914" max="6914" width="18.6640625" style="1" customWidth="1"/>
    <col min="6915" max="6915" width="8.109375" style="1" customWidth="1"/>
    <col min="6916" max="6916" width="11.44140625" style="1" bestFit="1" customWidth="1"/>
    <col min="6917" max="6917" width="5.33203125" style="1" customWidth="1"/>
    <col min="6918" max="6918" width="4.21875" style="1" customWidth="1"/>
    <col min="6919" max="6919" width="68.88671875" style="1" customWidth="1"/>
    <col min="6920" max="6920" width="7.21875" style="1" customWidth="1"/>
    <col min="6921" max="6921" width="0" style="1" hidden="1" customWidth="1"/>
    <col min="6922" max="6922" width="2.77734375" style="1" customWidth="1"/>
    <col min="6923" max="7168" width="7.44140625" style="1"/>
    <col min="7169" max="7169" width="10.77734375" style="1" customWidth="1"/>
    <col min="7170" max="7170" width="18.6640625" style="1" customWidth="1"/>
    <col min="7171" max="7171" width="8.109375" style="1" customWidth="1"/>
    <col min="7172" max="7172" width="11.44140625" style="1" bestFit="1" customWidth="1"/>
    <col min="7173" max="7173" width="5.33203125" style="1" customWidth="1"/>
    <col min="7174" max="7174" width="4.21875" style="1" customWidth="1"/>
    <col min="7175" max="7175" width="68.88671875" style="1" customWidth="1"/>
    <col min="7176" max="7176" width="7.21875" style="1" customWidth="1"/>
    <col min="7177" max="7177" width="0" style="1" hidden="1" customWidth="1"/>
    <col min="7178" max="7178" width="2.77734375" style="1" customWidth="1"/>
    <col min="7179" max="7424" width="7.44140625" style="1"/>
    <col min="7425" max="7425" width="10.77734375" style="1" customWidth="1"/>
    <col min="7426" max="7426" width="18.6640625" style="1" customWidth="1"/>
    <col min="7427" max="7427" width="8.109375" style="1" customWidth="1"/>
    <col min="7428" max="7428" width="11.44140625" style="1" bestFit="1" customWidth="1"/>
    <col min="7429" max="7429" width="5.33203125" style="1" customWidth="1"/>
    <col min="7430" max="7430" width="4.21875" style="1" customWidth="1"/>
    <col min="7431" max="7431" width="68.88671875" style="1" customWidth="1"/>
    <col min="7432" max="7432" width="7.21875" style="1" customWidth="1"/>
    <col min="7433" max="7433" width="0" style="1" hidden="1" customWidth="1"/>
    <col min="7434" max="7434" width="2.77734375" style="1" customWidth="1"/>
    <col min="7435" max="7680" width="7.44140625" style="1"/>
    <col min="7681" max="7681" width="10.77734375" style="1" customWidth="1"/>
    <col min="7682" max="7682" width="18.6640625" style="1" customWidth="1"/>
    <col min="7683" max="7683" width="8.109375" style="1" customWidth="1"/>
    <col min="7684" max="7684" width="11.44140625" style="1" bestFit="1" customWidth="1"/>
    <col min="7685" max="7685" width="5.33203125" style="1" customWidth="1"/>
    <col min="7686" max="7686" width="4.21875" style="1" customWidth="1"/>
    <col min="7687" max="7687" width="68.88671875" style="1" customWidth="1"/>
    <col min="7688" max="7688" width="7.21875" style="1" customWidth="1"/>
    <col min="7689" max="7689" width="0" style="1" hidden="1" customWidth="1"/>
    <col min="7690" max="7690" width="2.77734375" style="1" customWidth="1"/>
    <col min="7691" max="7936" width="7.44140625" style="1"/>
    <col min="7937" max="7937" width="10.77734375" style="1" customWidth="1"/>
    <col min="7938" max="7938" width="18.6640625" style="1" customWidth="1"/>
    <col min="7939" max="7939" width="8.109375" style="1" customWidth="1"/>
    <col min="7940" max="7940" width="11.44140625" style="1" bestFit="1" customWidth="1"/>
    <col min="7941" max="7941" width="5.33203125" style="1" customWidth="1"/>
    <col min="7942" max="7942" width="4.21875" style="1" customWidth="1"/>
    <col min="7943" max="7943" width="68.88671875" style="1" customWidth="1"/>
    <col min="7944" max="7944" width="7.21875" style="1" customWidth="1"/>
    <col min="7945" max="7945" width="0" style="1" hidden="1" customWidth="1"/>
    <col min="7946" max="7946" width="2.77734375" style="1" customWidth="1"/>
    <col min="7947" max="8192" width="7.44140625" style="1"/>
    <col min="8193" max="8193" width="10.77734375" style="1" customWidth="1"/>
    <col min="8194" max="8194" width="18.6640625" style="1" customWidth="1"/>
    <col min="8195" max="8195" width="8.109375" style="1" customWidth="1"/>
    <col min="8196" max="8196" width="11.44140625" style="1" bestFit="1" customWidth="1"/>
    <col min="8197" max="8197" width="5.33203125" style="1" customWidth="1"/>
    <col min="8198" max="8198" width="4.21875" style="1" customWidth="1"/>
    <col min="8199" max="8199" width="68.88671875" style="1" customWidth="1"/>
    <col min="8200" max="8200" width="7.21875" style="1" customWidth="1"/>
    <col min="8201" max="8201" width="0" style="1" hidden="1" customWidth="1"/>
    <col min="8202" max="8202" width="2.77734375" style="1" customWidth="1"/>
    <col min="8203" max="8448" width="7.44140625" style="1"/>
    <col min="8449" max="8449" width="10.77734375" style="1" customWidth="1"/>
    <col min="8450" max="8450" width="18.6640625" style="1" customWidth="1"/>
    <col min="8451" max="8451" width="8.109375" style="1" customWidth="1"/>
    <col min="8452" max="8452" width="11.44140625" style="1" bestFit="1" customWidth="1"/>
    <col min="8453" max="8453" width="5.33203125" style="1" customWidth="1"/>
    <col min="8454" max="8454" width="4.21875" style="1" customWidth="1"/>
    <col min="8455" max="8455" width="68.88671875" style="1" customWidth="1"/>
    <col min="8456" max="8456" width="7.21875" style="1" customWidth="1"/>
    <col min="8457" max="8457" width="0" style="1" hidden="1" customWidth="1"/>
    <col min="8458" max="8458" width="2.77734375" style="1" customWidth="1"/>
    <col min="8459" max="8704" width="7.44140625" style="1"/>
    <col min="8705" max="8705" width="10.77734375" style="1" customWidth="1"/>
    <col min="8706" max="8706" width="18.6640625" style="1" customWidth="1"/>
    <col min="8707" max="8707" width="8.109375" style="1" customWidth="1"/>
    <col min="8708" max="8708" width="11.44140625" style="1" bestFit="1" customWidth="1"/>
    <col min="8709" max="8709" width="5.33203125" style="1" customWidth="1"/>
    <col min="8710" max="8710" width="4.21875" style="1" customWidth="1"/>
    <col min="8711" max="8711" width="68.88671875" style="1" customWidth="1"/>
    <col min="8712" max="8712" width="7.21875" style="1" customWidth="1"/>
    <col min="8713" max="8713" width="0" style="1" hidden="1" customWidth="1"/>
    <col min="8714" max="8714" width="2.77734375" style="1" customWidth="1"/>
    <col min="8715" max="8960" width="7.44140625" style="1"/>
    <col min="8961" max="8961" width="10.77734375" style="1" customWidth="1"/>
    <col min="8962" max="8962" width="18.6640625" style="1" customWidth="1"/>
    <col min="8963" max="8963" width="8.109375" style="1" customWidth="1"/>
    <col min="8964" max="8964" width="11.44140625" style="1" bestFit="1" customWidth="1"/>
    <col min="8965" max="8965" width="5.33203125" style="1" customWidth="1"/>
    <col min="8966" max="8966" width="4.21875" style="1" customWidth="1"/>
    <col min="8967" max="8967" width="68.88671875" style="1" customWidth="1"/>
    <col min="8968" max="8968" width="7.21875" style="1" customWidth="1"/>
    <col min="8969" max="8969" width="0" style="1" hidden="1" customWidth="1"/>
    <col min="8970" max="8970" width="2.77734375" style="1" customWidth="1"/>
    <col min="8971" max="9216" width="7.44140625" style="1"/>
    <col min="9217" max="9217" width="10.77734375" style="1" customWidth="1"/>
    <col min="9218" max="9218" width="18.6640625" style="1" customWidth="1"/>
    <col min="9219" max="9219" width="8.109375" style="1" customWidth="1"/>
    <col min="9220" max="9220" width="11.44140625" style="1" bestFit="1" customWidth="1"/>
    <col min="9221" max="9221" width="5.33203125" style="1" customWidth="1"/>
    <col min="9222" max="9222" width="4.21875" style="1" customWidth="1"/>
    <col min="9223" max="9223" width="68.88671875" style="1" customWidth="1"/>
    <col min="9224" max="9224" width="7.21875" style="1" customWidth="1"/>
    <col min="9225" max="9225" width="0" style="1" hidden="1" customWidth="1"/>
    <col min="9226" max="9226" width="2.77734375" style="1" customWidth="1"/>
    <col min="9227" max="9472" width="7.44140625" style="1"/>
    <col min="9473" max="9473" width="10.77734375" style="1" customWidth="1"/>
    <col min="9474" max="9474" width="18.6640625" style="1" customWidth="1"/>
    <col min="9475" max="9475" width="8.109375" style="1" customWidth="1"/>
    <col min="9476" max="9476" width="11.44140625" style="1" bestFit="1" customWidth="1"/>
    <col min="9477" max="9477" width="5.33203125" style="1" customWidth="1"/>
    <col min="9478" max="9478" width="4.21875" style="1" customWidth="1"/>
    <col min="9479" max="9479" width="68.88671875" style="1" customWidth="1"/>
    <col min="9480" max="9480" width="7.21875" style="1" customWidth="1"/>
    <col min="9481" max="9481" width="0" style="1" hidden="1" customWidth="1"/>
    <col min="9482" max="9482" width="2.77734375" style="1" customWidth="1"/>
    <col min="9483" max="9728" width="7.44140625" style="1"/>
    <col min="9729" max="9729" width="10.77734375" style="1" customWidth="1"/>
    <col min="9730" max="9730" width="18.6640625" style="1" customWidth="1"/>
    <col min="9731" max="9731" width="8.109375" style="1" customWidth="1"/>
    <col min="9732" max="9732" width="11.44140625" style="1" bestFit="1" customWidth="1"/>
    <col min="9733" max="9733" width="5.33203125" style="1" customWidth="1"/>
    <col min="9734" max="9734" width="4.21875" style="1" customWidth="1"/>
    <col min="9735" max="9735" width="68.88671875" style="1" customWidth="1"/>
    <col min="9736" max="9736" width="7.21875" style="1" customWidth="1"/>
    <col min="9737" max="9737" width="0" style="1" hidden="1" customWidth="1"/>
    <col min="9738" max="9738" width="2.77734375" style="1" customWidth="1"/>
    <col min="9739" max="9984" width="7.44140625" style="1"/>
    <col min="9985" max="9985" width="10.77734375" style="1" customWidth="1"/>
    <col min="9986" max="9986" width="18.6640625" style="1" customWidth="1"/>
    <col min="9987" max="9987" width="8.109375" style="1" customWidth="1"/>
    <col min="9988" max="9988" width="11.44140625" style="1" bestFit="1" customWidth="1"/>
    <col min="9989" max="9989" width="5.33203125" style="1" customWidth="1"/>
    <col min="9990" max="9990" width="4.21875" style="1" customWidth="1"/>
    <col min="9991" max="9991" width="68.88671875" style="1" customWidth="1"/>
    <col min="9992" max="9992" width="7.21875" style="1" customWidth="1"/>
    <col min="9993" max="9993" width="0" style="1" hidden="1" customWidth="1"/>
    <col min="9994" max="9994" width="2.77734375" style="1" customWidth="1"/>
    <col min="9995" max="10240" width="7.44140625" style="1"/>
    <col min="10241" max="10241" width="10.77734375" style="1" customWidth="1"/>
    <col min="10242" max="10242" width="18.6640625" style="1" customWidth="1"/>
    <col min="10243" max="10243" width="8.109375" style="1" customWidth="1"/>
    <col min="10244" max="10244" width="11.44140625" style="1" bestFit="1" customWidth="1"/>
    <col min="10245" max="10245" width="5.33203125" style="1" customWidth="1"/>
    <col min="10246" max="10246" width="4.21875" style="1" customWidth="1"/>
    <col min="10247" max="10247" width="68.88671875" style="1" customWidth="1"/>
    <col min="10248" max="10248" width="7.21875" style="1" customWidth="1"/>
    <col min="10249" max="10249" width="0" style="1" hidden="1" customWidth="1"/>
    <col min="10250" max="10250" width="2.77734375" style="1" customWidth="1"/>
    <col min="10251" max="10496" width="7.44140625" style="1"/>
    <col min="10497" max="10497" width="10.77734375" style="1" customWidth="1"/>
    <col min="10498" max="10498" width="18.6640625" style="1" customWidth="1"/>
    <col min="10499" max="10499" width="8.109375" style="1" customWidth="1"/>
    <col min="10500" max="10500" width="11.44140625" style="1" bestFit="1" customWidth="1"/>
    <col min="10501" max="10501" width="5.33203125" style="1" customWidth="1"/>
    <col min="10502" max="10502" width="4.21875" style="1" customWidth="1"/>
    <col min="10503" max="10503" width="68.88671875" style="1" customWidth="1"/>
    <col min="10504" max="10504" width="7.21875" style="1" customWidth="1"/>
    <col min="10505" max="10505" width="0" style="1" hidden="1" customWidth="1"/>
    <col min="10506" max="10506" width="2.77734375" style="1" customWidth="1"/>
    <col min="10507" max="10752" width="7.44140625" style="1"/>
    <col min="10753" max="10753" width="10.77734375" style="1" customWidth="1"/>
    <col min="10754" max="10754" width="18.6640625" style="1" customWidth="1"/>
    <col min="10755" max="10755" width="8.109375" style="1" customWidth="1"/>
    <col min="10756" max="10756" width="11.44140625" style="1" bestFit="1" customWidth="1"/>
    <col min="10757" max="10757" width="5.33203125" style="1" customWidth="1"/>
    <col min="10758" max="10758" width="4.21875" style="1" customWidth="1"/>
    <col min="10759" max="10759" width="68.88671875" style="1" customWidth="1"/>
    <col min="10760" max="10760" width="7.21875" style="1" customWidth="1"/>
    <col min="10761" max="10761" width="0" style="1" hidden="1" customWidth="1"/>
    <col min="10762" max="10762" width="2.77734375" style="1" customWidth="1"/>
    <col min="10763" max="11008" width="7.44140625" style="1"/>
    <col min="11009" max="11009" width="10.77734375" style="1" customWidth="1"/>
    <col min="11010" max="11010" width="18.6640625" style="1" customWidth="1"/>
    <col min="11011" max="11011" width="8.109375" style="1" customWidth="1"/>
    <col min="11012" max="11012" width="11.44140625" style="1" bestFit="1" customWidth="1"/>
    <col min="11013" max="11013" width="5.33203125" style="1" customWidth="1"/>
    <col min="11014" max="11014" width="4.21875" style="1" customWidth="1"/>
    <col min="11015" max="11015" width="68.88671875" style="1" customWidth="1"/>
    <col min="11016" max="11016" width="7.21875" style="1" customWidth="1"/>
    <col min="11017" max="11017" width="0" style="1" hidden="1" customWidth="1"/>
    <col min="11018" max="11018" width="2.77734375" style="1" customWidth="1"/>
    <col min="11019" max="11264" width="7.44140625" style="1"/>
    <col min="11265" max="11265" width="10.77734375" style="1" customWidth="1"/>
    <col min="11266" max="11266" width="18.6640625" style="1" customWidth="1"/>
    <col min="11267" max="11267" width="8.109375" style="1" customWidth="1"/>
    <col min="11268" max="11268" width="11.44140625" style="1" bestFit="1" customWidth="1"/>
    <col min="11269" max="11269" width="5.33203125" style="1" customWidth="1"/>
    <col min="11270" max="11270" width="4.21875" style="1" customWidth="1"/>
    <col min="11271" max="11271" width="68.88671875" style="1" customWidth="1"/>
    <col min="11272" max="11272" width="7.21875" style="1" customWidth="1"/>
    <col min="11273" max="11273" width="0" style="1" hidden="1" customWidth="1"/>
    <col min="11274" max="11274" width="2.77734375" style="1" customWidth="1"/>
    <col min="11275" max="11520" width="7.44140625" style="1"/>
    <col min="11521" max="11521" width="10.77734375" style="1" customWidth="1"/>
    <col min="11522" max="11522" width="18.6640625" style="1" customWidth="1"/>
    <col min="11523" max="11523" width="8.109375" style="1" customWidth="1"/>
    <col min="11524" max="11524" width="11.44140625" style="1" bestFit="1" customWidth="1"/>
    <col min="11525" max="11525" width="5.33203125" style="1" customWidth="1"/>
    <col min="11526" max="11526" width="4.21875" style="1" customWidth="1"/>
    <col min="11527" max="11527" width="68.88671875" style="1" customWidth="1"/>
    <col min="11528" max="11528" width="7.21875" style="1" customWidth="1"/>
    <col min="11529" max="11529" width="0" style="1" hidden="1" customWidth="1"/>
    <col min="11530" max="11530" width="2.77734375" style="1" customWidth="1"/>
    <col min="11531" max="11776" width="7.44140625" style="1"/>
    <col min="11777" max="11777" width="10.77734375" style="1" customWidth="1"/>
    <col min="11778" max="11778" width="18.6640625" style="1" customWidth="1"/>
    <col min="11779" max="11779" width="8.109375" style="1" customWidth="1"/>
    <col min="11780" max="11780" width="11.44140625" style="1" bestFit="1" customWidth="1"/>
    <col min="11781" max="11781" width="5.33203125" style="1" customWidth="1"/>
    <col min="11782" max="11782" width="4.21875" style="1" customWidth="1"/>
    <col min="11783" max="11783" width="68.88671875" style="1" customWidth="1"/>
    <col min="11784" max="11784" width="7.21875" style="1" customWidth="1"/>
    <col min="11785" max="11785" width="0" style="1" hidden="1" customWidth="1"/>
    <col min="11786" max="11786" width="2.77734375" style="1" customWidth="1"/>
    <col min="11787" max="12032" width="7.44140625" style="1"/>
    <col min="12033" max="12033" width="10.77734375" style="1" customWidth="1"/>
    <col min="12034" max="12034" width="18.6640625" style="1" customWidth="1"/>
    <col min="12035" max="12035" width="8.109375" style="1" customWidth="1"/>
    <col min="12036" max="12036" width="11.44140625" style="1" bestFit="1" customWidth="1"/>
    <col min="12037" max="12037" width="5.33203125" style="1" customWidth="1"/>
    <col min="12038" max="12038" width="4.21875" style="1" customWidth="1"/>
    <col min="12039" max="12039" width="68.88671875" style="1" customWidth="1"/>
    <col min="12040" max="12040" width="7.21875" style="1" customWidth="1"/>
    <col min="12041" max="12041" width="0" style="1" hidden="1" customWidth="1"/>
    <col min="12042" max="12042" width="2.77734375" style="1" customWidth="1"/>
    <col min="12043" max="12288" width="7.44140625" style="1"/>
    <col min="12289" max="12289" width="10.77734375" style="1" customWidth="1"/>
    <col min="12290" max="12290" width="18.6640625" style="1" customWidth="1"/>
    <col min="12291" max="12291" width="8.109375" style="1" customWidth="1"/>
    <col min="12292" max="12292" width="11.44140625" style="1" bestFit="1" customWidth="1"/>
    <col min="12293" max="12293" width="5.33203125" style="1" customWidth="1"/>
    <col min="12294" max="12294" width="4.21875" style="1" customWidth="1"/>
    <col min="12295" max="12295" width="68.88671875" style="1" customWidth="1"/>
    <col min="12296" max="12296" width="7.21875" style="1" customWidth="1"/>
    <col min="12297" max="12297" width="0" style="1" hidden="1" customWidth="1"/>
    <col min="12298" max="12298" width="2.77734375" style="1" customWidth="1"/>
    <col min="12299" max="12544" width="7.44140625" style="1"/>
    <col min="12545" max="12545" width="10.77734375" style="1" customWidth="1"/>
    <col min="12546" max="12546" width="18.6640625" style="1" customWidth="1"/>
    <col min="12547" max="12547" width="8.109375" style="1" customWidth="1"/>
    <col min="12548" max="12548" width="11.44140625" style="1" bestFit="1" customWidth="1"/>
    <col min="12549" max="12549" width="5.33203125" style="1" customWidth="1"/>
    <col min="12550" max="12550" width="4.21875" style="1" customWidth="1"/>
    <col min="12551" max="12551" width="68.88671875" style="1" customWidth="1"/>
    <col min="12552" max="12552" width="7.21875" style="1" customWidth="1"/>
    <col min="12553" max="12553" width="0" style="1" hidden="1" customWidth="1"/>
    <col min="12554" max="12554" width="2.77734375" style="1" customWidth="1"/>
    <col min="12555" max="12800" width="7.44140625" style="1"/>
    <col min="12801" max="12801" width="10.77734375" style="1" customWidth="1"/>
    <col min="12802" max="12802" width="18.6640625" style="1" customWidth="1"/>
    <col min="12803" max="12803" width="8.109375" style="1" customWidth="1"/>
    <col min="12804" max="12804" width="11.44140625" style="1" bestFit="1" customWidth="1"/>
    <col min="12805" max="12805" width="5.33203125" style="1" customWidth="1"/>
    <col min="12806" max="12806" width="4.21875" style="1" customWidth="1"/>
    <col min="12807" max="12807" width="68.88671875" style="1" customWidth="1"/>
    <col min="12808" max="12808" width="7.21875" style="1" customWidth="1"/>
    <col min="12809" max="12809" width="0" style="1" hidden="1" customWidth="1"/>
    <col min="12810" max="12810" width="2.77734375" style="1" customWidth="1"/>
    <col min="12811" max="13056" width="7.44140625" style="1"/>
    <col min="13057" max="13057" width="10.77734375" style="1" customWidth="1"/>
    <col min="13058" max="13058" width="18.6640625" style="1" customWidth="1"/>
    <col min="13059" max="13059" width="8.109375" style="1" customWidth="1"/>
    <col min="13060" max="13060" width="11.44140625" style="1" bestFit="1" customWidth="1"/>
    <col min="13061" max="13061" width="5.33203125" style="1" customWidth="1"/>
    <col min="13062" max="13062" width="4.21875" style="1" customWidth="1"/>
    <col min="13063" max="13063" width="68.88671875" style="1" customWidth="1"/>
    <col min="13064" max="13064" width="7.21875" style="1" customWidth="1"/>
    <col min="13065" max="13065" width="0" style="1" hidden="1" customWidth="1"/>
    <col min="13066" max="13066" width="2.77734375" style="1" customWidth="1"/>
    <col min="13067" max="13312" width="7.44140625" style="1"/>
    <col min="13313" max="13313" width="10.77734375" style="1" customWidth="1"/>
    <col min="13314" max="13314" width="18.6640625" style="1" customWidth="1"/>
    <col min="13315" max="13315" width="8.109375" style="1" customWidth="1"/>
    <col min="13316" max="13316" width="11.44140625" style="1" bestFit="1" customWidth="1"/>
    <col min="13317" max="13317" width="5.33203125" style="1" customWidth="1"/>
    <col min="13318" max="13318" width="4.21875" style="1" customWidth="1"/>
    <col min="13319" max="13319" width="68.88671875" style="1" customWidth="1"/>
    <col min="13320" max="13320" width="7.21875" style="1" customWidth="1"/>
    <col min="13321" max="13321" width="0" style="1" hidden="1" customWidth="1"/>
    <col min="13322" max="13322" width="2.77734375" style="1" customWidth="1"/>
    <col min="13323" max="13568" width="7.44140625" style="1"/>
    <col min="13569" max="13569" width="10.77734375" style="1" customWidth="1"/>
    <col min="13570" max="13570" width="18.6640625" style="1" customWidth="1"/>
    <col min="13571" max="13571" width="8.109375" style="1" customWidth="1"/>
    <col min="13572" max="13572" width="11.44140625" style="1" bestFit="1" customWidth="1"/>
    <col min="13573" max="13573" width="5.33203125" style="1" customWidth="1"/>
    <col min="13574" max="13574" width="4.21875" style="1" customWidth="1"/>
    <col min="13575" max="13575" width="68.88671875" style="1" customWidth="1"/>
    <col min="13576" max="13576" width="7.21875" style="1" customWidth="1"/>
    <col min="13577" max="13577" width="0" style="1" hidden="1" customWidth="1"/>
    <col min="13578" max="13578" width="2.77734375" style="1" customWidth="1"/>
    <col min="13579" max="13824" width="7.44140625" style="1"/>
    <col min="13825" max="13825" width="10.77734375" style="1" customWidth="1"/>
    <col min="13826" max="13826" width="18.6640625" style="1" customWidth="1"/>
    <col min="13827" max="13827" width="8.109375" style="1" customWidth="1"/>
    <col min="13828" max="13828" width="11.44140625" style="1" bestFit="1" customWidth="1"/>
    <col min="13829" max="13829" width="5.33203125" style="1" customWidth="1"/>
    <col min="13830" max="13830" width="4.21875" style="1" customWidth="1"/>
    <col min="13831" max="13831" width="68.88671875" style="1" customWidth="1"/>
    <col min="13832" max="13832" width="7.21875" style="1" customWidth="1"/>
    <col min="13833" max="13833" width="0" style="1" hidden="1" customWidth="1"/>
    <col min="13834" max="13834" width="2.77734375" style="1" customWidth="1"/>
    <col min="13835" max="14080" width="7.44140625" style="1"/>
    <col min="14081" max="14081" width="10.77734375" style="1" customWidth="1"/>
    <col min="14082" max="14082" width="18.6640625" style="1" customWidth="1"/>
    <col min="14083" max="14083" width="8.109375" style="1" customWidth="1"/>
    <col min="14084" max="14084" width="11.44140625" style="1" bestFit="1" customWidth="1"/>
    <col min="14085" max="14085" width="5.33203125" style="1" customWidth="1"/>
    <col min="14086" max="14086" width="4.21875" style="1" customWidth="1"/>
    <col min="14087" max="14087" width="68.88671875" style="1" customWidth="1"/>
    <col min="14088" max="14088" width="7.21875" style="1" customWidth="1"/>
    <col min="14089" max="14089" width="0" style="1" hidden="1" customWidth="1"/>
    <col min="14090" max="14090" width="2.77734375" style="1" customWidth="1"/>
    <col min="14091" max="14336" width="7.44140625" style="1"/>
    <col min="14337" max="14337" width="10.77734375" style="1" customWidth="1"/>
    <col min="14338" max="14338" width="18.6640625" style="1" customWidth="1"/>
    <col min="14339" max="14339" width="8.109375" style="1" customWidth="1"/>
    <col min="14340" max="14340" width="11.44140625" style="1" bestFit="1" customWidth="1"/>
    <col min="14341" max="14341" width="5.33203125" style="1" customWidth="1"/>
    <col min="14342" max="14342" width="4.21875" style="1" customWidth="1"/>
    <col min="14343" max="14343" width="68.88671875" style="1" customWidth="1"/>
    <col min="14344" max="14344" width="7.21875" style="1" customWidth="1"/>
    <col min="14345" max="14345" width="0" style="1" hidden="1" customWidth="1"/>
    <col min="14346" max="14346" width="2.77734375" style="1" customWidth="1"/>
    <col min="14347" max="14592" width="7.44140625" style="1"/>
    <col min="14593" max="14593" width="10.77734375" style="1" customWidth="1"/>
    <col min="14594" max="14594" width="18.6640625" style="1" customWidth="1"/>
    <col min="14595" max="14595" width="8.109375" style="1" customWidth="1"/>
    <col min="14596" max="14596" width="11.44140625" style="1" bestFit="1" customWidth="1"/>
    <col min="14597" max="14597" width="5.33203125" style="1" customWidth="1"/>
    <col min="14598" max="14598" width="4.21875" style="1" customWidth="1"/>
    <col min="14599" max="14599" width="68.88671875" style="1" customWidth="1"/>
    <col min="14600" max="14600" width="7.21875" style="1" customWidth="1"/>
    <col min="14601" max="14601" width="0" style="1" hidden="1" customWidth="1"/>
    <col min="14602" max="14602" width="2.77734375" style="1" customWidth="1"/>
    <col min="14603" max="14848" width="7.44140625" style="1"/>
    <col min="14849" max="14849" width="10.77734375" style="1" customWidth="1"/>
    <col min="14850" max="14850" width="18.6640625" style="1" customWidth="1"/>
    <col min="14851" max="14851" width="8.109375" style="1" customWidth="1"/>
    <col min="14852" max="14852" width="11.44140625" style="1" bestFit="1" customWidth="1"/>
    <col min="14853" max="14853" width="5.33203125" style="1" customWidth="1"/>
    <col min="14854" max="14854" width="4.21875" style="1" customWidth="1"/>
    <col min="14855" max="14855" width="68.88671875" style="1" customWidth="1"/>
    <col min="14856" max="14856" width="7.21875" style="1" customWidth="1"/>
    <col min="14857" max="14857" width="0" style="1" hidden="1" customWidth="1"/>
    <col min="14858" max="14858" width="2.77734375" style="1" customWidth="1"/>
    <col min="14859" max="15104" width="7.44140625" style="1"/>
    <col min="15105" max="15105" width="10.77734375" style="1" customWidth="1"/>
    <col min="15106" max="15106" width="18.6640625" style="1" customWidth="1"/>
    <col min="15107" max="15107" width="8.109375" style="1" customWidth="1"/>
    <col min="15108" max="15108" width="11.44140625" style="1" bestFit="1" customWidth="1"/>
    <col min="15109" max="15109" width="5.33203125" style="1" customWidth="1"/>
    <col min="15110" max="15110" width="4.21875" style="1" customWidth="1"/>
    <col min="15111" max="15111" width="68.88671875" style="1" customWidth="1"/>
    <col min="15112" max="15112" width="7.21875" style="1" customWidth="1"/>
    <col min="15113" max="15113" width="0" style="1" hidden="1" customWidth="1"/>
    <col min="15114" max="15114" width="2.77734375" style="1" customWidth="1"/>
    <col min="15115" max="15360" width="7.44140625" style="1"/>
    <col min="15361" max="15361" width="10.77734375" style="1" customWidth="1"/>
    <col min="15362" max="15362" width="18.6640625" style="1" customWidth="1"/>
    <col min="15363" max="15363" width="8.109375" style="1" customWidth="1"/>
    <col min="15364" max="15364" width="11.44140625" style="1" bestFit="1" customWidth="1"/>
    <col min="15365" max="15365" width="5.33203125" style="1" customWidth="1"/>
    <col min="15366" max="15366" width="4.21875" style="1" customWidth="1"/>
    <col min="15367" max="15367" width="68.88671875" style="1" customWidth="1"/>
    <col min="15368" max="15368" width="7.21875" style="1" customWidth="1"/>
    <col min="15369" max="15369" width="0" style="1" hidden="1" customWidth="1"/>
    <col min="15370" max="15370" width="2.77734375" style="1" customWidth="1"/>
    <col min="15371" max="15616" width="7.44140625" style="1"/>
    <col min="15617" max="15617" width="10.77734375" style="1" customWidth="1"/>
    <col min="15618" max="15618" width="18.6640625" style="1" customWidth="1"/>
    <col min="15619" max="15619" width="8.109375" style="1" customWidth="1"/>
    <col min="15620" max="15620" width="11.44140625" style="1" bestFit="1" customWidth="1"/>
    <col min="15621" max="15621" width="5.33203125" style="1" customWidth="1"/>
    <col min="15622" max="15622" width="4.21875" style="1" customWidth="1"/>
    <col min="15623" max="15623" width="68.88671875" style="1" customWidth="1"/>
    <col min="15624" max="15624" width="7.21875" style="1" customWidth="1"/>
    <col min="15625" max="15625" width="0" style="1" hidden="1" customWidth="1"/>
    <col min="15626" max="15626" width="2.77734375" style="1" customWidth="1"/>
    <col min="15627" max="15872" width="7.44140625" style="1"/>
    <col min="15873" max="15873" width="10.77734375" style="1" customWidth="1"/>
    <col min="15874" max="15874" width="18.6640625" style="1" customWidth="1"/>
    <col min="15875" max="15875" width="8.109375" style="1" customWidth="1"/>
    <col min="15876" max="15876" width="11.44140625" style="1" bestFit="1" customWidth="1"/>
    <col min="15877" max="15877" width="5.33203125" style="1" customWidth="1"/>
    <col min="15878" max="15878" width="4.21875" style="1" customWidth="1"/>
    <col min="15879" max="15879" width="68.88671875" style="1" customWidth="1"/>
    <col min="15880" max="15880" width="7.21875" style="1" customWidth="1"/>
    <col min="15881" max="15881" width="0" style="1" hidden="1" customWidth="1"/>
    <col min="15882" max="15882" width="2.77734375" style="1" customWidth="1"/>
    <col min="15883" max="16128" width="7.44140625" style="1"/>
    <col min="16129" max="16129" width="10.77734375" style="1" customWidth="1"/>
    <col min="16130" max="16130" width="18.6640625" style="1" customWidth="1"/>
    <col min="16131" max="16131" width="8.109375" style="1" customWidth="1"/>
    <col min="16132" max="16132" width="11.44140625" style="1" bestFit="1" customWidth="1"/>
    <col min="16133" max="16133" width="5.33203125" style="1" customWidth="1"/>
    <col min="16134" max="16134" width="4.21875" style="1" customWidth="1"/>
    <col min="16135" max="16135" width="68.88671875" style="1" customWidth="1"/>
    <col min="16136" max="16136" width="7.21875" style="1" customWidth="1"/>
    <col min="16137" max="16137" width="0" style="1" hidden="1" customWidth="1"/>
    <col min="16138" max="16138" width="2.77734375" style="1" customWidth="1"/>
    <col min="16139" max="16384" width="7.44140625" style="1"/>
  </cols>
  <sheetData>
    <row r="4" spans="1:8" x14ac:dyDescent="0.2">
      <c r="A4" s="1" t="s">
        <v>649</v>
      </c>
    </row>
    <row r="5" spans="1:8" x14ac:dyDescent="0.2">
      <c r="A5" s="1" t="s">
        <v>11</v>
      </c>
      <c r="C5" s="1">
        <v>100</v>
      </c>
    </row>
    <row r="6" spans="1:8" x14ac:dyDescent="0.2">
      <c r="A6" s="1" t="s">
        <v>13</v>
      </c>
      <c r="C6" s="1" t="s">
        <v>650</v>
      </c>
    </row>
    <row r="7" spans="1:8" x14ac:dyDescent="0.2">
      <c r="A7" s="2" t="s">
        <v>0</v>
      </c>
      <c r="C7" s="1" t="s">
        <v>651</v>
      </c>
    </row>
    <row r="8" spans="1:8" x14ac:dyDescent="0.2">
      <c r="A8" s="101" t="s">
        <v>2</v>
      </c>
      <c r="B8" s="102" t="s">
        <v>1</v>
      </c>
      <c r="C8" s="2" t="s">
        <v>3</v>
      </c>
      <c r="D8" s="4">
        <v>100</v>
      </c>
      <c r="E8" s="2" t="s">
        <v>4</v>
      </c>
    </row>
    <row r="9" spans="1:8" x14ac:dyDescent="0.2">
      <c r="A9" s="84"/>
    </row>
    <row r="10" spans="1:8" x14ac:dyDescent="0.2">
      <c r="A10" s="103" t="s">
        <v>5</v>
      </c>
      <c r="B10" s="104" t="s">
        <v>652</v>
      </c>
      <c r="C10" s="104" t="s">
        <v>6</v>
      </c>
      <c r="D10" s="105" t="s">
        <v>615</v>
      </c>
      <c r="E10" s="104" t="s">
        <v>7</v>
      </c>
      <c r="F10" s="104"/>
      <c r="G10" s="106" t="s">
        <v>8</v>
      </c>
      <c r="H10" s="398" t="str">
        <f>CONCATENATE("01 AMAXCS-REG.")</f>
        <v>01 AMAXCS-REG.</v>
      </c>
    </row>
    <row r="11" spans="1:8" x14ac:dyDescent="0.2">
      <c r="A11" s="1">
        <v>1</v>
      </c>
      <c r="B11" s="1">
        <v>1</v>
      </c>
      <c r="C11" s="1">
        <v>1</v>
      </c>
      <c r="D11" s="4">
        <v>1</v>
      </c>
      <c r="E11" s="2" t="s">
        <v>653</v>
      </c>
      <c r="G11" s="2" t="s">
        <v>9</v>
      </c>
      <c r="H11" s="398" t="str">
        <f>CONCATENATE("   02 AMAXCS-CTIPREG              PIC X(0",C12,").")</f>
        <v xml:space="preserve">   02 AMAXCS-CTIPREG              PIC X(03).</v>
      </c>
    </row>
    <row r="12" spans="1:8" x14ac:dyDescent="0.2">
      <c r="A12" s="1">
        <v>2</v>
      </c>
      <c r="B12" s="1">
        <v>2</v>
      </c>
      <c r="C12" s="1">
        <v>3</v>
      </c>
      <c r="D12" s="4">
        <f>D11+C12</f>
        <v>4</v>
      </c>
      <c r="E12" s="2" t="s">
        <v>654</v>
      </c>
      <c r="G12" s="2" t="s">
        <v>655</v>
      </c>
      <c r="H12" s="398" t="str">
        <f>CONCATENATE("   02 AMAXCS-CODORG              PIC X(",C13,").")</f>
        <v xml:space="preserve">   02 AMAXCS-CODORG              PIC X(8).</v>
      </c>
    </row>
    <row r="13" spans="1:8" x14ac:dyDescent="0.2">
      <c r="A13" s="1">
        <v>3</v>
      </c>
      <c r="B13" s="1">
        <v>5</v>
      </c>
      <c r="C13" s="1">
        <v>8</v>
      </c>
      <c r="D13" s="4">
        <f>D12+C13</f>
        <v>12</v>
      </c>
      <c r="E13" s="2" t="s">
        <v>654</v>
      </c>
      <c r="G13" s="2" t="s">
        <v>656</v>
      </c>
      <c r="H13" s="398" t="str">
        <f>CONCATENATE("   02 AMAXCS-CFECCRE           PIC 9(0",C14,").")</f>
        <v xml:space="preserve">   02 AMAXCS-CFECCRE           PIC 9(06).</v>
      </c>
    </row>
    <row r="14" spans="1:8" x14ac:dyDescent="0.2">
      <c r="A14" s="1">
        <v>4</v>
      </c>
      <c r="B14" s="1">
        <v>13</v>
      </c>
      <c r="C14" s="1">
        <v>6</v>
      </c>
      <c r="D14" s="4">
        <f>D13+C14</f>
        <v>18</v>
      </c>
      <c r="E14" s="2" t="s">
        <v>654</v>
      </c>
      <c r="G14" s="2" t="s">
        <v>648</v>
      </c>
      <c r="H14" s="398" t="str">
        <f>CONCATENATE("   02 AMAXCS-CNUMREG              PIC X(",C15,").")</f>
        <v xml:space="preserve">   02 AMAXCS-CNUMREG              PIC X(82).</v>
      </c>
    </row>
    <row r="15" spans="1:8" x14ac:dyDescent="0.2">
      <c r="A15" s="1">
        <v>5</v>
      </c>
      <c r="B15" s="1">
        <v>19</v>
      </c>
      <c r="C15" s="1">
        <f>C5-D14</f>
        <v>82</v>
      </c>
      <c r="D15" s="4">
        <f>D14+C15</f>
        <v>100</v>
      </c>
      <c r="E15" s="2" t="s">
        <v>653</v>
      </c>
      <c r="G15" s="2" t="s">
        <v>620</v>
      </c>
      <c r="H15" s="398" t="str">
        <f>CONCATENATE("   02 AMAXCS-CLIBRE              PIC X(",C16,").")</f>
        <v xml:space="preserve">   02 AMAXCS-CLIBRE              PIC X().</v>
      </c>
    </row>
    <row r="17" spans="1:8" x14ac:dyDescent="0.2">
      <c r="A17" s="101" t="s">
        <v>10</v>
      </c>
      <c r="B17" s="102"/>
      <c r="C17" s="2" t="s">
        <v>3</v>
      </c>
      <c r="D17" s="4">
        <v>100</v>
      </c>
      <c r="E17" s="2" t="s">
        <v>4</v>
      </c>
    </row>
    <row r="18" spans="1:8" x14ac:dyDescent="0.2">
      <c r="A18" s="84"/>
    </row>
    <row r="19" spans="1:8" x14ac:dyDescent="0.2">
      <c r="A19" s="103" t="s">
        <v>5</v>
      </c>
      <c r="B19" s="104" t="s">
        <v>12</v>
      </c>
      <c r="C19" s="104" t="s">
        <v>6</v>
      </c>
      <c r="D19" s="105" t="s">
        <v>615</v>
      </c>
      <c r="E19" s="104" t="s">
        <v>7</v>
      </c>
      <c r="F19" s="103"/>
      <c r="G19" s="106" t="s">
        <v>8</v>
      </c>
    </row>
    <row r="20" spans="1:8" x14ac:dyDescent="0.2">
      <c r="A20" s="84"/>
      <c r="B20" s="84" t="s">
        <v>1</v>
      </c>
      <c r="C20" s="84"/>
      <c r="D20" s="107"/>
      <c r="E20" s="84"/>
      <c r="F20" s="84"/>
      <c r="G20" s="84"/>
      <c r="H20" s="398"/>
    </row>
    <row r="21" spans="1:8" x14ac:dyDescent="0.2">
      <c r="A21" s="1">
        <v>1</v>
      </c>
      <c r="B21" s="1">
        <v>1</v>
      </c>
      <c r="C21" s="1">
        <v>1</v>
      </c>
      <c r="D21" s="4">
        <v>1</v>
      </c>
      <c r="E21" s="2" t="s">
        <v>653</v>
      </c>
      <c r="G21" s="2" t="s">
        <v>657</v>
      </c>
      <c r="H21" s="398"/>
    </row>
    <row r="22" spans="1:8" x14ac:dyDescent="0.2">
      <c r="A22" s="1">
        <v>2</v>
      </c>
      <c r="B22" s="1">
        <v>2</v>
      </c>
      <c r="C22" s="3">
        <v>19</v>
      </c>
      <c r="D22" s="4">
        <f>D21+C22</f>
        <v>20</v>
      </c>
      <c r="E22" s="2" t="s">
        <v>654</v>
      </c>
      <c r="G22" s="2" t="s">
        <v>632</v>
      </c>
      <c r="H22" s="398"/>
    </row>
    <row r="23" spans="1:8" x14ac:dyDescent="0.2">
      <c r="A23" s="1">
        <v>3</v>
      </c>
      <c r="B23" s="1">
        <f>D22+1</f>
        <v>21</v>
      </c>
      <c r="C23" s="3">
        <v>9</v>
      </c>
      <c r="D23" s="4">
        <f>D22+C23</f>
        <v>29</v>
      </c>
      <c r="E23" s="2" t="s">
        <v>654</v>
      </c>
      <c r="G23" s="2" t="s">
        <v>658</v>
      </c>
      <c r="H23" s="398"/>
    </row>
    <row r="24" spans="1:8" x14ac:dyDescent="0.2">
      <c r="A24" s="1">
        <v>3</v>
      </c>
      <c r="B24" s="1">
        <f t="shared" ref="B24:B30" si="0">D23+1</f>
        <v>30</v>
      </c>
      <c r="C24" s="3">
        <v>3</v>
      </c>
      <c r="D24" s="4">
        <f t="shared" ref="D24:D29" si="1">D23+C24</f>
        <v>32</v>
      </c>
      <c r="E24" s="2" t="s">
        <v>654</v>
      </c>
      <c r="G24" s="2" t="s">
        <v>659</v>
      </c>
      <c r="H24" s="398"/>
    </row>
    <row r="25" spans="1:8" x14ac:dyDescent="0.2">
      <c r="A25" s="1">
        <v>4</v>
      </c>
      <c r="B25" s="1">
        <f t="shared" si="0"/>
        <v>33</v>
      </c>
      <c r="C25" s="3">
        <v>5</v>
      </c>
      <c r="D25" s="4">
        <f t="shared" si="1"/>
        <v>37</v>
      </c>
      <c r="E25" s="2" t="s">
        <v>654</v>
      </c>
      <c r="G25" s="2" t="s">
        <v>660</v>
      </c>
    </row>
    <row r="26" spans="1:8" x14ac:dyDescent="0.2">
      <c r="A26" s="1">
        <v>5</v>
      </c>
      <c r="B26" s="1">
        <f t="shared" si="0"/>
        <v>38</v>
      </c>
      <c r="C26" s="3">
        <v>35</v>
      </c>
      <c r="D26" s="4">
        <f t="shared" si="1"/>
        <v>72</v>
      </c>
      <c r="E26" s="2" t="s">
        <v>653</v>
      </c>
      <c r="G26" s="2" t="s">
        <v>661</v>
      </c>
    </row>
    <row r="27" spans="1:8" x14ac:dyDescent="0.2">
      <c r="A27" s="1">
        <v>6</v>
      </c>
      <c r="B27" s="1">
        <f t="shared" si="0"/>
        <v>73</v>
      </c>
      <c r="C27" s="3">
        <v>8</v>
      </c>
      <c r="D27" s="4">
        <f t="shared" si="1"/>
        <v>80</v>
      </c>
      <c r="E27" s="2" t="s">
        <v>654</v>
      </c>
      <c r="G27" s="2" t="s">
        <v>662</v>
      </c>
    </row>
    <row r="28" spans="1:8" x14ac:dyDescent="0.2">
      <c r="A28" s="1">
        <v>7</v>
      </c>
      <c r="B28" s="1">
        <f t="shared" si="0"/>
        <v>81</v>
      </c>
      <c r="C28" s="3">
        <v>6</v>
      </c>
      <c r="D28" s="4">
        <f t="shared" si="1"/>
        <v>86</v>
      </c>
      <c r="E28" s="2" t="s">
        <v>653</v>
      </c>
      <c r="G28" s="2" t="s">
        <v>663</v>
      </c>
    </row>
    <row r="29" spans="1:8" x14ac:dyDescent="0.2">
      <c r="A29" s="1">
        <v>8</v>
      </c>
      <c r="B29" s="1">
        <f t="shared" si="0"/>
        <v>87</v>
      </c>
      <c r="C29" s="3">
        <v>9</v>
      </c>
      <c r="D29" s="4">
        <f t="shared" si="1"/>
        <v>95</v>
      </c>
      <c r="E29" s="2" t="s">
        <v>654</v>
      </c>
      <c r="G29" s="2" t="s">
        <v>634</v>
      </c>
    </row>
    <row r="30" spans="1:8" x14ac:dyDescent="0.2">
      <c r="A30" s="1">
        <v>9</v>
      </c>
      <c r="B30" s="1">
        <f t="shared" si="0"/>
        <v>96</v>
      </c>
      <c r="C30" s="1">
        <v>5</v>
      </c>
      <c r="D30" s="4">
        <f>D29+C30</f>
        <v>100</v>
      </c>
      <c r="E30" s="2" t="s">
        <v>653</v>
      </c>
      <c r="G30" s="2" t="s">
        <v>620</v>
      </c>
    </row>
    <row r="32" spans="1:8" x14ac:dyDescent="0.2">
      <c r="A32" s="101" t="s">
        <v>647</v>
      </c>
      <c r="B32" s="102"/>
      <c r="C32" s="2" t="s">
        <v>3</v>
      </c>
      <c r="D32" s="4">
        <v>100</v>
      </c>
      <c r="E32" s="2" t="s">
        <v>4</v>
      </c>
    </row>
    <row r="33" spans="1:8" x14ac:dyDescent="0.2">
      <c r="A33" s="84"/>
    </row>
    <row r="34" spans="1:8" x14ac:dyDescent="0.2">
      <c r="A34" s="103" t="s">
        <v>5</v>
      </c>
      <c r="B34" s="104" t="s">
        <v>621</v>
      </c>
      <c r="C34" s="104" t="s">
        <v>6</v>
      </c>
      <c r="D34" s="105" t="s">
        <v>615</v>
      </c>
      <c r="E34" s="104" t="s">
        <v>7</v>
      </c>
      <c r="F34" s="103"/>
      <c r="G34" s="106" t="s">
        <v>8</v>
      </c>
    </row>
    <row r="35" spans="1:8" x14ac:dyDescent="0.2">
      <c r="A35" s="84"/>
      <c r="B35" s="84" t="s">
        <v>1</v>
      </c>
      <c r="C35" s="84"/>
      <c r="D35" s="107"/>
      <c r="E35" s="84"/>
      <c r="F35" s="84"/>
      <c r="G35" s="84"/>
      <c r="H35" s="398"/>
    </row>
    <row r="36" spans="1:8" x14ac:dyDescent="0.2">
      <c r="A36" s="1">
        <v>1</v>
      </c>
      <c r="B36" s="1">
        <v>1</v>
      </c>
      <c r="C36" s="1">
        <v>1</v>
      </c>
      <c r="D36" s="4">
        <v>1</v>
      </c>
      <c r="E36" s="2" t="s">
        <v>653</v>
      </c>
      <c r="G36" s="2" t="s">
        <v>348</v>
      </c>
      <c r="H36" s="398"/>
    </row>
    <row r="37" spans="1:8" x14ac:dyDescent="0.2">
      <c r="A37" s="1">
        <v>2</v>
      </c>
      <c r="B37" s="1">
        <v>2</v>
      </c>
      <c r="C37" s="1">
        <v>6</v>
      </c>
      <c r="D37" s="4">
        <f>D36+C37</f>
        <v>7</v>
      </c>
      <c r="E37" s="2" t="s">
        <v>654</v>
      </c>
      <c r="G37" s="2" t="s">
        <v>648</v>
      </c>
      <c r="H37" s="398"/>
    </row>
    <row r="38" spans="1:8" x14ac:dyDescent="0.2">
      <c r="A38" s="1">
        <v>3</v>
      </c>
      <c r="B38" s="1">
        <v>8</v>
      </c>
      <c r="C38" s="1">
        <f>D32-D37</f>
        <v>93</v>
      </c>
      <c r="D38" s="4">
        <f>D37+C38</f>
        <v>100</v>
      </c>
      <c r="E38" s="2" t="s">
        <v>653</v>
      </c>
      <c r="G38" s="2" t="s">
        <v>620</v>
      </c>
      <c r="H38" s="398"/>
    </row>
    <row r="39" spans="1:8" x14ac:dyDescent="0.2">
      <c r="H39" s="398"/>
    </row>
  </sheetData>
  <pageMargins left="0" right="0" top="0.19685039370078741" bottom="0.19685039370078741" header="0.59055118110236227" footer="0"/>
  <pageSetup paperSize="9" scale="60" orientation="landscape" useFirstPageNumber="1" horizontalDpi="360" verticalDpi="360" r:id="rId1"/>
  <headerFooter alignWithMargins="0"/>
  <drawing r:id="rId2"/>
  <legacyDrawing r:id="rId3"/>
  <oleObjects>
    <mc:AlternateContent xmlns:mc="http://schemas.openxmlformats.org/markup-compatibility/2006">
      <mc:Choice Requires="x14">
        <oleObject shapeId="2150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28575</xdr:colOff>
                <xdr:row>1</xdr:row>
                <xdr:rowOff>171450</xdr:rowOff>
              </to>
            </anchor>
          </objectPr>
        </oleObject>
      </mc:Choice>
      <mc:Fallback>
        <oleObject shapeId="21505" r:id="rId4"/>
      </mc:Fallback>
    </mc:AlternateContent>
  </oleObjec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</sheetPr>
  <dimension ref="A3:N2294"/>
  <sheetViews>
    <sheetView showGridLines="0" topLeftCell="A2" zoomScale="66" zoomScaleNormal="85" workbookViewId="0">
      <selection activeCell="B8" sqref="B8"/>
    </sheetView>
  </sheetViews>
  <sheetFormatPr baseColWidth="10" defaultColWidth="7.44140625" defaultRowHeight="15" x14ac:dyDescent="0.2"/>
  <cols>
    <col min="1" max="1" width="8.6640625" style="109" customWidth="1"/>
    <col min="2" max="2" width="22.77734375" style="109" customWidth="1"/>
    <col min="3" max="3" width="4.6640625" style="109" customWidth="1"/>
    <col min="4" max="4" width="46" style="317" customWidth="1"/>
    <col min="5" max="5" width="15.5546875" style="110" customWidth="1"/>
    <col min="6" max="6" width="19.88671875" style="317" customWidth="1"/>
    <col min="7" max="7" width="15.88671875" style="110" customWidth="1"/>
    <col min="8" max="8" width="3.6640625" style="109" customWidth="1"/>
    <col min="9" max="9" width="55.77734375" style="111" customWidth="1"/>
    <col min="10" max="10" width="12.5546875" style="109" customWidth="1"/>
    <col min="11" max="11" width="10.109375" style="110" hidden="1" customWidth="1"/>
    <col min="12" max="12" width="4.77734375" style="109" customWidth="1"/>
    <col min="13" max="16384" width="7.44140625" style="109"/>
  </cols>
  <sheetData>
    <row r="3" spans="1:11" x14ac:dyDescent="0.2">
      <c r="A3" s="108"/>
      <c r="B3" s="109" t="s">
        <v>664</v>
      </c>
    </row>
    <row r="4" spans="1:11" x14ac:dyDescent="0.2">
      <c r="A4" s="108"/>
      <c r="B4" s="109" t="s">
        <v>665</v>
      </c>
    </row>
    <row r="5" spans="1:11" x14ac:dyDescent="0.2">
      <c r="A5" s="108"/>
      <c r="B5" s="109" t="s">
        <v>13</v>
      </c>
      <c r="C5" s="109" t="s">
        <v>666</v>
      </c>
    </row>
    <row r="6" spans="1:11" ht="30" x14ac:dyDescent="0.2">
      <c r="B6" s="112" t="s">
        <v>667</v>
      </c>
      <c r="C6" s="113"/>
      <c r="E6" s="114" t="s">
        <v>668</v>
      </c>
      <c r="F6" s="345" t="s">
        <v>669</v>
      </c>
      <c r="G6" s="115" t="s">
        <v>670</v>
      </c>
      <c r="H6" s="113"/>
      <c r="K6" s="116"/>
    </row>
    <row r="7" spans="1:11" x14ac:dyDescent="0.2">
      <c r="B7" s="117"/>
      <c r="E7" s="118"/>
      <c r="F7" s="319"/>
      <c r="K7" s="116"/>
    </row>
    <row r="8" spans="1:11" x14ac:dyDescent="0.2">
      <c r="A8" s="109">
        <v>1</v>
      </c>
      <c r="B8" s="119" t="s">
        <v>671</v>
      </c>
      <c r="E8" s="120" t="s">
        <v>672</v>
      </c>
      <c r="F8" s="319">
        <v>750</v>
      </c>
      <c r="G8" s="110">
        <v>850</v>
      </c>
      <c r="H8" s="121"/>
      <c r="K8" s="116"/>
    </row>
    <row r="9" spans="1:11" x14ac:dyDescent="0.2">
      <c r="A9" s="109">
        <v>2</v>
      </c>
      <c r="B9" s="122" t="s">
        <v>673</v>
      </c>
      <c r="E9" s="120" t="s">
        <v>674</v>
      </c>
      <c r="F9" s="319">
        <v>250</v>
      </c>
      <c r="G9" s="110">
        <v>300</v>
      </c>
      <c r="H9" s="121"/>
      <c r="K9" s="116"/>
    </row>
    <row r="10" spans="1:11" x14ac:dyDescent="0.2">
      <c r="A10" s="109">
        <v>3</v>
      </c>
      <c r="B10" s="123" t="s">
        <v>675</v>
      </c>
      <c r="E10" s="120" t="s">
        <v>676</v>
      </c>
      <c r="F10" s="319">
        <v>350</v>
      </c>
      <c r="G10" s="110">
        <v>450</v>
      </c>
      <c r="H10" s="121"/>
      <c r="K10" s="116"/>
    </row>
    <row r="11" spans="1:11" s="125" customFormat="1" x14ac:dyDescent="0.2">
      <c r="A11" s="109">
        <v>4</v>
      </c>
      <c r="B11" s="124" t="s">
        <v>677</v>
      </c>
      <c r="D11" s="318"/>
      <c r="E11" s="120" t="s">
        <v>678</v>
      </c>
      <c r="F11" s="319">
        <v>850</v>
      </c>
      <c r="G11" s="110">
        <v>850</v>
      </c>
      <c r="H11" s="109"/>
      <c r="I11" s="127" t="s">
        <v>85</v>
      </c>
      <c r="K11" s="128"/>
    </row>
    <row r="12" spans="1:11" s="125" customFormat="1" x14ac:dyDescent="0.2">
      <c r="A12" s="109">
        <v>5</v>
      </c>
      <c r="B12" s="129" t="s">
        <v>679</v>
      </c>
      <c r="D12" s="318"/>
      <c r="E12" s="120" t="s">
        <v>680</v>
      </c>
      <c r="F12" s="319">
        <v>850</v>
      </c>
      <c r="G12" s="110">
        <v>850</v>
      </c>
      <c r="H12" s="109"/>
      <c r="I12" s="127" t="s">
        <v>85</v>
      </c>
      <c r="K12" s="128"/>
    </row>
    <row r="13" spans="1:11" x14ac:dyDescent="0.2">
      <c r="A13" s="109">
        <v>6</v>
      </c>
      <c r="B13" s="130" t="s">
        <v>681</v>
      </c>
      <c r="E13" s="120" t="s">
        <v>682</v>
      </c>
      <c r="F13" s="319">
        <v>200</v>
      </c>
      <c r="G13" s="110">
        <v>200</v>
      </c>
      <c r="K13" s="116"/>
    </row>
    <row r="14" spans="1:11" s="125" customFormat="1" x14ac:dyDescent="0.2">
      <c r="A14" s="109">
        <v>7</v>
      </c>
      <c r="B14" s="131" t="s">
        <v>683</v>
      </c>
      <c r="D14" s="318"/>
      <c r="E14" s="120" t="s">
        <v>684</v>
      </c>
      <c r="F14" s="319">
        <v>850</v>
      </c>
      <c r="G14" s="110">
        <v>850</v>
      </c>
      <c r="H14" s="109"/>
      <c r="I14" s="111"/>
      <c r="K14" s="128"/>
    </row>
    <row r="15" spans="1:11" x14ac:dyDescent="0.2">
      <c r="A15" s="109">
        <v>8</v>
      </c>
      <c r="B15" s="132" t="s">
        <v>685</v>
      </c>
      <c r="E15" s="120" t="s">
        <v>686</v>
      </c>
      <c r="F15" s="319">
        <v>200</v>
      </c>
      <c r="G15" s="110">
        <v>200</v>
      </c>
      <c r="K15" s="116"/>
    </row>
    <row r="16" spans="1:11" s="125" customFormat="1" x14ac:dyDescent="0.2">
      <c r="A16" s="109">
        <v>9</v>
      </c>
      <c r="B16" s="133" t="s">
        <v>687</v>
      </c>
      <c r="D16" s="318"/>
      <c r="E16" s="120" t="s">
        <v>688</v>
      </c>
      <c r="F16" s="319">
        <v>500</v>
      </c>
      <c r="G16" s="110">
        <v>500</v>
      </c>
      <c r="H16" s="109"/>
      <c r="I16" s="111"/>
      <c r="K16" s="128"/>
    </row>
    <row r="17" spans="1:11" x14ac:dyDescent="0.2">
      <c r="A17" s="109">
        <v>10</v>
      </c>
      <c r="B17" s="134" t="s">
        <v>689</v>
      </c>
      <c r="E17" s="120" t="s">
        <v>690</v>
      </c>
      <c r="F17" s="319">
        <v>100</v>
      </c>
      <c r="G17" s="110">
        <v>100</v>
      </c>
      <c r="H17" s="121"/>
      <c r="K17" s="116"/>
    </row>
    <row r="18" spans="1:11" x14ac:dyDescent="0.2">
      <c r="A18" s="109">
        <v>11</v>
      </c>
      <c r="B18" s="131" t="s">
        <v>691</v>
      </c>
      <c r="E18" s="120" t="s">
        <v>692</v>
      </c>
      <c r="F18" s="319">
        <v>100</v>
      </c>
      <c r="G18" s="110">
        <v>100</v>
      </c>
      <c r="H18" s="121"/>
      <c r="K18" s="116"/>
    </row>
    <row r="19" spans="1:11" x14ac:dyDescent="0.2">
      <c r="A19" s="109">
        <v>12</v>
      </c>
      <c r="B19" s="135" t="s">
        <v>693</v>
      </c>
      <c r="E19" s="120" t="s">
        <v>694</v>
      </c>
      <c r="F19" s="319">
        <v>100</v>
      </c>
      <c r="G19" s="110">
        <v>100</v>
      </c>
      <c r="H19" s="121"/>
      <c r="K19" s="116"/>
    </row>
    <row r="20" spans="1:11" x14ac:dyDescent="0.2">
      <c r="E20" s="120"/>
      <c r="F20" s="319"/>
      <c r="H20" s="121"/>
      <c r="K20" s="116"/>
    </row>
    <row r="21" spans="1:11" x14ac:dyDescent="0.2">
      <c r="K21" s="116"/>
    </row>
    <row r="22" spans="1:11" s="108" customFormat="1" x14ac:dyDescent="0.2">
      <c r="A22" s="116"/>
      <c r="D22" s="319"/>
      <c r="E22" s="116"/>
      <c r="F22" s="319"/>
      <c r="G22" s="116"/>
      <c r="I22" s="136"/>
      <c r="J22" s="116"/>
      <c r="K22" s="116"/>
    </row>
    <row r="23" spans="1:11" x14ac:dyDescent="0.2">
      <c r="A23" s="108"/>
      <c r="B23" s="109" t="s">
        <v>695</v>
      </c>
    </row>
    <row r="24" spans="1:11" x14ac:dyDescent="0.2">
      <c r="A24" s="108"/>
      <c r="B24" s="109" t="s">
        <v>665</v>
      </c>
    </row>
    <row r="25" spans="1:11" x14ac:dyDescent="0.2">
      <c r="A25" s="108"/>
    </row>
    <row r="27" spans="1:11" ht="15.75" thickBot="1" x14ac:dyDescent="0.25"/>
    <row r="28" spans="1:11" ht="16.5" thickTop="1" thickBot="1" x14ac:dyDescent="0.25">
      <c r="A28" s="137" t="s">
        <v>696</v>
      </c>
      <c r="B28" s="138"/>
      <c r="C28" s="139"/>
      <c r="I28" s="140"/>
    </row>
    <row r="29" spans="1:11" ht="15.75" thickTop="1" x14ac:dyDescent="0.2">
      <c r="A29" s="138"/>
      <c r="B29" s="138"/>
    </row>
    <row r="31" spans="1:11" x14ac:dyDescent="0.2">
      <c r="B31" s="121" t="s">
        <v>0</v>
      </c>
    </row>
    <row r="32" spans="1:11" x14ac:dyDescent="0.2">
      <c r="A32" s="121" t="s">
        <v>1</v>
      </c>
      <c r="B32" s="121" t="s">
        <v>1</v>
      </c>
      <c r="C32" s="141" t="s">
        <v>2</v>
      </c>
      <c r="D32" s="320" t="s">
        <v>1</v>
      </c>
      <c r="E32" s="110" t="s">
        <v>3</v>
      </c>
      <c r="F32" s="317">
        <v>1000</v>
      </c>
      <c r="G32" s="110" t="s">
        <v>4</v>
      </c>
    </row>
    <row r="33" spans="1:9" x14ac:dyDescent="0.2">
      <c r="C33" s="117"/>
    </row>
    <row r="34" spans="1:9" x14ac:dyDescent="0.2">
      <c r="A34" s="121" t="s">
        <v>1</v>
      </c>
      <c r="B34" s="121" t="s">
        <v>1</v>
      </c>
      <c r="C34" s="112" t="s">
        <v>5</v>
      </c>
      <c r="D34" s="321" t="s">
        <v>621</v>
      </c>
      <c r="E34" s="118" t="s">
        <v>6</v>
      </c>
      <c r="F34" s="321" t="s">
        <v>1</v>
      </c>
      <c r="G34" s="118" t="s">
        <v>7</v>
      </c>
      <c r="H34" s="142"/>
      <c r="I34" s="143" t="s">
        <v>8</v>
      </c>
    </row>
    <row r="35" spans="1:9" x14ac:dyDescent="0.2">
      <c r="C35" s="117"/>
      <c r="D35" s="321" t="s">
        <v>1</v>
      </c>
      <c r="E35" s="118"/>
      <c r="F35" s="321"/>
      <c r="G35" s="118"/>
      <c r="H35" s="117"/>
      <c r="I35" s="144"/>
    </row>
    <row r="36" spans="1:9" x14ac:dyDescent="0.2">
      <c r="B36" s="121" t="s">
        <v>1</v>
      </c>
      <c r="C36" s="109">
        <v>1</v>
      </c>
      <c r="D36" s="317">
        <v>1</v>
      </c>
      <c r="E36" s="110">
        <v>1</v>
      </c>
      <c r="G36" s="110" t="s">
        <v>653</v>
      </c>
      <c r="I36" s="145" t="s">
        <v>9</v>
      </c>
    </row>
    <row r="37" spans="1:9" ht="60" x14ac:dyDescent="0.2">
      <c r="B37" s="121" t="s">
        <v>1</v>
      </c>
      <c r="C37" s="109">
        <v>2</v>
      </c>
      <c r="D37" s="317">
        <v>2</v>
      </c>
      <c r="E37" s="110">
        <v>3</v>
      </c>
      <c r="F37" s="317" t="s">
        <v>1</v>
      </c>
      <c r="G37" s="110" t="s">
        <v>654</v>
      </c>
      <c r="I37" s="146" t="s">
        <v>697</v>
      </c>
    </row>
    <row r="38" spans="1:9" x14ac:dyDescent="0.2">
      <c r="C38" s="109">
        <v>3</v>
      </c>
      <c r="D38" s="317">
        <v>5</v>
      </c>
      <c r="E38" s="110">
        <v>8</v>
      </c>
      <c r="G38" s="110" t="s">
        <v>654</v>
      </c>
      <c r="I38" s="146" t="s">
        <v>698</v>
      </c>
    </row>
    <row r="39" spans="1:9" ht="18" customHeight="1" x14ac:dyDescent="0.2">
      <c r="B39" s="121" t="s">
        <v>1</v>
      </c>
      <c r="C39" s="109">
        <v>4</v>
      </c>
      <c r="D39" s="317">
        <v>13</v>
      </c>
      <c r="E39" s="110">
        <v>6</v>
      </c>
      <c r="F39" s="317" t="s">
        <v>1</v>
      </c>
      <c r="G39" s="110" t="s">
        <v>654</v>
      </c>
      <c r="I39" s="145" t="s">
        <v>648</v>
      </c>
    </row>
    <row r="40" spans="1:9" x14ac:dyDescent="0.2">
      <c r="C40" s="109">
        <v>5</v>
      </c>
      <c r="D40" s="317">
        <v>19</v>
      </c>
      <c r="E40" s="110">
        <v>982</v>
      </c>
      <c r="G40" s="110" t="s">
        <v>653</v>
      </c>
      <c r="I40" s="145" t="s">
        <v>620</v>
      </c>
    </row>
    <row r="42" spans="1:9" x14ac:dyDescent="0.2">
      <c r="B42" s="121" t="s">
        <v>1</v>
      </c>
      <c r="C42" s="141" t="s">
        <v>10</v>
      </c>
      <c r="D42" s="320"/>
      <c r="E42" s="110" t="s">
        <v>3</v>
      </c>
      <c r="F42" s="317">
        <v>1000</v>
      </c>
      <c r="G42" s="110" t="s">
        <v>4</v>
      </c>
    </row>
    <row r="43" spans="1:9" x14ac:dyDescent="0.2">
      <c r="C43" s="117"/>
    </row>
    <row r="44" spans="1:9" x14ac:dyDescent="0.2">
      <c r="B44" s="121" t="s">
        <v>1</v>
      </c>
      <c r="C44" s="112" t="s">
        <v>5</v>
      </c>
      <c r="D44" s="321" t="s">
        <v>621</v>
      </c>
      <c r="E44" s="118" t="s">
        <v>6</v>
      </c>
      <c r="F44" s="321" t="s">
        <v>1</v>
      </c>
      <c r="G44" s="118" t="s">
        <v>7</v>
      </c>
      <c r="H44" s="112"/>
      <c r="I44" s="147" t="s">
        <v>8</v>
      </c>
    </row>
    <row r="45" spans="1:9" x14ac:dyDescent="0.2">
      <c r="C45" s="117"/>
      <c r="D45" s="321" t="s">
        <v>1</v>
      </c>
      <c r="E45" s="118"/>
      <c r="F45" s="321"/>
      <c r="G45" s="118"/>
      <c r="H45" s="117"/>
      <c r="I45" s="144"/>
    </row>
    <row r="46" spans="1:9" x14ac:dyDescent="0.2">
      <c r="B46" s="121" t="s">
        <v>1</v>
      </c>
      <c r="C46" s="109">
        <v>1</v>
      </c>
      <c r="D46" s="317">
        <v>1</v>
      </c>
      <c r="E46" s="110">
        <v>1</v>
      </c>
      <c r="G46" s="110" t="s">
        <v>653</v>
      </c>
      <c r="I46" s="145" t="s">
        <v>657</v>
      </c>
    </row>
    <row r="47" spans="1:9" x14ac:dyDescent="0.2">
      <c r="B47" s="121" t="s">
        <v>1</v>
      </c>
      <c r="C47" s="109">
        <v>2</v>
      </c>
      <c r="D47" s="317">
        <v>2</v>
      </c>
      <c r="E47" s="120">
        <v>4</v>
      </c>
      <c r="F47" s="317" t="s">
        <v>1</v>
      </c>
      <c r="G47" s="110" t="s">
        <v>654</v>
      </c>
      <c r="I47" s="145" t="s">
        <v>699</v>
      </c>
    </row>
    <row r="48" spans="1:9" x14ac:dyDescent="0.2">
      <c r="B48" s="121"/>
      <c r="C48" s="148">
        <v>3</v>
      </c>
      <c r="D48" s="322">
        <v>6</v>
      </c>
      <c r="E48" s="150">
        <v>16</v>
      </c>
      <c r="F48" s="322"/>
      <c r="G48" s="149" t="s">
        <v>654</v>
      </c>
      <c r="H48" s="148"/>
      <c r="I48" s="146" t="s">
        <v>700</v>
      </c>
    </row>
    <row r="49" spans="1:11" x14ac:dyDescent="0.2">
      <c r="B49" s="121"/>
      <c r="C49" s="109">
        <v>4</v>
      </c>
      <c r="D49" s="317">
        <v>22</v>
      </c>
      <c r="E49" s="110" t="s">
        <v>701</v>
      </c>
      <c r="G49" s="110" t="s">
        <v>653</v>
      </c>
      <c r="I49" s="145" t="s">
        <v>702</v>
      </c>
    </row>
    <row r="50" spans="1:11" x14ac:dyDescent="0.2">
      <c r="B50" s="121" t="s">
        <v>1</v>
      </c>
      <c r="C50" s="109">
        <v>5</v>
      </c>
      <c r="D50" s="317" t="s">
        <v>703</v>
      </c>
      <c r="E50" s="151" t="s">
        <v>704</v>
      </c>
      <c r="G50" s="110" t="s">
        <v>653</v>
      </c>
      <c r="I50" s="145" t="s">
        <v>620</v>
      </c>
    </row>
    <row r="52" spans="1:11" x14ac:dyDescent="0.2">
      <c r="B52" s="121" t="s">
        <v>1</v>
      </c>
      <c r="C52" s="141" t="s">
        <v>647</v>
      </c>
      <c r="D52" s="320"/>
      <c r="E52" s="110" t="s">
        <v>3</v>
      </c>
      <c r="F52" s="317">
        <v>1000</v>
      </c>
      <c r="G52" s="110" t="s">
        <v>4</v>
      </c>
    </row>
    <row r="53" spans="1:11" x14ac:dyDescent="0.2">
      <c r="C53" s="117"/>
    </row>
    <row r="54" spans="1:11" x14ac:dyDescent="0.2">
      <c r="B54" s="121" t="s">
        <v>1</v>
      </c>
      <c r="C54" s="112" t="s">
        <v>5</v>
      </c>
      <c r="D54" s="321" t="s">
        <v>621</v>
      </c>
      <c r="E54" s="118" t="s">
        <v>6</v>
      </c>
      <c r="F54" s="321" t="s">
        <v>1</v>
      </c>
      <c r="G54" s="118" t="s">
        <v>7</v>
      </c>
      <c r="H54" s="112"/>
      <c r="I54" s="147" t="s">
        <v>8</v>
      </c>
    </row>
    <row r="55" spans="1:11" x14ac:dyDescent="0.2">
      <c r="C55" s="117"/>
      <c r="D55" s="321" t="s">
        <v>1</v>
      </c>
      <c r="E55" s="118"/>
      <c r="F55" s="321"/>
      <c r="G55" s="118"/>
      <c r="H55" s="117"/>
      <c r="I55" s="144"/>
    </row>
    <row r="56" spans="1:11" x14ac:dyDescent="0.2">
      <c r="B56" s="121" t="s">
        <v>1</v>
      </c>
      <c r="C56" s="109">
        <v>1</v>
      </c>
      <c r="D56" s="317">
        <v>1</v>
      </c>
      <c r="E56" s="110">
        <v>1</v>
      </c>
      <c r="G56" s="110" t="s">
        <v>653</v>
      </c>
      <c r="I56" s="145" t="s">
        <v>348</v>
      </c>
    </row>
    <row r="57" spans="1:11" ht="30" x14ac:dyDescent="0.2">
      <c r="B57" s="121" t="s">
        <v>1</v>
      </c>
      <c r="C57" s="109">
        <v>2</v>
      </c>
      <c r="D57" s="317">
        <v>2</v>
      </c>
      <c r="E57" s="110">
        <v>6</v>
      </c>
      <c r="F57" s="317" t="s">
        <v>1</v>
      </c>
      <c r="G57" s="110" t="s">
        <v>654</v>
      </c>
      <c r="I57" s="145" t="s">
        <v>648</v>
      </c>
    </row>
    <row r="58" spans="1:11" x14ac:dyDescent="0.2">
      <c r="B58" s="121" t="s">
        <v>1</v>
      </c>
      <c r="C58" s="109">
        <v>3</v>
      </c>
      <c r="D58" s="317">
        <v>8</v>
      </c>
      <c r="E58" s="110">
        <v>993</v>
      </c>
      <c r="G58" s="110" t="s">
        <v>653</v>
      </c>
      <c r="I58" s="145" t="s">
        <v>620</v>
      </c>
    </row>
    <row r="59" spans="1:11" x14ac:dyDescent="0.2">
      <c r="B59" s="121"/>
      <c r="I59" s="145"/>
    </row>
    <row r="60" spans="1:11" ht="15.75" thickBot="1" x14ac:dyDescent="0.25">
      <c r="B60" s="121"/>
      <c r="I60" s="145"/>
    </row>
    <row r="61" spans="1:11" ht="16.5" thickTop="1" thickBot="1" x14ac:dyDescent="0.25">
      <c r="A61" s="137" t="s">
        <v>705</v>
      </c>
      <c r="B61" s="138"/>
      <c r="C61" s="139"/>
      <c r="D61" s="323" t="s">
        <v>706</v>
      </c>
      <c r="E61" s="118"/>
      <c r="F61" s="321"/>
      <c r="G61" s="118"/>
      <c r="H61" s="117"/>
      <c r="I61" s="152"/>
    </row>
    <row r="62" spans="1:11" ht="15.75" thickTop="1" x14ac:dyDescent="0.2">
      <c r="A62" s="138"/>
      <c r="B62" s="138"/>
      <c r="D62" s="321"/>
      <c r="E62" s="118"/>
      <c r="F62" s="321"/>
      <c r="G62" s="118"/>
      <c r="H62" s="117"/>
    </row>
    <row r="63" spans="1:11" s="108" customFormat="1" x14ac:dyDescent="0.2">
      <c r="B63" s="153" t="s">
        <v>707</v>
      </c>
      <c r="D63" s="324" t="s">
        <v>708</v>
      </c>
      <c r="E63" s="116"/>
      <c r="F63" s="319"/>
      <c r="G63" s="116"/>
      <c r="I63" s="136"/>
      <c r="K63" s="116"/>
    </row>
    <row r="64" spans="1:11" s="108" customFormat="1" x14ac:dyDescent="0.2">
      <c r="B64" s="153" t="s">
        <v>709</v>
      </c>
      <c r="D64" s="324" t="s">
        <v>710</v>
      </c>
      <c r="E64" s="116"/>
      <c r="F64" s="319"/>
      <c r="G64" s="116"/>
      <c r="I64" s="136"/>
      <c r="K64" s="116"/>
    </row>
    <row r="65" spans="1:9" x14ac:dyDescent="0.2">
      <c r="B65" s="154"/>
      <c r="C65" s="121"/>
    </row>
    <row r="66" spans="1:9" x14ac:dyDescent="0.2">
      <c r="A66" s="155" t="s">
        <v>711</v>
      </c>
      <c r="B66" s="156" t="s">
        <v>712</v>
      </c>
      <c r="C66" s="142"/>
      <c r="D66" s="325" t="s">
        <v>713</v>
      </c>
      <c r="E66" s="156"/>
      <c r="F66" s="325" t="s">
        <v>714</v>
      </c>
      <c r="G66" s="156" t="s">
        <v>715</v>
      </c>
      <c r="H66" s="142"/>
      <c r="I66" s="143" t="s">
        <v>716</v>
      </c>
    </row>
    <row r="67" spans="1:9" x14ac:dyDescent="0.2">
      <c r="A67" s="108"/>
      <c r="B67" s="108"/>
      <c r="C67" s="108"/>
      <c r="D67" s="319"/>
      <c r="E67" s="116"/>
      <c r="F67" s="319"/>
      <c r="G67" s="116"/>
      <c r="H67" s="108"/>
      <c r="I67" s="136"/>
    </row>
    <row r="68" spans="1:9" ht="30" x14ac:dyDescent="0.2">
      <c r="A68" s="157">
        <v>2</v>
      </c>
      <c r="B68" s="121" t="s">
        <v>717</v>
      </c>
      <c r="D68" s="317" t="s">
        <v>718</v>
      </c>
      <c r="F68" s="317" t="s">
        <v>701</v>
      </c>
      <c r="G68" s="110">
        <v>19</v>
      </c>
      <c r="I68" s="145" t="s">
        <v>719</v>
      </c>
    </row>
    <row r="69" spans="1:9" x14ac:dyDescent="0.2">
      <c r="A69" s="157"/>
      <c r="B69" s="121"/>
      <c r="I69" s="145" t="s">
        <v>720</v>
      </c>
    </row>
    <row r="70" spans="1:9" x14ac:dyDescent="0.2">
      <c r="A70" s="157"/>
      <c r="B70" s="121"/>
      <c r="I70" s="145" t="s">
        <v>721</v>
      </c>
    </row>
    <row r="71" spans="1:9" ht="30" x14ac:dyDescent="0.2">
      <c r="A71" s="157"/>
      <c r="B71" s="121"/>
      <c r="I71" s="145" t="s">
        <v>722</v>
      </c>
    </row>
    <row r="72" spans="1:9" ht="30" x14ac:dyDescent="0.2">
      <c r="A72" s="157"/>
      <c r="B72" s="121"/>
      <c r="I72" s="158" t="s">
        <v>723</v>
      </c>
    </row>
    <row r="73" spans="1:9" x14ac:dyDescent="0.2">
      <c r="A73" s="157"/>
      <c r="B73" s="121"/>
      <c r="I73" s="145" t="s">
        <v>724</v>
      </c>
    </row>
    <row r="74" spans="1:9" ht="30" x14ac:dyDescent="0.2">
      <c r="A74" s="157"/>
      <c r="B74" s="121"/>
      <c r="I74" s="145" t="s">
        <v>725</v>
      </c>
    </row>
    <row r="75" spans="1:9" x14ac:dyDescent="0.2">
      <c r="A75" s="157"/>
      <c r="B75" s="121"/>
      <c r="I75" s="145" t="s">
        <v>726</v>
      </c>
    </row>
    <row r="76" spans="1:9" ht="30" x14ac:dyDescent="0.2">
      <c r="A76" s="157"/>
      <c r="B76" s="121"/>
      <c r="I76" s="145" t="s">
        <v>727</v>
      </c>
    </row>
    <row r="77" spans="1:9" x14ac:dyDescent="0.2">
      <c r="A77" s="157"/>
      <c r="B77" s="121"/>
      <c r="I77" s="145" t="s">
        <v>728</v>
      </c>
    </row>
    <row r="78" spans="1:9" x14ac:dyDescent="0.2">
      <c r="A78" s="157"/>
      <c r="B78" s="121"/>
      <c r="I78" s="145" t="s">
        <v>729</v>
      </c>
    </row>
    <row r="79" spans="1:9" x14ac:dyDescent="0.2">
      <c r="A79" s="157"/>
      <c r="B79" s="121"/>
      <c r="I79" s="145"/>
    </row>
    <row r="80" spans="1:9" x14ac:dyDescent="0.2">
      <c r="A80" s="157">
        <v>7</v>
      </c>
      <c r="B80" s="121" t="s">
        <v>730</v>
      </c>
      <c r="D80" s="317" t="s">
        <v>731</v>
      </c>
      <c r="F80" s="317" t="s">
        <v>701</v>
      </c>
      <c r="G80" s="110">
        <v>10</v>
      </c>
      <c r="I80" s="145" t="s">
        <v>732</v>
      </c>
    </row>
    <row r="81" spans="1:11" x14ac:dyDescent="0.2">
      <c r="A81" s="157"/>
    </row>
    <row r="82" spans="1:11" x14ac:dyDescent="0.2">
      <c r="A82" s="157">
        <v>11</v>
      </c>
      <c r="B82" s="109" t="s">
        <v>733</v>
      </c>
      <c r="F82" s="317" t="s">
        <v>701</v>
      </c>
      <c r="G82" s="110">
        <v>6</v>
      </c>
      <c r="I82" s="111" t="s">
        <v>734</v>
      </c>
    </row>
    <row r="83" spans="1:11" x14ac:dyDescent="0.2">
      <c r="A83" s="157"/>
    </row>
    <row r="84" spans="1:11" x14ac:dyDescent="0.2">
      <c r="A84" s="157">
        <v>33</v>
      </c>
      <c r="B84" s="121" t="s">
        <v>735</v>
      </c>
      <c r="D84" s="317" t="s">
        <v>718</v>
      </c>
      <c r="F84" s="317" t="s">
        <v>701</v>
      </c>
      <c r="G84" s="110">
        <v>11</v>
      </c>
      <c r="I84" s="145" t="s">
        <v>736</v>
      </c>
    </row>
    <row r="85" spans="1:11" ht="30" x14ac:dyDescent="0.2">
      <c r="A85" s="157"/>
      <c r="B85" s="121"/>
      <c r="I85" s="145" t="s">
        <v>737</v>
      </c>
    </row>
    <row r="86" spans="1:11" x14ac:dyDescent="0.2">
      <c r="A86" s="157"/>
      <c r="B86" s="121"/>
      <c r="I86" s="145" t="s">
        <v>721</v>
      </c>
    </row>
    <row r="87" spans="1:11" x14ac:dyDescent="0.2">
      <c r="A87" s="157"/>
      <c r="B87" s="121"/>
      <c r="I87" s="145" t="s">
        <v>738</v>
      </c>
    </row>
    <row r="88" spans="1:11" x14ac:dyDescent="0.2">
      <c r="A88" s="157"/>
      <c r="B88" s="121"/>
      <c r="I88" s="145"/>
    </row>
    <row r="89" spans="1:11" ht="45" x14ac:dyDescent="0.2">
      <c r="A89" s="157">
        <v>48</v>
      </c>
      <c r="B89" s="121" t="s">
        <v>739</v>
      </c>
      <c r="D89" s="317" t="s">
        <v>718</v>
      </c>
      <c r="F89" s="317" t="s">
        <v>740</v>
      </c>
      <c r="G89" s="110" t="s">
        <v>741</v>
      </c>
      <c r="I89" s="146" t="s">
        <v>742</v>
      </c>
    </row>
    <row r="90" spans="1:11" x14ac:dyDescent="0.2">
      <c r="A90" s="157"/>
      <c r="B90" s="121"/>
      <c r="I90" s="145"/>
    </row>
    <row r="91" spans="1:11" ht="15.75" thickBot="1" x14ac:dyDescent="0.25">
      <c r="A91" s="157"/>
      <c r="B91" s="121"/>
      <c r="I91" s="145"/>
    </row>
    <row r="92" spans="1:11" ht="16.5" thickTop="1" thickBot="1" x14ac:dyDescent="0.25">
      <c r="A92" s="137" t="s">
        <v>743</v>
      </c>
      <c r="B92" s="138"/>
      <c r="C92" s="139"/>
      <c r="D92" s="323" t="s">
        <v>744</v>
      </c>
      <c r="E92" s="118"/>
      <c r="F92" s="321"/>
      <c r="G92" s="118"/>
      <c r="H92" s="117"/>
      <c r="I92" s="152"/>
    </row>
    <row r="93" spans="1:11" ht="15.75" thickTop="1" x14ac:dyDescent="0.2">
      <c r="A93" s="138"/>
      <c r="B93" s="138"/>
      <c r="D93" s="321"/>
      <c r="E93" s="118"/>
      <c r="F93" s="321"/>
      <c r="G93" s="118"/>
      <c r="H93" s="117"/>
    </row>
    <row r="94" spans="1:11" s="108" customFormat="1" x14ac:dyDescent="0.2">
      <c r="B94" s="153" t="s">
        <v>707</v>
      </c>
      <c r="D94" s="324" t="s">
        <v>745</v>
      </c>
      <c r="E94" s="116"/>
      <c r="F94" s="319"/>
      <c r="G94" s="116"/>
      <c r="I94" s="136"/>
      <c r="K94" s="116"/>
    </row>
    <row r="95" spans="1:11" s="108" customFormat="1" x14ac:dyDescent="0.2">
      <c r="B95" s="153" t="s">
        <v>709</v>
      </c>
      <c r="D95" s="324" t="s">
        <v>746</v>
      </c>
      <c r="E95" s="116"/>
      <c r="F95" s="319"/>
      <c r="G95" s="116"/>
      <c r="I95" s="136"/>
      <c r="K95" s="116"/>
    </row>
    <row r="96" spans="1:11" ht="30" x14ac:dyDescent="0.2">
      <c r="B96" s="154"/>
      <c r="C96" s="121"/>
      <c r="I96" s="111" t="s">
        <v>1538</v>
      </c>
    </row>
    <row r="97" spans="1:9" x14ac:dyDescent="0.2">
      <c r="A97" s="155" t="s">
        <v>711</v>
      </c>
      <c r="B97" s="156" t="s">
        <v>712</v>
      </c>
      <c r="C97" s="142"/>
      <c r="D97" s="325" t="s">
        <v>713</v>
      </c>
      <c r="E97" s="156"/>
      <c r="F97" s="325" t="s">
        <v>714</v>
      </c>
      <c r="G97" s="156" t="s">
        <v>715</v>
      </c>
      <c r="H97" s="142"/>
      <c r="I97" s="143" t="s">
        <v>716</v>
      </c>
    </row>
    <row r="98" spans="1:9" x14ac:dyDescent="0.2">
      <c r="A98" s="108"/>
      <c r="B98" s="108"/>
      <c r="C98" s="108"/>
      <c r="D98" s="319"/>
      <c r="E98" s="116"/>
      <c r="F98" s="319"/>
      <c r="G98" s="116"/>
      <c r="H98" s="108"/>
      <c r="I98" s="136"/>
    </row>
    <row r="99" spans="1:9" x14ac:dyDescent="0.2">
      <c r="A99" s="157">
        <v>2</v>
      </c>
      <c r="B99" s="121" t="s">
        <v>717</v>
      </c>
      <c r="D99" s="317" t="s">
        <v>718</v>
      </c>
      <c r="F99" s="317" t="s">
        <v>701</v>
      </c>
      <c r="G99" s="110">
        <v>19</v>
      </c>
      <c r="I99" s="145" t="s">
        <v>747</v>
      </c>
    </row>
    <row r="100" spans="1:9" x14ac:dyDescent="0.2">
      <c r="A100" s="157"/>
      <c r="B100" s="121"/>
      <c r="I100" s="145" t="s">
        <v>720</v>
      </c>
    </row>
    <row r="101" spans="1:9" x14ac:dyDescent="0.2">
      <c r="A101" s="157"/>
      <c r="B101" s="121"/>
      <c r="I101" s="145" t="s">
        <v>721</v>
      </c>
    </row>
    <row r="102" spans="1:9" ht="30" x14ac:dyDescent="0.2">
      <c r="A102" s="157"/>
      <c r="B102" s="121"/>
      <c r="I102" s="145" t="s">
        <v>722</v>
      </c>
    </row>
    <row r="103" spans="1:9" ht="30" x14ac:dyDescent="0.2">
      <c r="A103" s="157"/>
      <c r="B103" s="121"/>
      <c r="I103" s="158" t="s">
        <v>723</v>
      </c>
    </row>
    <row r="104" spans="1:9" x14ac:dyDescent="0.2">
      <c r="A104" s="157"/>
      <c r="B104" s="121"/>
      <c r="I104" s="145"/>
    </row>
    <row r="105" spans="1:9" x14ac:dyDescent="0.2">
      <c r="A105" s="157">
        <v>7</v>
      </c>
      <c r="B105" s="121" t="s">
        <v>730</v>
      </c>
      <c r="D105" s="317" t="s">
        <v>731</v>
      </c>
      <c r="F105" s="317" t="s">
        <v>701</v>
      </c>
      <c r="G105" s="110">
        <v>10</v>
      </c>
      <c r="I105" s="136" t="s">
        <v>748</v>
      </c>
    </row>
    <row r="106" spans="1:9" x14ac:dyDescent="0.2">
      <c r="A106" s="157"/>
    </row>
    <row r="107" spans="1:9" x14ac:dyDescent="0.2">
      <c r="A107" s="157">
        <v>11</v>
      </c>
      <c r="B107" s="109" t="s">
        <v>733</v>
      </c>
      <c r="F107" s="317" t="s">
        <v>701</v>
      </c>
      <c r="G107" s="110">
        <v>6</v>
      </c>
      <c r="I107" s="111" t="s">
        <v>734</v>
      </c>
    </row>
    <row r="108" spans="1:9" x14ac:dyDescent="0.2">
      <c r="A108" s="157"/>
    </row>
    <row r="109" spans="1:9" x14ac:dyDescent="0.2">
      <c r="A109" s="157"/>
    </row>
    <row r="110" spans="1:9" x14ac:dyDescent="0.2">
      <c r="A110" s="157">
        <v>33</v>
      </c>
      <c r="B110" s="121" t="s">
        <v>749</v>
      </c>
      <c r="D110" s="317" t="s">
        <v>718</v>
      </c>
      <c r="F110" s="317" t="s">
        <v>701</v>
      </c>
      <c r="G110" s="110">
        <v>11</v>
      </c>
      <c r="I110" s="145" t="s">
        <v>750</v>
      </c>
    </row>
    <row r="111" spans="1:9" ht="30" x14ac:dyDescent="0.2">
      <c r="A111" s="157"/>
      <c r="B111" s="121"/>
      <c r="I111" s="145" t="s">
        <v>737</v>
      </c>
    </row>
    <row r="112" spans="1:9" x14ac:dyDescent="0.2">
      <c r="A112" s="157"/>
      <c r="B112" s="121"/>
      <c r="I112" s="145" t="s">
        <v>721</v>
      </c>
    </row>
    <row r="113" spans="1:11" x14ac:dyDescent="0.2">
      <c r="A113" s="157"/>
      <c r="B113" s="121"/>
      <c r="I113" s="145" t="s">
        <v>738</v>
      </c>
    </row>
    <row r="114" spans="1:11" x14ac:dyDescent="0.2">
      <c r="A114" s="157"/>
      <c r="B114" s="121"/>
      <c r="I114" s="145"/>
    </row>
    <row r="115" spans="1:11" x14ac:dyDescent="0.2">
      <c r="A115" s="157">
        <v>39</v>
      </c>
      <c r="B115" s="121" t="s">
        <v>751</v>
      </c>
      <c r="F115" s="317" t="s">
        <v>701</v>
      </c>
      <c r="G115" s="110">
        <v>2</v>
      </c>
      <c r="I115" s="145" t="s">
        <v>752</v>
      </c>
    </row>
    <row r="116" spans="1:11" x14ac:dyDescent="0.2">
      <c r="A116" s="157"/>
      <c r="B116" s="121"/>
      <c r="I116" s="145" t="s">
        <v>753</v>
      </c>
    </row>
    <row r="117" spans="1:11" x14ac:dyDescent="0.2">
      <c r="A117" s="157"/>
      <c r="B117" s="121"/>
      <c r="I117" s="145" t="s">
        <v>754</v>
      </c>
    </row>
    <row r="118" spans="1:11" x14ac:dyDescent="0.2">
      <c r="A118" s="157"/>
      <c r="B118" s="121"/>
      <c r="I118" s="145"/>
    </row>
    <row r="119" spans="1:11" ht="45" x14ac:dyDescent="0.2">
      <c r="A119" s="157">
        <v>48</v>
      </c>
      <c r="B119" s="121" t="s">
        <v>739</v>
      </c>
      <c r="D119" s="317" t="s">
        <v>718</v>
      </c>
      <c r="F119" s="317" t="s">
        <v>740</v>
      </c>
      <c r="G119" s="110" t="s">
        <v>741</v>
      </c>
      <c r="I119" s="146" t="s">
        <v>742</v>
      </c>
    </row>
    <row r="120" spans="1:11" x14ac:dyDescent="0.2">
      <c r="A120" s="157"/>
      <c r="B120" s="121"/>
      <c r="I120" s="145"/>
    </row>
    <row r="121" spans="1:11" ht="15.75" thickBot="1" x14ac:dyDescent="0.25">
      <c r="A121" s="157"/>
      <c r="B121" s="121"/>
      <c r="I121" s="145"/>
    </row>
    <row r="122" spans="1:11" ht="16.5" thickTop="1" thickBot="1" x14ac:dyDescent="0.25">
      <c r="B122" s="159" t="s">
        <v>755</v>
      </c>
      <c r="C122" s="139"/>
      <c r="D122" s="323" t="s">
        <v>706</v>
      </c>
      <c r="E122" s="118"/>
      <c r="F122" s="321"/>
      <c r="G122" s="118"/>
      <c r="H122" s="117"/>
      <c r="I122" s="152"/>
    </row>
    <row r="123" spans="1:11" ht="15.75" thickTop="1" x14ac:dyDescent="0.2">
      <c r="B123" s="138"/>
      <c r="D123" s="321"/>
      <c r="E123" s="118"/>
      <c r="F123" s="321"/>
      <c r="G123" s="118"/>
      <c r="H123" s="117"/>
    </row>
    <row r="124" spans="1:11" x14ac:dyDescent="0.2">
      <c r="A124" s="160" t="s">
        <v>1</v>
      </c>
      <c r="B124" s="161" t="s">
        <v>756</v>
      </c>
      <c r="C124" s="162"/>
      <c r="D124" s="326" t="s">
        <v>671</v>
      </c>
      <c r="E124" s="160"/>
      <c r="F124" s="326"/>
      <c r="G124" s="160"/>
      <c r="H124" s="162"/>
      <c r="I124" s="163"/>
      <c r="J124" s="162"/>
    </row>
    <row r="125" spans="1:11" x14ac:dyDescent="0.2">
      <c r="A125" s="162"/>
      <c r="B125" s="161" t="s">
        <v>757</v>
      </c>
      <c r="C125" s="119"/>
      <c r="D125" s="326">
        <f xml:space="preserve"> F8</f>
        <v>750</v>
      </c>
      <c r="E125" s="160" t="s">
        <v>758</v>
      </c>
      <c r="F125" s="326"/>
      <c r="G125" s="160"/>
      <c r="H125" s="162"/>
      <c r="I125" s="164"/>
      <c r="J125" s="162"/>
    </row>
    <row r="126" spans="1:11" x14ac:dyDescent="0.2">
      <c r="A126" s="162"/>
      <c r="B126" s="162"/>
      <c r="C126" s="162"/>
      <c r="D126" s="326"/>
      <c r="E126" s="160"/>
      <c r="F126" s="326"/>
      <c r="G126" s="160"/>
      <c r="H126" s="162"/>
      <c r="I126" s="164"/>
      <c r="J126" s="162"/>
    </row>
    <row r="127" spans="1:11" s="108" customFormat="1" x14ac:dyDescent="0.2">
      <c r="A127" s="165" t="s">
        <v>759</v>
      </c>
      <c r="B127" s="166" t="s">
        <v>712</v>
      </c>
      <c r="C127" s="167"/>
      <c r="D127" s="327" t="s">
        <v>713</v>
      </c>
      <c r="E127" s="168"/>
      <c r="F127" s="327" t="s">
        <v>760</v>
      </c>
      <c r="G127" s="156" t="s">
        <v>715</v>
      </c>
      <c r="H127" s="167"/>
      <c r="I127" s="169" t="s">
        <v>716</v>
      </c>
      <c r="J127" s="170" t="s">
        <v>761</v>
      </c>
      <c r="K127" s="171"/>
    </row>
    <row r="128" spans="1:11" x14ac:dyDescent="0.2">
      <c r="A128" s="117" t="s">
        <v>1</v>
      </c>
      <c r="B128" s="117"/>
      <c r="C128" s="117"/>
      <c r="D128" s="321"/>
      <c r="E128" s="118"/>
      <c r="F128" s="321"/>
      <c r="G128" s="118"/>
      <c r="H128" s="117"/>
      <c r="I128" s="144"/>
    </row>
    <row r="129" spans="1:11" x14ac:dyDescent="0.2">
      <c r="A129" s="121" t="s">
        <v>1</v>
      </c>
      <c r="B129" s="312" t="s">
        <v>762</v>
      </c>
      <c r="C129" s="313"/>
      <c r="D129" s="328"/>
      <c r="E129" s="314"/>
      <c r="F129" s="328"/>
      <c r="G129" s="314" t="s">
        <v>1</v>
      </c>
      <c r="H129" s="313"/>
      <c r="I129" s="316"/>
    </row>
    <row r="130" spans="1:11" x14ac:dyDescent="0.2">
      <c r="A130" s="109">
        <v>1</v>
      </c>
      <c r="B130" s="312" t="s">
        <v>763</v>
      </c>
      <c r="C130" s="313"/>
      <c r="D130" s="328" t="s">
        <v>764</v>
      </c>
      <c r="E130" s="314"/>
      <c r="F130" s="328" t="s">
        <v>701</v>
      </c>
      <c r="G130" s="314">
        <v>4</v>
      </c>
      <c r="H130" s="313"/>
      <c r="I130" s="315" t="s">
        <v>765</v>
      </c>
      <c r="J130" s="172">
        <f>IF(A130=1, 4,IF(G130="", "",+K130))</f>
        <v>4</v>
      </c>
      <c r="K130" s="171">
        <f>IF(A130=1,1,+K129+G129)</f>
        <v>1</v>
      </c>
    </row>
    <row r="131" spans="1:11" x14ac:dyDescent="0.2">
      <c r="J131" s="172" t="str">
        <f t="shared" ref="J131:J194" si="0">IF(A131=1, 4,IF(G131="", "",+K131))</f>
        <v/>
      </c>
      <c r="K131" s="171">
        <f t="shared" ref="K131:K194" si="1">IF(A131=1,1,+K130+G130)</f>
        <v>5</v>
      </c>
    </row>
    <row r="132" spans="1:11" x14ac:dyDescent="0.2">
      <c r="A132" s="109">
        <v>2</v>
      </c>
      <c r="B132" s="121" t="s">
        <v>766</v>
      </c>
      <c r="D132" s="317" t="s">
        <v>767</v>
      </c>
      <c r="F132" s="317" t="s">
        <v>701</v>
      </c>
      <c r="G132" s="110">
        <v>1</v>
      </c>
      <c r="I132" s="145" t="s">
        <v>768</v>
      </c>
      <c r="J132" s="172">
        <f t="shared" si="0"/>
        <v>5</v>
      </c>
      <c r="K132" s="171">
        <f t="shared" si="1"/>
        <v>5</v>
      </c>
    </row>
    <row r="133" spans="1:11" x14ac:dyDescent="0.2">
      <c r="J133" s="172" t="str">
        <f t="shared" si="0"/>
        <v/>
      </c>
      <c r="K133" s="171">
        <f t="shared" si="1"/>
        <v>6</v>
      </c>
    </row>
    <row r="134" spans="1:11" x14ac:dyDescent="0.2">
      <c r="A134" s="109">
        <v>3</v>
      </c>
      <c r="B134" s="121" t="s">
        <v>769</v>
      </c>
      <c r="D134" s="317" t="s">
        <v>770</v>
      </c>
      <c r="F134" s="317" t="s">
        <v>701</v>
      </c>
      <c r="G134" s="110">
        <v>4</v>
      </c>
      <c r="I134" s="145" t="s">
        <v>768</v>
      </c>
      <c r="J134" s="172">
        <f t="shared" si="0"/>
        <v>6</v>
      </c>
      <c r="K134" s="171">
        <f t="shared" si="1"/>
        <v>6</v>
      </c>
    </row>
    <row r="135" spans="1:11" x14ac:dyDescent="0.2">
      <c r="J135" s="172" t="str">
        <f t="shared" si="0"/>
        <v/>
      </c>
      <c r="K135" s="171">
        <f t="shared" si="1"/>
        <v>10</v>
      </c>
    </row>
    <row r="136" spans="1:11" x14ac:dyDescent="0.2">
      <c r="A136" s="109">
        <v>4</v>
      </c>
      <c r="B136" s="121" t="s">
        <v>771</v>
      </c>
      <c r="F136" s="317" t="s">
        <v>772</v>
      </c>
      <c r="G136" s="110">
        <v>1</v>
      </c>
      <c r="I136" s="145" t="s">
        <v>773</v>
      </c>
      <c r="J136" s="172">
        <f t="shared" si="0"/>
        <v>10</v>
      </c>
      <c r="K136" s="171">
        <f t="shared" si="1"/>
        <v>10</v>
      </c>
    </row>
    <row r="137" spans="1:11" x14ac:dyDescent="0.2">
      <c r="J137" s="172" t="str">
        <f t="shared" si="0"/>
        <v/>
      </c>
      <c r="K137" s="171">
        <f t="shared" si="1"/>
        <v>11</v>
      </c>
    </row>
    <row r="138" spans="1:11" x14ac:dyDescent="0.2">
      <c r="B138" s="173" t="s">
        <v>774</v>
      </c>
      <c r="J138" s="172" t="str">
        <f t="shared" si="0"/>
        <v/>
      </c>
      <c r="K138" s="171">
        <f t="shared" si="1"/>
        <v>11</v>
      </c>
    </row>
    <row r="139" spans="1:11" x14ac:dyDescent="0.2">
      <c r="J139" s="172" t="str">
        <f t="shared" si="0"/>
        <v/>
      </c>
      <c r="K139" s="171">
        <f t="shared" si="1"/>
        <v>11</v>
      </c>
    </row>
    <row r="140" spans="1:11" x14ac:dyDescent="0.2">
      <c r="A140" s="109">
        <v>5</v>
      </c>
      <c r="B140" s="109" t="s">
        <v>775</v>
      </c>
      <c r="F140" s="317" t="s">
        <v>701</v>
      </c>
      <c r="G140" s="110">
        <v>3</v>
      </c>
      <c r="I140" s="111" t="s">
        <v>776</v>
      </c>
      <c r="J140" s="172">
        <f t="shared" si="0"/>
        <v>11</v>
      </c>
      <c r="K140" s="171">
        <f t="shared" si="1"/>
        <v>11</v>
      </c>
    </row>
    <row r="141" spans="1:11" x14ac:dyDescent="0.2">
      <c r="I141" s="145" t="s">
        <v>777</v>
      </c>
      <c r="J141" s="172" t="str">
        <f t="shared" si="0"/>
        <v/>
      </c>
      <c r="K141" s="171">
        <f t="shared" si="1"/>
        <v>14</v>
      </c>
    </row>
    <row r="142" spans="1:11" x14ac:dyDescent="0.2">
      <c r="I142" s="145" t="s">
        <v>778</v>
      </c>
      <c r="J142" s="172" t="str">
        <f t="shared" si="0"/>
        <v/>
      </c>
      <c r="K142" s="171">
        <f t="shared" si="1"/>
        <v>14</v>
      </c>
    </row>
    <row r="143" spans="1:11" x14ac:dyDescent="0.2">
      <c r="I143" s="145"/>
      <c r="J143" s="172" t="str">
        <f t="shared" si="0"/>
        <v/>
      </c>
      <c r="K143" s="171">
        <f t="shared" si="1"/>
        <v>14</v>
      </c>
    </row>
    <row r="144" spans="1:11" x14ac:dyDescent="0.2">
      <c r="A144" s="109">
        <v>6</v>
      </c>
      <c r="B144" s="121" t="s">
        <v>779</v>
      </c>
      <c r="F144" s="317" t="s">
        <v>701</v>
      </c>
      <c r="G144" s="110">
        <v>8</v>
      </c>
      <c r="I144" s="145" t="s">
        <v>780</v>
      </c>
      <c r="J144" s="172">
        <f t="shared" si="0"/>
        <v>14</v>
      </c>
      <c r="K144" s="171">
        <f t="shared" si="1"/>
        <v>14</v>
      </c>
    </row>
    <row r="145" spans="1:12" x14ac:dyDescent="0.2">
      <c r="B145" s="121"/>
      <c r="I145" s="145" t="s">
        <v>781</v>
      </c>
      <c r="J145" s="172" t="str">
        <f t="shared" si="0"/>
        <v/>
      </c>
      <c r="K145" s="171">
        <f t="shared" si="1"/>
        <v>22</v>
      </c>
    </row>
    <row r="146" spans="1:12" x14ac:dyDescent="0.2">
      <c r="B146" s="121"/>
      <c r="I146" s="145"/>
      <c r="J146" s="172" t="str">
        <f t="shared" si="0"/>
        <v/>
      </c>
      <c r="K146" s="171">
        <f t="shared" si="1"/>
        <v>22</v>
      </c>
    </row>
    <row r="147" spans="1:12" x14ac:dyDescent="0.2">
      <c r="A147" s="109">
        <v>7</v>
      </c>
      <c r="B147" s="121" t="s">
        <v>782</v>
      </c>
      <c r="F147" s="317" t="s">
        <v>701</v>
      </c>
      <c r="G147" s="110">
        <v>2</v>
      </c>
      <c r="I147" s="145" t="s">
        <v>783</v>
      </c>
      <c r="J147" s="172">
        <f t="shared" si="0"/>
        <v>22</v>
      </c>
      <c r="K147" s="171">
        <f t="shared" si="1"/>
        <v>22</v>
      </c>
    </row>
    <row r="148" spans="1:12" x14ac:dyDescent="0.2">
      <c r="B148" s="121"/>
      <c r="I148" s="145"/>
      <c r="J148" s="172" t="str">
        <f t="shared" si="0"/>
        <v/>
      </c>
      <c r="K148" s="171">
        <f t="shared" si="1"/>
        <v>24</v>
      </c>
    </row>
    <row r="149" spans="1:12" x14ac:dyDescent="0.2">
      <c r="J149" s="172" t="str">
        <f t="shared" si="0"/>
        <v/>
      </c>
      <c r="K149" s="171">
        <f t="shared" si="1"/>
        <v>24</v>
      </c>
    </row>
    <row r="150" spans="1:12" x14ac:dyDescent="0.2">
      <c r="A150" s="109">
        <v>8</v>
      </c>
      <c r="B150" s="121" t="s">
        <v>784</v>
      </c>
      <c r="F150" s="317" t="s">
        <v>701</v>
      </c>
      <c r="G150" s="110">
        <v>5</v>
      </c>
      <c r="I150" s="145" t="s">
        <v>785</v>
      </c>
      <c r="J150" s="172">
        <f t="shared" si="0"/>
        <v>24</v>
      </c>
      <c r="K150" s="171">
        <f t="shared" si="1"/>
        <v>24</v>
      </c>
    </row>
    <row r="151" spans="1:12" x14ac:dyDescent="0.2">
      <c r="J151" s="172" t="str">
        <f t="shared" si="0"/>
        <v/>
      </c>
      <c r="K151" s="171">
        <f t="shared" si="1"/>
        <v>29</v>
      </c>
    </row>
    <row r="152" spans="1:12" x14ac:dyDescent="0.2">
      <c r="J152" s="172" t="str">
        <f t="shared" si="0"/>
        <v/>
      </c>
      <c r="K152" s="171">
        <f t="shared" si="1"/>
        <v>29</v>
      </c>
    </row>
    <row r="153" spans="1:12" x14ac:dyDescent="0.2">
      <c r="A153" s="109">
        <v>9</v>
      </c>
      <c r="B153" s="121" t="s">
        <v>786</v>
      </c>
      <c r="F153" s="317" t="s">
        <v>772</v>
      </c>
      <c r="G153" s="110">
        <v>30</v>
      </c>
      <c r="I153" s="145" t="s">
        <v>787</v>
      </c>
      <c r="J153" s="172">
        <f t="shared" si="0"/>
        <v>29</v>
      </c>
      <c r="K153" s="171">
        <f t="shared" si="1"/>
        <v>29</v>
      </c>
      <c r="L153" s="109" t="s">
        <v>1</v>
      </c>
    </row>
    <row r="154" spans="1:12" x14ac:dyDescent="0.2">
      <c r="B154" s="121"/>
      <c r="I154" s="145" t="s">
        <v>788</v>
      </c>
      <c r="J154" s="172" t="str">
        <f t="shared" si="0"/>
        <v/>
      </c>
      <c r="K154" s="171">
        <f t="shared" si="1"/>
        <v>59</v>
      </c>
    </row>
    <row r="155" spans="1:12" x14ac:dyDescent="0.2">
      <c r="I155" s="145" t="s">
        <v>789</v>
      </c>
      <c r="J155" s="172" t="str">
        <f t="shared" si="0"/>
        <v/>
      </c>
      <c r="K155" s="171">
        <f t="shared" si="1"/>
        <v>59</v>
      </c>
    </row>
    <row r="156" spans="1:12" x14ac:dyDescent="0.2">
      <c r="I156" s="111" t="s">
        <v>790</v>
      </c>
      <c r="J156" s="172" t="str">
        <f t="shared" si="0"/>
        <v/>
      </c>
      <c r="K156" s="171">
        <f t="shared" si="1"/>
        <v>59</v>
      </c>
    </row>
    <row r="157" spans="1:12" x14ac:dyDescent="0.2">
      <c r="J157" s="172" t="str">
        <f t="shared" si="0"/>
        <v/>
      </c>
      <c r="K157" s="171">
        <f t="shared" si="1"/>
        <v>59</v>
      </c>
    </row>
    <row r="158" spans="1:12" x14ac:dyDescent="0.2">
      <c r="A158" s="109">
        <v>10</v>
      </c>
      <c r="B158" s="109" t="s">
        <v>791</v>
      </c>
      <c r="D158" s="317" t="s">
        <v>792</v>
      </c>
      <c r="F158" s="317" t="s">
        <v>701</v>
      </c>
      <c r="G158" s="110">
        <v>8</v>
      </c>
      <c r="I158" s="111" t="s">
        <v>793</v>
      </c>
      <c r="J158" s="172">
        <f t="shared" si="0"/>
        <v>59</v>
      </c>
      <c r="K158" s="171">
        <f t="shared" si="1"/>
        <v>59</v>
      </c>
      <c r="L158" s="109" t="s">
        <v>1</v>
      </c>
    </row>
    <row r="159" spans="1:12" x14ac:dyDescent="0.2">
      <c r="J159" s="172" t="str">
        <f t="shared" si="0"/>
        <v/>
      </c>
      <c r="K159" s="171">
        <f t="shared" si="1"/>
        <v>67</v>
      </c>
    </row>
    <row r="160" spans="1:12" x14ac:dyDescent="0.2">
      <c r="A160" s="109">
        <v>11</v>
      </c>
      <c r="B160" s="121" t="s">
        <v>794</v>
      </c>
      <c r="F160" s="317" t="s">
        <v>701</v>
      </c>
      <c r="G160" s="110">
        <v>3</v>
      </c>
      <c r="I160" s="145" t="s">
        <v>795</v>
      </c>
      <c r="J160" s="172">
        <f t="shared" si="0"/>
        <v>67</v>
      </c>
      <c r="K160" s="171">
        <f t="shared" si="1"/>
        <v>67</v>
      </c>
    </row>
    <row r="161" spans="1:11" x14ac:dyDescent="0.2">
      <c r="J161" s="172" t="str">
        <f t="shared" si="0"/>
        <v/>
      </c>
      <c r="K161" s="171">
        <f t="shared" si="1"/>
        <v>70</v>
      </c>
    </row>
    <row r="162" spans="1:11" x14ac:dyDescent="0.2">
      <c r="A162" s="109">
        <v>12</v>
      </c>
      <c r="B162" s="121" t="s">
        <v>796</v>
      </c>
      <c r="F162" s="317" t="s">
        <v>772</v>
      </c>
      <c r="G162" s="110">
        <v>4</v>
      </c>
      <c r="I162" s="145" t="s">
        <v>797</v>
      </c>
      <c r="J162" s="172">
        <f t="shared" si="0"/>
        <v>70</v>
      </c>
      <c r="K162" s="171">
        <f t="shared" si="1"/>
        <v>70</v>
      </c>
    </row>
    <row r="163" spans="1:11" s="108" customFormat="1" x14ac:dyDescent="0.2">
      <c r="D163" s="319"/>
      <c r="E163" s="116"/>
      <c r="F163" s="319"/>
      <c r="G163" s="116"/>
      <c r="I163" s="136"/>
      <c r="J163" s="172" t="str">
        <f t="shared" si="0"/>
        <v/>
      </c>
      <c r="K163" s="171">
        <f t="shared" si="1"/>
        <v>74</v>
      </c>
    </row>
    <row r="164" spans="1:11" x14ac:dyDescent="0.2">
      <c r="A164" s="313">
        <v>13</v>
      </c>
      <c r="B164" s="313" t="s">
        <v>798</v>
      </c>
      <c r="C164" s="313"/>
      <c r="D164" s="328"/>
      <c r="E164" s="314"/>
      <c r="F164" s="328" t="s">
        <v>772</v>
      </c>
      <c r="G164" s="314">
        <v>13</v>
      </c>
      <c r="H164" s="313"/>
      <c r="I164" s="316" t="s">
        <v>799</v>
      </c>
      <c r="J164" s="172">
        <f t="shared" si="0"/>
        <v>74</v>
      </c>
      <c r="K164" s="171">
        <f t="shared" si="1"/>
        <v>74</v>
      </c>
    </row>
    <row r="165" spans="1:11" x14ac:dyDescent="0.2">
      <c r="A165" s="313"/>
      <c r="B165" s="313"/>
      <c r="C165" s="313"/>
      <c r="D165" s="328"/>
      <c r="E165" s="314"/>
      <c r="F165" s="328"/>
      <c r="G165" s="314"/>
      <c r="H165" s="313"/>
      <c r="I165" s="316" t="s">
        <v>800</v>
      </c>
      <c r="J165" s="172" t="str">
        <f t="shared" si="0"/>
        <v/>
      </c>
      <c r="K165" s="171">
        <f t="shared" si="1"/>
        <v>87</v>
      </c>
    </row>
    <row r="166" spans="1:11" x14ac:dyDescent="0.2">
      <c r="A166" s="313"/>
      <c r="B166" s="313"/>
      <c r="C166" s="313"/>
      <c r="D166" s="328"/>
      <c r="E166" s="314"/>
      <c r="F166" s="328"/>
      <c r="G166" s="314"/>
      <c r="H166" s="313"/>
      <c r="I166" s="316" t="s">
        <v>801</v>
      </c>
      <c r="J166" s="172" t="str">
        <f t="shared" si="0"/>
        <v/>
      </c>
      <c r="K166" s="171">
        <f t="shared" si="1"/>
        <v>87</v>
      </c>
    </row>
    <row r="167" spans="1:11" ht="30" x14ac:dyDescent="0.2">
      <c r="A167" s="313"/>
      <c r="B167" s="313"/>
      <c r="C167" s="313"/>
      <c r="D167" s="328"/>
      <c r="E167" s="314"/>
      <c r="F167" s="328"/>
      <c r="G167" s="314"/>
      <c r="H167" s="313"/>
      <c r="I167" s="316" t="s">
        <v>802</v>
      </c>
      <c r="J167" s="172" t="str">
        <f t="shared" si="0"/>
        <v/>
      </c>
      <c r="K167" s="171">
        <f t="shared" si="1"/>
        <v>87</v>
      </c>
    </row>
    <row r="168" spans="1:11" x14ac:dyDescent="0.2">
      <c r="A168" s="313"/>
      <c r="B168" s="313"/>
      <c r="C168" s="313"/>
      <c r="D168" s="328"/>
      <c r="E168" s="314"/>
      <c r="F168" s="328"/>
      <c r="G168" s="314"/>
      <c r="H168" s="313"/>
      <c r="I168" s="316" t="s">
        <v>803</v>
      </c>
      <c r="J168" s="172" t="str">
        <f t="shared" si="0"/>
        <v/>
      </c>
      <c r="K168" s="171">
        <f t="shared" si="1"/>
        <v>87</v>
      </c>
    </row>
    <row r="169" spans="1:11" x14ac:dyDescent="0.2">
      <c r="A169" s="313"/>
      <c r="B169" s="313"/>
      <c r="C169" s="313"/>
      <c r="D169" s="328"/>
      <c r="E169" s="314"/>
      <c r="F169" s="328"/>
      <c r="G169" s="314"/>
      <c r="H169" s="313"/>
      <c r="I169" s="316" t="s">
        <v>804</v>
      </c>
      <c r="J169" s="172" t="str">
        <f t="shared" si="0"/>
        <v/>
      </c>
      <c r="K169" s="171">
        <f t="shared" si="1"/>
        <v>87</v>
      </c>
    </row>
    <row r="170" spans="1:11" x14ac:dyDescent="0.2">
      <c r="A170" s="313"/>
      <c r="B170" s="313"/>
      <c r="C170" s="313"/>
      <c r="D170" s="328"/>
      <c r="E170" s="314"/>
      <c r="F170" s="328"/>
      <c r="G170" s="314"/>
      <c r="H170" s="313"/>
      <c r="I170" s="316" t="s">
        <v>805</v>
      </c>
      <c r="J170" s="172" t="str">
        <f t="shared" si="0"/>
        <v/>
      </c>
      <c r="K170" s="171">
        <f t="shared" si="1"/>
        <v>87</v>
      </c>
    </row>
    <row r="171" spans="1:11" x14ac:dyDescent="0.2">
      <c r="A171" s="313"/>
      <c r="B171" s="313"/>
      <c r="C171" s="313"/>
      <c r="D171" s="328"/>
      <c r="E171" s="314"/>
      <c r="F171" s="328"/>
      <c r="G171" s="314"/>
      <c r="H171" s="313"/>
      <c r="I171" s="316" t="s">
        <v>806</v>
      </c>
      <c r="J171" s="172" t="str">
        <f t="shared" si="0"/>
        <v/>
      </c>
      <c r="K171" s="171">
        <f t="shared" si="1"/>
        <v>87</v>
      </c>
    </row>
    <row r="172" spans="1:11" x14ac:dyDescent="0.2">
      <c r="A172" s="313"/>
      <c r="B172" s="313"/>
      <c r="C172" s="313"/>
      <c r="D172" s="328"/>
      <c r="E172" s="314"/>
      <c r="F172" s="328"/>
      <c r="G172" s="314"/>
      <c r="H172" s="313"/>
      <c r="I172" s="316" t="s">
        <v>807</v>
      </c>
      <c r="J172" s="172" t="str">
        <f t="shared" si="0"/>
        <v/>
      </c>
      <c r="K172" s="171">
        <f t="shared" si="1"/>
        <v>87</v>
      </c>
    </row>
    <row r="173" spans="1:11" ht="30" x14ac:dyDescent="0.2">
      <c r="A173" s="313"/>
      <c r="B173" s="313"/>
      <c r="C173" s="313"/>
      <c r="D173" s="328"/>
      <c r="E173" s="314"/>
      <c r="F173" s="328"/>
      <c r="G173" s="314"/>
      <c r="H173" s="313"/>
      <c r="I173" s="316" t="s">
        <v>808</v>
      </c>
      <c r="J173" s="172" t="str">
        <f t="shared" si="0"/>
        <v/>
      </c>
      <c r="K173" s="171">
        <f t="shared" si="1"/>
        <v>87</v>
      </c>
    </row>
    <row r="174" spans="1:11" x14ac:dyDescent="0.2">
      <c r="A174" s="313"/>
      <c r="B174" s="313"/>
      <c r="C174" s="313"/>
      <c r="D174" s="328"/>
      <c r="E174" s="314"/>
      <c r="F174" s="328"/>
      <c r="G174" s="314"/>
      <c r="H174" s="313"/>
      <c r="I174" s="316" t="s">
        <v>809</v>
      </c>
      <c r="J174" s="172" t="str">
        <f t="shared" si="0"/>
        <v/>
      </c>
      <c r="K174" s="171">
        <f t="shared" si="1"/>
        <v>87</v>
      </c>
    </row>
    <row r="175" spans="1:11" x14ac:dyDescent="0.2">
      <c r="J175" s="172" t="str">
        <f t="shared" si="0"/>
        <v/>
      </c>
      <c r="K175" s="171">
        <f t="shared" si="1"/>
        <v>87</v>
      </c>
    </row>
    <row r="176" spans="1:11" x14ac:dyDescent="0.2">
      <c r="A176" s="109">
        <v>14</v>
      </c>
      <c r="B176" s="109" t="s">
        <v>810</v>
      </c>
      <c r="F176" s="317" t="s">
        <v>701</v>
      </c>
      <c r="G176" s="110">
        <v>15</v>
      </c>
      <c r="I176" s="145" t="s">
        <v>811</v>
      </c>
      <c r="J176" s="172">
        <f t="shared" si="0"/>
        <v>87</v>
      </c>
      <c r="K176" s="171">
        <f t="shared" si="1"/>
        <v>87</v>
      </c>
    </row>
    <row r="177" spans="1:11" x14ac:dyDescent="0.2">
      <c r="I177" s="145"/>
      <c r="J177" s="172" t="str">
        <f t="shared" si="0"/>
        <v/>
      </c>
      <c r="K177" s="171">
        <f t="shared" si="1"/>
        <v>102</v>
      </c>
    </row>
    <row r="178" spans="1:11" x14ac:dyDescent="0.2">
      <c r="A178" s="109">
        <v>15</v>
      </c>
      <c r="B178" s="121" t="s">
        <v>812</v>
      </c>
      <c r="F178" s="317" t="s">
        <v>701</v>
      </c>
      <c r="G178" s="110">
        <v>9</v>
      </c>
      <c r="I178" s="145" t="s">
        <v>813</v>
      </c>
      <c r="J178" s="172">
        <f t="shared" si="0"/>
        <v>102</v>
      </c>
      <c r="K178" s="171">
        <f t="shared" si="1"/>
        <v>102</v>
      </c>
    </row>
    <row r="179" spans="1:11" x14ac:dyDescent="0.2">
      <c r="B179" s="121"/>
      <c r="I179" s="145"/>
      <c r="J179" s="172" t="str">
        <f t="shared" si="0"/>
        <v/>
      </c>
      <c r="K179" s="171">
        <f t="shared" si="1"/>
        <v>111</v>
      </c>
    </row>
    <row r="180" spans="1:11" x14ac:dyDescent="0.2">
      <c r="A180" s="109">
        <v>16</v>
      </c>
      <c r="B180" s="121" t="s">
        <v>814</v>
      </c>
      <c r="F180" s="317" t="s">
        <v>772</v>
      </c>
      <c r="G180" s="110">
        <v>30</v>
      </c>
      <c r="I180" s="145" t="s">
        <v>815</v>
      </c>
      <c r="J180" s="172">
        <f t="shared" si="0"/>
        <v>111</v>
      </c>
      <c r="K180" s="171">
        <f t="shared" si="1"/>
        <v>111</v>
      </c>
    </row>
    <row r="181" spans="1:11" x14ac:dyDescent="0.2">
      <c r="I181" s="145" t="s">
        <v>816</v>
      </c>
      <c r="J181" s="172" t="str">
        <f t="shared" si="0"/>
        <v/>
      </c>
      <c r="K181" s="171">
        <f t="shared" si="1"/>
        <v>141</v>
      </c>
    </row>
    <row r="182" spans="1:11" x14ac:dyDescent="0.2">
      <c r="J182" s="172" t="str">
        <f t="shared" si="0"/>
        <v/>
      </c>
      <c r="K182" s="171">
        <f t="shared" si="1"/>
        <v>141</v>
      </c>
    </row>
    <row r="183" spans="1:11" x14ac:dyDescent="0.2">
      <c r="A183" s="109">
        <v>17</v>
      </c>
      <c r="B183" s="121" t="s">
        <v>817</v>
      </c>
      <c r="F183" s="317" t="s">
        <v>772</v>
      </c>
      <c r="G183" s="110">
        <v>30</v>
      </c>
      <c r="I183" s="145" t="s">
        <v>818</v>
      </c>
      <c r="J183" s="172">
        <f t="shared" si="0"/>
        <v>141</v>
      </c>
      <c r="K183" s="171">
        <f t="shared" si="1"/>
        <v>141</v>
      </c>
    </row>
    <row r="184" spans="1:11" x14ac:dyDescent="0.2">
      <c r="J184" s="172" t="str">
        <f t="shared" si="0"/>
        <v/>
      </c>
      <c r="K184" s="171">
        <f t="shared" si="1"/>
        <v>171</v>
      </c>
    </row>
    <row r="185" spans="1:11" x14ac:dyDescent="0.2">
      <c r="A185" s="109">
        <v>18</v>
      </c>
      <c r="B185" s="121" t="s">
        <v>819</v>
      </c>
      <c r="F185" s="317" t="s">
        <v>772</v>
      </c>
      <c r="G185" s="110">
        <v>9</v>
      </c>
      <c r="I185" s="145" t="s">
        <v>820</v>
      </c>
      <c r="J185" s="172">
        <f t="shared" si="0"/>
        <v>171</v>
      </c>
      <c r="K185" s="171">
        <f t="shared" si="1"/>
        <v>171</v>
      </c>
    </row>
    <row r="186" spans="1:11" x14ac:dyDescent="0.2">
      <c r="I186" s="145" t="s">
        <v>821</v>
      </c>
      <c r="J186" s="172" t="str">
        <f t="shared" si="0"/>
        <v/>
      </c>
      <c r="K186" s="171">
        <f t="shared" si="1"/>
        <v>180</v>
      </c>
    </row>
    <row r="187" spans="1:11" x14ac:dyDescent="0.2">
      <c r="I187" s="145" t="s">
        <v>822</v>
      </c>
      <c r="J187" s="172" t="str">
        <f t="shared" si="0"/>
        <v/>
      </c>
      <c r="K187" s="171">
        <f t="shared" si="1"/>
        <v>180</v>
      </c>
    </row>
    <row r="188" spans="1:11" x14ac:dyDescent="0.2">
      <c r="I188" s="145"/>
      <c r="J188" s="172" t="str">
        <f t="shared" si="0"/>
        <v/>
      </c>
      <c r="K188" s="171">
        <f t="shared" si="1"/>
        <v>180</v>
      </c>
    </row>
    <row r="189" spans="1:11" x14ac:dyDescent="0.2">
      <c r="I189" s="145"/>
      <c r="J189" s="172" t="str">
        <f t="shared" si="0"/>
        <v/>
      </c>
      <c r="K189" s="171">
        <f>IF(A189=1,1,+K188+G188)</f>
        <v>180</v>
      </c>
    </row>
    <row r="190" spans="1:11" x14ac:dyDescent="0.2">
      <c r="J190" s="172" t="str">
        <f t="shared" si="0"/>
        <v/>
      </c>
      <c r="K190" s="171">
        <f t="shared" si="1"/>
        <v>180</v>
      </c>
    </row>
    <row r="191" spans="1:11" x14ac:dyDescent="0.2">
      <c r="A191" s="109">
        <v>19</v>
      </c>
      <c r="B191" s="121" t="s">
        <v>823</v>
      </c>
      <c r="F191" s="317" t="s">
        <v>772</v>
      </c>
      <c r="G191" s="110">
        <v>22</v>
      </c>
      <c r="I191" s="145" t="s">
        <v>824</v>
      </c>
      <c r="J191" s="172">
        <f t="shared" si="0"/>
        <v>180</v>
      </c>
      <c r="K191" s="171">
        <f t="shared" si="1"/>
        <v>180</v>
      </c>
    </row>
    <row r="192" spans="1:11" x14ac:dyDescent="0.2">
      <c r="I192" s="145" t="s">
        <v>825</v>
      </c>
      <c r="J192" s="172" t="str">
        <f t="shared" si="0"/>
        <v/>
      </c>
      <c r="K192" s="171">
        <f t="shared" si="1"/>
        <v>202</v>
      </c>
    </row>
    <row r="193" spans="1:11" x14ac:dyDescent="0.2">
      <c r="I193" s="145"/>
      <c r="J193" s="172" t="str">
        <f t="shared" si="0"/>
        <v/>
      </c>
      <c r="K193" s="171">
        <f t="shared" si="1"/>
        <v>202</v>
      </c>
    </row>
    <row r="194" spans="1:11" x14ac:dyDescent="0.2">
      <c r="A194" s="109">
        <v>20</v>
      </c>
      <c r="B194" s="121" t="s">
        <v>826</v>
      </c>
      <c r="F194" s="317" t="s">
        <v>701</v>
      </c>
      <c r="G194" s="110">
        <v>11</v>
      </c>
      <c r="I194" s="145" t="s">
        <v>827</v>
      </c>
      <c r="J194" s="172">
        <f t="shared" si="0"/>
        <v>202</v>
      </c>
      <c r="K194" s="171">
        <f t="shared" si="1"/>
        <v>202</v>
      </c>
    </row>
    <row r="195" spans="1:11" x14ac:dyDescent="0.2">
      <c r="B195" s="121"/>
      <c r="I195" s="145"/>
      <c r="J195" s="172" t="str">
        <f t="shared" ref="J195:J258" si="2">IF(A195=1, 4,IF(G195="", "",+K195))</f>
        <v/>
      </c>
      <c r="K195" s="171">
        <f t="shared" ref="K195:K258" si="3">IF(A195=1,1,+K194+G194)</f>
        <v>213</v>
      </c>
    </row>
    <row r="196" spans="1:11" x14ac:dyDescent="0.2">
      <c r="A196" s="109">
        <v>21</v>
      </c>
      <c r="B196" s="121" t="s">
        <v>828</v>
      </c>
      <c r="F196" s="317" t="s">
        <v>772</v>
      </c>
      <c r="G196" s="110">
        <v>30</v>
      </c>
      <c r="I196" s="145" t="s">
        <v>829</v>
      </c>
      <c r="J196" s="172">
        <f t="shared" si="2"/>
        <v>213</v>
      </c>
      <c r="K196" s="171">
        <f t="shared" si="3"/>
        <v>213</v>
      </c>
    </row>
    <row r="197" spans="1:11" x14ac:dyDescent="0.2">
      <c r="I197" s="111" t="s">
        <v>790</v>
      </c>
      <c r="J197" s="172" t="str">
        <f t="shared" si="2"/>
        <v/>
      </c>
      <c r="K197" s="171">
        <f t="shared" si="3"/>
        <v>243</v>
      </c>
    </row>
    <row r="198" spans="1:11" x14ac:dyDescent="0.2">
      <c r="B198" s="121"/>
      <c r="I198" s="145"/>
      <c r="J198" s="172" t="str">
        <f t="shared" si="2"/>
        <v/>
      </c>
      <c r="K198" s="171">
        <f t="shared" si="3"/>
        <v>243</v>
      </c>
    </row>
    <row r="199" spans="1:11" x14ac:dyDescent="0.2">
      <c r="A199" s="109">
        <v>22</v>
      </c>
      <c r="B199" s="121" t="s">
        <v>830</v>
      </c>
      <c r="F199" s="317" t="s">
        <v>701</v>
      </c>
      <c r="G199" s="110">
        <v>11</v>
      </c>
      <c r="I199" s="145" t="s">
        <v>831</v>
      </c>
      <c r="J199" s="172">
        <f t="shared" si="2"/>
        <v>243</v>
      </c>
      <c r="K199" s="171">
        <f t="shared" si="3"/>
        <v>243</v>
      </c>
    </row>
    <row r="200" spans="1:11" x14ac:dyDescent="0.2">
      <c r="B200" s="121"/>
      <c r="I200" s="145"/>
      <c r="J200" s="172" t="str">
        <f t="shared" si="2"/>
        <v/>
      </c>
      <c r="K200" s="171">
        <f t="shared" si="3"/>
        <v>254</v>
      </c>
    </row>
    <row r="201" spans="1:11" x14ac:dyDescent="0.2">
      <c r="B201" s="173" t="s">
        <v>832</v>
      </c>
      <c r="J201" s="172" t="str">
        <f t="shared" si="2"/>
        <v/>
      </c>
      <c r="K201" s="171">
        <f t="shared" si="3"/>
        <v>254</v>
      </c>
    </row>
    <row r="202" spans="1:11" x14ac:dyDescent="0.2">
      <c r="J202" s="172" t="str">
        <f t="shared" si="2"/>
        <v/>
      </c>
      <c r="K202" s="171">
        <f t="shared" si="3"/>
        <v>254</v>
      </c>
    </row>
    <row r="203" spans="1:11" x14ac:dyDescent="0.2">
      <c r="A203" s="109">
        <v>23</v>
      </c>
      <c r="B203" s="121" t="s">
        <v>833</v>
      </c>
      <c r="F203" s="317" t="s">
        <v>772</v>
      </c>
      <c r="G203" s="110">
        <v>26</v>
      </c>
      <c r="I203" s="145" t="s">
        <v>834</v>
      </c>
      <c r="J203" s="172">
        <f t="shared" si="2"/>
        <v>254</v>
      </c>
      <c r="K203" s="171">
        <f t="shared" si="3"/>
        <v>254</v>
      </c>
    </row>
    <row r="204" spans="1:11" x14ac:dyDescent="0.2">
      <c r="I204" s="145" t="s">
        <v>789</v>
      </c>
      <c r="J204" s="172" t="str">
        <f t="shared" si="2"/>
        <v/>
      </c>
      <c r="K204" s="171">
        <f t="shared" si="3"/>
        <v>280</v>
      </c>
    </row>
    <row r="205" spans="1:11" x14ac:dyDescent="0.2">
      <c r="I205" s="111" t="s">
        <v>790</v>
      </c>
      <c r="J205" s="172" t="str">
        <f t="shared" si="2"/>
        <v/>
      </c>
      <c r="K205" s="171">
        <f t="shared" si="3"/>
        <v>280</v>
      </c>
    </row>
    <row r="206" spans="1:11" x14ac:dyDescent="0.2">
      <c r="J206" s="172" t="str">
        <f t="shared" si="2"/>
        <v/>
      </c>
      <c r="K206" s="171">
        <f t="shared" si="3"/>
        <v>280</v>
      </c>
    </row>
    <row r="207" spans="1:11" x14ac:dyDescent="0.2">
      <c r="A207" s="109">
        <v>24</v>
      </c>
      <c r="B207" s="121" t="s">
        <v>835</v>
      </c>
      <c r="F207" s="317" t="s">
        <v>772</v>
      </c>
      <c r="G207" s="110">
        <v>26</v>
      </c>
      <c r="I207" s="145" t="s">
        <v>836</v>
      </c>
      <c r="J207" s="172">
        <f t="shared" si="2"/>
        <v>280</v>
      </c>
      <c r="K207" s="171">
        <f t="shared" si="3"/>
        <v>280</v>
      </c>
    </row>
    <row r="208" spans="1:11" x14ac:dyDescent="0.2">
      <c r="B208" s="121"/>
      <c r="I208" s="145" t="s">
        <v>837</v>
      </c>
      <c r="J208" s="172" t="str">
        <f t="shared" si="2"/>
        <v/>
      </c>
      <c r="K208" s="171">
        <f t="shared" si="3"/>
        <v>306</v>
      </c>
    </row>
    <row r="209" spans="1:11" x14ac:dyDescent="0.2">
      <c r="B209" s="121"/>
      <c r="I209" s="145"/>
      <c r="J209" s="172" t="str">
        <f t="shared" si="2"/>
        <v/>
      </c>
      <c r="K209" s="171">
        <f t="shared" si="3"/>
        <v>306</v>
      </c>
    </row>
    <row r="210" spans="1:11" ht="30" x14ac:dyDescent="0.2">
      <c r="A210" s="109">
        <v>25</v>
      </c>
      <c r="B210" s="109" t="s">
        <v>838</v>
      </c>
      <c r="F210" s="317" t="s">
        <v>701</v>
      </c>
      <c r="G210" s="110">
        <v>2</v>
      </c>
      <c r="I210" s="145" t="s">
        <v>839</v>
      </c>
      <c r="J210" s="172">
        <f t="shared" si="2"/>
        <v>306</v>
      </c>
      <c r="K210" s="171">
        <f t="shared" si="3"/>
        <v>306</v>
      </c>
    </row>
    <row r="211" spans="1:11" x14ac:dyDescent="0.2">
      <c r="I211" s="145"/>
      <c r="J211" s="172" t="str">
        <f t="shared" si="2"/>
        <v/>
      </c>
      <c r="K211" s="171">
        <f t="shared" si="3"/>
        <v>308</v>
      </c>
    </row>
    <row r="212" spans="1:11" x14ac:dyDescent="0.2">
      <c r="B212" s="173" t="s">
        <v>840</v>
      </c>
      <c r="J212" s="172" t="str">
        <f t="shared" si="2"/>
        <v/>
      </c>
      <c r="K212" s="171">
        <f t="shared" si="3"/>
        <v>308</v>
      </c>
    </row>
    <row r="213" spans="1:11" x14ac:dyDescent="0.2">
      <c r="A213" s="157"/>
      <c r="J213" s="172" t="str">
        <f t="shared" si="2"/>
        <v/>
      </c>
      <c r="K213" s="171">
        <f t="shared" si="3"/>
        <v>308</v>
      </c>
    </row>
    <row r="214" spans="1:11" x14ac:dyDescent="0.2">
      <c r="A214" s="109">
        <v>26</v>
      </c>
      <c r="B214" s="121" t="s">
        <v>841</v>
      </c>
      <c r="F214" s="317" t="s">
        <v>772</v>
      </c>
      <c r="G214" s="110">
        <v>3</v>
      </c>
      <c r="I214" s="145" t="s">
        <v>842</v>
      </c>
      <c r="J214" s="172">
        <f t="shared" si="2"/>
        <v>308</v>
      </c>
      <c r="K214" s="171">
        <f t="shared" si="3"/>
        <v>308</v>
      </c>
    </row>
    <row r="215" spans="1:11" x14ac:dyDescent="0.2">
      <c r="B215" s="121"/>
      <c r="I215" s="145" t="s">
        <v>843</v>
      </c>
      <c r="J215" s="172" t="str">
        <f t="shared" si="2"/>
        <v/>
      </c>
      <c r="K215" s="171">
        <f t="shared" si="3"/>
        <v>311</v>
      </c>
    </row>
    <row r="216" spans="1:11" x14ac:dyDescent="0.2">
      <c r="B216" s="121"/>
      <c r="I216" s="145"/>
      <c r="J216" s="172" t="str">
        <f t="shared" si="2"/>
        <v/>
      </c>
      <c r="K216" s="171">
        <f t="shared" si="3"/>
        <v>311</v>
      </c>
    </row>
    <row r="217" spans="1:11" x14ac:dyDescent="0.2">
      <c r="A217" s="313">
        <v>27</v>
      </c>
      <c r="B217" s="312" t="s">
        <v>844</v>
      </c>
      <c r="C217" s="313"/>
      <c r="D217" s="328"/>
      <c r="E217" s="314"/>
      <c r="F217" s="328" t="s">
        <v>701</v>
      </c>
      <c r="G217" s="314">
        <v>9</v>
      </c>
      <c r="H217" s="313"/>
      <c r="I217" s="315" t="s">
        <v>845</v>
      </c>
      <c r="J217" s="172">
        <f t="shared" si="2"/>
        <v>311</v>
      </c>
      <c r="K217" s="171">
        <f t="shared" si="3"/>
        <v>311</v>
      </c>
    </row>
    <row r="218" spans="1:11" x14ac:dyDescent="0.2">
      <c r="A218" s="313"/>
      <c r="B218" s="312"/>
      <c r="C218" s="313"/>
      <c r="D218" s="328"/>
      <c r="E218" s="314"/>
      <c r="F218" s="328"/>
      <c r="G218" s="314"/>
      <c r="H218" s="313"/>
      <c r="I218" s="315" t="s">
        <v>846</v>
      </c>
      <c r="J218" s="172" t="str">
        <f t="shared" si="2"/>
        <v/>
      </c>
      <c r="K218" s="171">
        <f t="shared" si="3"/>
        <v>320</v>
      </c>
    </row>
    <row r="219" spans="1:11" x14ac:dyDescent="0.2">
      <c r="B219" s="121"/>
      <c r="I219" s="145"/>
      <c r="J219" s="172" t="str">
        <f t="shared" si="2"/>
        <v/>
      </c>
      <c r="K219" s="171">
        <f t="shared" si="3"/>
        <v>320</v>
      </c>
    </row>
    <row r="220" spans="1:11" x14ac:dyDescent="0.2">
      <c r="A220" s="109">
        <v>28</v>
      </c>
      <c r="B220" s="121" t="s">
        <v>847</v>
      </c>
      <c r="F220" s="317" t="s">
        <v>701</v>
      </c>
      <c r="G220" s="110">
        <v>2</v>
      </c>
      <c r="I220" s="145" t="s">
        <v>848</v>
      </c>
      <c r="J220" s="172">
        <f t="shared" si="2"/>
        <v>320</v>
      </c>
      <c r="K220" s="171">
        <f t="shared" si="3"/>
        <v>320</v>
      </c>
    </row>
    <row r="221" spans="1:11" x14ac:dyDescent="0.2">
      <c r="B221" s="121"/>
      <c r="I221" s="145"/>
      <c r="J221" s="172" t="str">
        <f t="shared" si="2"/>
        <v/>
      </c>
      <c r="K221" s="171">
        <f t="shared" si="3"/>
        <v>322</v>
      </c>
    </row>
    <row r="222" spans="1:11" x14ac:dyDescent="0.2">
      <c r="A222" s="109">
        <v>29</v>
      </c>
      <c r="B222" s="121" t="s">
        <v>849</v>
      </c>
      <c r="F222" s="317" t="s">
        <v>772</v>
      </c>
      <c r="G222" s="110">
        <v>15</v>
      </c>
      <c r="I222" s="145" t="s">
        <v>850</v>
      </c>
      <c r="J222" s="172">
        <f t="shared" si="2"/>
        <v>322</v>
      </c>
      <c r="K222" s="171">
        <f t="shared" si="3"/>
        <v>322</v>
      </c>
    </row>
    <row r="223" spans="1:11" x14ac:dyDescent="0.2">
      <c r="B223" s="121"/>
      <c r="I223" s="145" t="s">
        <v>851</v>
      </c>
      <c r="J223" s="172" t="str">
        <f t="shared" si="2"/>
        <v/>
      </c>
      <c r="K223" s="171">
        <f t="shared" si="3"/>
        <v>337</v>
      </c>
    </row>
    <row r="224" spans="1:11" s="108" customFormat="1" x14ac:dyDescent="0.2">
      <c r="D224" s="319"/>
      <c r="E224" s="116"/>
      <c r="F224" s="319"/>
      <c r="G224" s="116"/>
      <c r="I224" s="136"/>
      <c r="J224" s="172" t="str">
        <f t="shared" si="2"/>
        <v/>
      </c>
      <c r="K224" s="171">
        <f t="shared" si="3"/>
        <v>337</v>
      </c>
    </row>
    <row r="225" spans="1:13" x14ac:dyDescent="0.2">
      <c r="A225" s="109">
        <v>30</v>
      </c>
      <c r="B225" s="109" t="s">
        <v>783</v>
      </c>
      <c r="F225" s="317" t="s">
        <v>772</v>
      </c>
      <c r="G225" s="110">
        <v>4</v>
      </c>
      <c r="I225" s="111" t="s">
        <v>783</v>
      </c>
      <c r="J225" s="172">
        <f t="shared" si="2"/>
        <v>337</v>
      </c>
      <c r="K225" s="171">
        <f t="shared" si="3"/>
        <v>337</v>
      </c>
    </row>
    <row r="226" spans="1:13" x14ac:dyDescent="0.2">
      <c r="J226" s="172" t="str">
        <f t="shared" si="2"/>
        <v/>
      </c>
      <c r="K226" s="171">
        <f t="shared" si="3"/>
        <v>341</v>
      </c>
    </row>
    <row r="227" spans="1:13" x14ac:dyDescent="0.2">
      <c r="A227" s="109">
        <v>31</v>
      </c>
      <c r="B227" s="313" t="s">
        <v>852</v>
      </c>
      <c r="F227" s="317" t="s">
        <v>701</v>
      </c>
      <c r="G227" s="110">
        <v>16</v>
      </c>
      <c r="I227" s="315" t="s">
        <v>853</v>
      </c>
      <c r="J227" s="172">
        <f t="shared" si="2"/>
        <v>341</v>
      </c>
      <c r="K227" s="171">
        <f t="shared" si="3"/>
        <v>341</v>
      </c>
      <c r="M227" s="109" t="s">
        <v>1</v>
      </c>
    </row>
    <row r="228" spans="1:13" x14ac:dyDescent="0.2">
      <c r="I228" s="145"/>
      <c r="J228" s="172" t="str">
        <f t="shared" si="2"/>
        <v/>
      </c>
      <c r="K228" s="171">
        <f t="shared" si="3"/>
        <v>357</v>
      </c>
    </row>
    <row r="229" spans="1:13" ht="30" x14ac:dyDescent="0.2">
      <c r="A229" s="109">
        <v>32</v>
      </c>
      <c r="B229" s="109" t="s">
        <v>854</v>
      </c>
      <c r="F229" s="317" t="s">
        <v>772</v>
      </c>
      <c r="G229" s="110">
        <v>1</v>
      </c>
      <c r="I229" s="145" t="s">
        <v>855</v>
      </c>
      <c r="J229" s="172">
        <f t="shared" si="2"/>
        <v>357</v>
      </c>
      <c r="K229" s="171">
        <f t="shared" si="3"/>
        <v>357</v>
      </c>
    </row>
    <row r="230" spans="1:13" x14ac:dyDescent="0.2">
      <c r="I230" s="145" t="s">
        <v>856</v>
      </c>
      <c r="J230" s="172" t="str">
        <f t="shared" si="2"/>
        <v/>
      </c>
      <c r="K230" s="171">
        <f t="shared" si="3"/>
        <v>358</v>
      </c>
    </row>
    <row r="231" spans="1:13" x14ac:dyDescent="0.2">
      <c r="I231" s="145" t="s">
        <v>857</v>
      </c>
      <c r="J231" s="172" t="str">
        <f t="shared" si="2"/>
        <v/>
      </c>
      <c r="K231" s="171">
        <f t="shared" si="3"/>
        <v>358</v>
      </c>
    </row>
    <row r="232" spans="1:13" x14ac:dyDescent="0.2">
      <c r="I232" s="145"/>
      <c r="J232" s="172" t="str">
        <f t="shared" si="2"/>
        <v/>
      </c>
      <c r="K232" s="171">
        <f t="shared" si="3"/>
        <v>358</v>
      </c>
    </row>
    <row r="233" spans="1:13" x14ac:dyDescent="0.2">
      <c r="A233" s="313">
        <v>33</v>
      </c>
      <c r="B233" s="313" t="s">
        <v>858</v>
      </c>
      <c r="C233" s="313"/>
      <c r="D233" s="328"/>
      <c r="E233" s="314"/>
      <c r="F233" s="328" t="s">
        <v>772</v>
      </c>
      <c r="G233" s="314">
        <v>1</v>
      </c>
      <c r="H233" s="313"/>
      <c r="I233" s="315" t="s">
        <v>859</v>
      </c>
      <c r="J233" s="172">
        <f t="shared" si="2"/>
        <v>358</v>
      </c>
      <c r="K233" s="171">
        <f t="shared" si="3"/>
        <v>358</v>
      </c>
    </row>
    <row r="234" spans="1:13" x14ac:dyDescent="0.2">
      <c r="A234" s="313"/>
      <c r="B234" s="313"/>
      <c r="C234" s="313"/>
      <c r="D234" s="328"/>
      <c r="E234" s="314"/>
      <c r="F234" s="328"/>
      <c r="G234" s="314"/>
      <c r="H234" s="313"/>
      <c r="I234" s="315" t="s">
        <v>860</v>
      </c>
      <c r="J234" s="172" t="str">
        <f t="shared" si="2"/>
        <v/>
      </c>
      <c r="K234" s="171">
        <f t="shared" si="3"/>
        <v>359</v>
      </c>
    </row>
    <row r="235" spans="1:13" x14ac:dyDescent="0.2">
      <c r="A235" s="313"/>
      <c r="B235" s="313"/>
      <c r="C235" s="313"/>
      <c r="D235" s="328"/>
      <c r="E235" s="314"/>
      <c r="F235" s="328"/>
      <c r="G235" s="314"/>
      <c r="H235" s="313"/>
      <c r="I235" s="315" t="s">
        <v>861</v>
      </c>
      <c r="J235" s="172" t="str">
        <f t="shared" si="2"/>
        <v/>
      </c>
      <c r="K235" s="171">
        <f t="shared" si="3"/>
        <v>359</v>
      </c>
    </row>
    <row r="236" spans="1:13" x14ac:dyDescent="0.2">
      <c r="A236" s="313"/>
      <c r="B236" s="313"/>
      <c r="C236" s="313"/>
      <c r="D236" s="328"/>
      <c r="E236" s="314"/>
      <c r="F236" s="328"/>
      <c r="G236" s="314"/>
      <c r="H236" s="313"/>
      <c r="I236" s="315"/>
      <c r="J236" s="172" t="str">
        <f t="shared" si="2"/>
        <v/>
      </c>
      <c r="K236" s="171">
        <f t="shared" si="3"/>
        <v>359</v>
      </c>
    </row>
    <row r="237" spans="1:13" x14ac:dyDescent="0.2">
      <c r="A237" s="313">
        <v>34</v>
      </c>
      <c r="B237" s="313" t="s">
        <v>862</v>
      </c>
      <c r="C237" s="313"/>
      <c r="D237" s="328"/>
      <c r="E237" s="314"/>
      <c r="F237" s="328" t="s">
        <v>772</v>
      </c>
      <c r="G237" s="314">
        <v>17</v>
      </c>
      <c r="H237" s="313"/>
      <c r="I237" s="315" t="s">
        <v>863</v>
      </c>
      <c r="J237" s="172">
        <f t="shared" si="2"/>
        <v>359</v>
      </c>
      <c r="K237" s="171">
        <f t="shared" si="3"/>
        <v>359</v>
      </c>
    </row>
    <row r="238" spans="1:13" x14ac:dyDescent="0.2">
      <c r="A238" s="313"/>
      <c r="B238" s="313"/>
      <c r="C238" s="313"/>
      <c r="D238" s="328"/>
      <c r="E238" s="314"/>
      <c r="F238" s="328"/>
      <c r="G238" s="314"/>
      <c r="H238" s="313"/>
      <c r="I238" s="315"/>
      <c r="J238" s="172" t="str">
        <f t="shared" si="2"/>
        <v/>
      </c>
      <c r="K238" s="171">
        <f t="shared" si="3"/>
        <v>376</v>
      </c>
    </row>
    <row r="239" spans="1:13" x14ac:dyDescent="0.2">
      <c r="A239" s="109">
        <v>35</v>
      </c>
      <c r="B239" s="109" t="s">
        <v>864</v>
      </c>
      <c r="C239" s="109" t="s">
        <v>85</v>
      </c>
      <c r="F239" s="317" t="s">
        <v>772</v>
      </c>
      <c r="G239" s="110">
        <v>1</v>
      </c>
      <c r="I239" s="145" t="s">
        <v>865</v>
      </c>
      <c r="J239" s="172">
        <f t="shared" si="2"/>
        <v>376</v>
      </c>
      <c r="K239" s="171">
        <f t="shared" si="3"/>
        <v>376</v>
      </c>
    </row>
    <row r="240" spans="1:13" x14ac:dyDescent="0.2">
      <c r="I240" s="145" t="s">
        <v>860</v>
      </c>
      <c r="J240" s="172" t="str">
        <f t="shared" si="2"/>
        <v/>
      </c>
      <c r="K240" s="171">
        <f t="shared" si="3"/>
        <v>377</v>
      </c>
    </row>
    <row r="241" spans="1:13" x14ac:dyDescent="0.2">
      <c r="I241" s="145" t="s">
        <v>861</v>
      </c>
      <c r="J241" s="172" t="str">
        <f t="shared" si="2"/>
        <v/>
      </c>
      <c r="K241" s="171">
        <f t="shared" si="3"/>
        <v>377</v>
      </c>
    </row>
    <row r="242" spans="1:13" x14ac:dyDescent="0.2">
      <c r="I242" s="145"/>
      <c r="J242" s="172" t="str">
        <f t="shared" si="2"/>
        <v/>
      </c>
      <c r="K242" s="171">
        <f t="shared" si="3"/>
        <v>377</v>
      </c>
    </row>
    <row r="243" spans="1:13" x14ac:dyDescent="0.2">
      <c r="A243" s="109">
        <v>36</v>
      </c>
      <c r="B243" s="109" t="s">
        <v>866</v>
      </c>
      <c r="C243" s="109" t="s">
        <v>85</v>
      </c>
      <c r="F243" s="317" t="s">
        <v>772</v>
      </c>
      <c r="G243" s="110">
        <v>17</v>
      </c>
      <c r="I243" s="145" t="s">
        <v>867</v>
      </c>
      <c r="J243" s="172">
        <f t="shared" si="2"/>
        <v>377</v>
      </c>
      <c r="K243" s="171">
        <f t="shared" si="3"/>
        <v>377</v>
      </c>
    </row>
    <row r="244" spans="1:13" x14ac:dyDescent="0.2">
      <c r="I244" s="145"/>
      <c r="J244" s="172" t="str">
        <f t="shared" si="2"/>
        <v/>
      </c>
      <c r="K244" s="171">
        <f t="shared" si="3"/>
        <v>394</v>
      </c>
    </row>
    <row r="245" spans="1:13" x14ac:dyDescent="0.2">
      <c r="A245" s="109">
        <v>37</v>
      </c>
      <c r="B245" s="121" t="s">
        <v>868</v>
      </c>
      <c r="F245" s="317" t="s">
        <v>772</v>
      </c>
      <c r="G245" s="110">
        <v>3</v>
      </c>
      <c r="I245" s="145" t="s">
        <v>869</v>
      </c>
      <c r="J245" s="172">
        <f t="shared" si="2"/>
        <v>394</v>
      </c>
      <c r="K245" s="171">
        <f t="shared" si="3"/>
        <v>394</v>
      </c>
    </row>
    <row r="246" spans="1:13" ht="30" x14ac:dyDescent="0.2">
      <c r="B246" s="121"/>
      <c r="I246" s="145" t="s">
        <v>870</v>
      </c>
      <c r="J246" s="172" t="str">
        <f t="shared" si="2"/>
        <v/>
      </c>
      <c r="K246" s="171">
        <f t="shared" si="3"/>
        <v>397</v>
      </c>
    </row>
    <row r="247" spans="1:13" x14ac:dyDescent="0.2">
      <c r="B247" s="121"/>
      <c r="I247" s="145" t="s">
        <v>871</v>
      </c>
      <c r="J247" s="172" t="str">
        <f t="shared" si="2"/>
        <v/>
      </c>
      <c r="K247" s="171">
        <f t="shared" si="3"/>
        <v>397</v>
      </c>
    </row>
    <row r="248" spans="1:13" x14ac:dyDescent="0.2">
      <c r="A248" s="117" t="s">
        <v>1</v>
      </c>
      <c r="B248" s="117"/>
      <c r="C248" s="117"/>
      <c r="D248" s="321"/>
      <c r="E248" s="118"/>
      <c r="F248" s="321"/>
      <c r="G248" s="118"/>
      <c r="H248" s="117"/>
      <c r="I248" s="144"/>
      <c r="J248" s="172" t="str">
        <f t="shared" si="2"/>
        <v/>
      </c>
      <c r="K248" s="171">
        <f t="shared" si="3"/>
        <v>397</v>
      </c>
    </row>
    <row r="249" spans="1:13" x14ac:dyDescent="0.2">
      <c r="A249" s="109">
        <v>38</v>
      </c>
      <c r="B249" s="121" t="s">
        <v>91</v>
      </c>
      <c r="F249" s="317" t="s">
        <v>772</v>
      </c>
      <c r="G249" s="110">
        <v>12</v>
      </c>
      <c r="I249" s="145" t="s">
        <v>783</v>
      </c>
      <c r="J249" s="172">
        <f t="shared" si="2"/>
        <v>397</v>
      </c>
      <c r="K249" s="171">
        <f t="shared" si="3"/>
        <v>397</v>
      </c>
    </row>
    <row r="250" spans="1:13" x14ac:dyDescent="0.2">
      <c r="B250" s="121"/>
      <c r="I250" s="158"/>
      <c r="J250" s="172" t="str">
        <f t="shared" si="2"/>
        <v/>
      </c>
      <c r="K250" s="171">
        <f t="shared" si="3"/>
        <v>409</v>
      </c>
    </row>
    <row r="251" spans="1:13" x14ac:dyDescent="0.2">
      <c r="B251" s="121"/>
      <c r="I251" s="145"/>
      <c r="J251" s="172" t="str">
        <f t="shared" si="2"/>
        <v/>
      </c>
      <c r="K251" s="171">
        <f t="shared" si="3"/>
        <v>409</v>
      </c>
    </row>
    <row r="252" spans="1:13" x14ac:dyDescent="0.2">
      <c r="B252" s="121"/>
      <c r="I252" s="145"/>
      <c r="J252" s="172" t="str">
        <f t="shared" si="2"/>
        <v/>
      </c>
      <c r="K252" s="171">
        <f t="shared" si="3"/>
        <v>409</v>
      </c>
    </row>
    <row r="253" spans="1:13" ht="30" x14ac:dyDescent="0.2">
      <c r="A253" s="109">
        <v>39</v>
      </c>
      <c r="B253" s="109" t="s">
        <v>872</v>
      </c>
      <c r="F253" s="317" t="s">
        <v>772</v>
      </c>
      <c r="G253" s="110">
        <v>1</v>
      </c>
      <c r="I253" s="145" t="s">
        <v>873</v>
      </c>
      <c r="J253" s="172">
        <f t="shared" si="2"/>
        <v>409</v>
      </c>
      <c r="K253" s="171">
        <f t="shared" si="3"/>
        <v>409</v>
      </c>
      <c r="M253" s="109" t="s">
        <v>1</v>
      </c>
    </row>
    <row r="254" spans="1:13" x14ac:dyDescent="0.2">
      <c r="I254" s="145" t="s">
        <v>874</v>
      </c>
      <c r="J254" s="172" t="str">
        <f t="shared" si="2"/>
        <v/>
      </c>
      <c r="K254" s="171">
        <f t="shared" si="3"/>
        <v>410</v>
      </c>
    </row>
    <row r="255" spans="1:13" x14ac:dyDescent="0.2">
      <c r="I255" s="145" t="s">
        <v>875</v>
      </c>
      <c r="J255" s="172" t="str">
        <f t="shared" si="2"/>
        <v/>
      </c>
      <c r="K255" s="171">
        <f t="shared" si="3"/>
        <v>410</v>
      </c>
    </row>
    <row r="256" spans="1:13" x14ac:dyDescent="0.2">
      <c r="I256" s="145" t="s">
        <v>876</v>
      </c>
      <c r="J256" s="172" t="str">
        <f t="shared" si="2"/>
        <v/>
      </c>
      <c r="K256" s="171">
        <f t="shared" si="3"/>
        <v>410</v>
      </c>
    </row>
    <row r="257" spans="1:11" x14ac:dyDescent="0.2">
      <c r="I257" s="145" t="s">
        <v>877</v>
      </c>
      <c r="J257" s="172" t="str">
        <f t="shared" si="2"/>
        <v/>
      </c>
      <c r="K257" s="171">
        <f t="shared" si="3"/>
        <v>410</v>
      </c>
    </row>
    <row r="258" spans="1:11" ht="30" x14ac:dyDescent="0.2">
      <c r="I258" s="145" t="s">
        <v>878</v>
      </c>
      <c r="J258" s="172" t="str">
        <f t="shared" si="2"/>
        <v/>
      </c>
      <c r="K258" s="171">
        <f t="shared" si="3"/>
        <v>410</v>
      </c>
    </row>
    <row r="259" spans="1:11" x14ac:dyDescent="0.2">
      <c r="I259" s="145"/>
      <c r="J259" s="172" t="str">
        <f t="shared" ref="J259:J322" si="4">IF(A259=1, 4,IF(G259="", "",+K259))</f>
        <v/>
      </c>
      <c r="K259" s="171">
        <f t="shared" ref="K259:K322" si="5">IF(A259=1,1,+K258+G258)</f>
        <v>410</v>
      </c>
    </row>
    <row r="260" spans="1:11" x14ac:dyDescent="0.2">
      <c r="A260" s="109">
        <v>40</v>
      </c>
      <c r="B260" s="109" t="s">
        <v>879</v>
      </c>
      <c r="F260" s="317" t="s">
        <v>701</v>
      </c>
      <c r="G260" s="110">
        <v>1</v>
      </c>
      <c r="I260" s="145" t="s">
        <v>880</v>
      </c>
      <c r="J260" s="172">
        <f t="shared" si="4"/>
        <v>410</v>
      </c>
      <c r="K260" s="171">
        <f t="shared" si="5"/>
        <v>410</v>
      </c>
    </row>
    <row r="261" spans="1:11" x14ac:dyDescent="0.2">
      <c r="I261" s="145" t="s">
        <v>881</v>
      </c>
      <c r="J261" s="172" t="str">
        <f t="shared" si="4"/>
        <v/>
      </c>
      <c r="K261" s="171">
        <f t="shared" si="5"/>
        <v>411</v>
      </c>
    </row>
    <row r="262" spans="1:11" x14ac:dyDescent="0.2">
      <c r="I262" s="145" t="s">
        <v>882</v>
      </c>
      <c r="J262" s="172" t="str">
        <f t="shared" si="4"/>
        <v/>
      </c>
      <c r="K262" s="171">
        <f t="shared" si="5"/>
        <v>411</v>
      </c>
    </row>
    <row r="263" spans="1:11" x14ac:dyDescent="0.2">
      <c r="I263" s="145"/>
      <c r="J263" s="172" t="str">
        <f t="shared" si="4"/>
        <v/>
      </c>
      <c r="K263" s="171">
        <f t="shared" si="5"/>
        <v>411</v>
      </c>
    </row>
    <row r="264" spans="1:11" x14ac:dyDescent="0.2">
      <c r="A264" s="109">
        <v>41</v>
      </c>
      <c r="B264" s="109" t="s">
        <v>883</v>
      </c>
      <c r="F264" s="317" t="s">
        <v>701</v>
      </c>
      <c r="G264" s="110">
        <v>1</v>
      </c>
      <c r="I264" s="145" t="s">
        <v>884</v>
      </c>
      <c r="J264" s="172">
        <f t="shared" si="4"/>
        <v>411</v>
      </c>
      <c r="K264" s="171">
        <f t="shared" si="5"/>
        <v>411</v>
      </c>
    </row>
    <row r="265" spans="1:11" x14ac:dyDescent="0.2">
      <c r="I265" s="145" t="s">
        <v>881</v>
      </c>
      <c r="J265" s="172" t="str">
        <f t="shared" si="4"/>
        <v/>
      </c>
      <c r="K265" s="171">
        <f t="shared" si="5"/>
        <v>412</v>
      </c>
    </row>
    <row r="266" spans="1:11" x14ac:dyDescent="0.2">
      <c r="I266" s="145" t="s">
        <v>882</v>
      </c>
      <c r="J266" s="172" t="str">
        <f t="shared" si="4"/>
        <v/>
      </c>
      <c r="K266" s="171">
        <f t="shared" si="5"/>
        <v>412</v>
      </c>
    </row>
    <row r="267" spans="1:11" x14ac:dyDescent="0.2">
      <c r="I267" s="145"/>
      <c r="J267" s="172" t="str">
        <f t="shared" si="4"/>
        <v/>
      </c>
      <c r="K267" s="171">
        <f t="shared" si="5"/>
        <v>412</v>
      </c>
    </row>
    <row r="268" spans="1:11" x14ac:dyDescent="0.2">
      <c r="A268" s="109">
        <v>42</v>
      </c>
      <c r="B268" s="109" t="s">
        <v>885</v>
      </c>
      <c r="F268" s="317" t="s">
        <v>701</v>
      </c>
      <c r="G268" s="110">
        <v>1</v>
      </c>
      <c r="I268" s="145" t="s">
        <v>886</v>
      </c>
      <c r="J268" s="172">
        <f t="shared" si="4"/>
        <v>412</v>
      </c>
      <c r="K268" s="171">
        <f t="shared" si="5"/>
        <v>412</v>
      </c>
    </row>
    <row r="269" spans="1:11" x14ac:dyDescent="0.2">
      <c r="I269" s="145" t="s">
        <v>881</v>
      </c>
      <c r="J269" s="172" t="str">
        <f t="shared" si="4"/>
        <v/>
      </c>
      <c r="K269" s="171">
        <f t="shared" si="5"/>
        <v>413</v>
      </c>
    </row>
    <row r="270" spans="1:11" x14ac:dyDescent="0.2">
      <c r="I270" s="145" t="s">
        <v>882</v>
      </c>
      <c r="J270" s="172" t="str">
        <f t="shared" si="4"/>
        <v/>
      </c>
      <c r="K270" s="171">
        <f t="shared" si="5"/>
        <v>413</v>
      </c>
    </row>
    <row r="271" spans="1:11" x14ac:dyDescent="0.2">
      <c r="A271" s="117" t="s">
        <v>1</v>
      </c>
      <c r="B271" s="117"/>
      <c r="C271" s="117"/>
      <c r="D271" s="321"/>
      <c r="E271" s="118"/>
      <c r="F271" s="321"/>
      <c r="G271" s="118"/>
      <c r="H271" s="117"/>
      <c r="I271" s="144"/>
      <c r="J271" s="172" t="str">
        <f t="shared" si="4"/>
        <v/>
      </c>
      <c r="K271" s="171">
        <f t="shared" si="5"/>
        <v>413</v>
      </c>
    </row>
    <row r="272" spans="1:11" x14ac:dyDescent="0.2">
      <c r="A272" s="109">
        <v>43</v>
      </c>
      <c r="B272" s="109" t="s">
        <v>887</v>
      </c>
      <c r="F272" s="317" t="s">
        <v>701</v>
      </c>
      <c r="G272" s="110">
        <v>1</v>
      </c>
      <c r="I272" s="145" t="s">
        <v>888</v>
      </c>
      <c r="J272" s="172">
        <f t="shared" si="4"/>
        <v>413</v>
      </c>
      <c r="K272" s="171">
        <f t="shared" si="5"/>
        <v>413</v>
      </c>
    </row>
    <row r="273" spans="1:11" x14ac:dyDescent="0.2">
      <c r="I273" s="145" t="s">
        <v>881</v>
      </c>
      <c r="J273" s="172" t="str">
        <f t="shared" si="4"/>
        <v/>
      </c>
      <c r="K273" s="171">
        <f t="shared" si="5"/>
        <v>414</v>
      </c>
    </row>
    <row r="274" spans="1:11" x14ac:dyDescent="0.2">
      <c r="I274" s="145" t="s">
        <v>882</v>
      </c>
      <c r="J274" s="172" t="str">
        <f t="shared" si="4"/>
        <v/>
      </c>
      <c r="K274" s="171">
        <f t="shared" si="5"/>
        <v>414</v>
      </c>
    </row>
    <row r="275" spans="1:11" x14ac:dyDescent="0.2">
      <c r="I275" s="145"/>
      <c r="J275" s="172" t="str">
        <f t="shared" si="4"/>
        <v/>
      </c>
      <c r="K275" s="171">
        <f t="shared" si="5"/>
        <v>414</v>
      </c>
    </row>
    <row r="276" spans="1:11" x14ac:dyDescent="0.2">
      <c r="A276" s="109">
        <v>44</v>
      </c>
      <c r="B276" s="109" t="s">
        <v>889</v>
      </c>
      <c r="F276" s="317" t="s">
        <v>701</v>
      </c>
      <c r="G276" s="110">
        <v>1</v>
      </c>
      <c r="I276" s="145" t="s">
        <v>890</v>
      </c>
      <c r="J276" s="172">
        <f t="shared" si="4"/>
        <v>414</v>
      </c>
      <c r="K276" s="171">
        <f t="shared" si="5"/>
        <v>414</v>
      </c>
    </row>
    <row r="277" spans="1:11" x14ac:dyDescent="0.2">
      <c r="I277" s="145" t="s">
        <v>881</v>
      </c>
      <c r="J277" s="172" t="str">
        <f t="shared" si="4"/>
        <v/>
      </c>
      <c r="K277" s="171">
        <f t="shared" si="5"/>
        <v>415</v>
      </c>
    </row>
    <row r="278" spans="1:11" x14ac:dyDescent="0.2">
      <c r="I278" s="145" t="s">
        <v>882</v>
      </c>
      <c r="J278" s="172" t="str">
        <f t="shared" si="4"/>
        <v/>
      </c>
      <c r="K278" s="171">
        <f t="shared" si="5"/>
        <v>415</v>
      </c>
    </row>
    <row r="279" spans="1:11" x14ac:dyDescent="0.2">
      <c r="I279" s="145"/>
      <c r="J279" s="172" t="str">
        <f t="shared" si="4"/>
        <v/>
      </c>
      <c r="K279" s="171">
        <f t="shared" si="5"/>
        <v>415</v>
      </c>
    </row>
    <row r="280" spans="1:11" x14ac:dyDescent="0.2">
      <c r="A280" s="109">
        <v>45</v>
      </c>
      <c r="B280" s="109" t="s">
        <v>783</v>
      </c>
      <c r="F280" s="317" t="s">
        <v>772</v>
      </c>
      <c r="G280" s="110">
        <v>2</v>
      </c>
      <c r="I280" s="145" t="s">
        <v>783</v>
      </c>
      <c r="J280" s="172">
        <f t="shared" si="4"/>
        <v>415</v>
      </c>
      <c r="K280" s="171">
        <f t="shared" si="5"/>
        <v>415</v>
      </c>
    </row>
    <row r="281" spans="1:11" x14ac:dyDescent="0.2">
      <c r="A281" s="109">
        <v>46</v>
      </c>
      <c r="B281" s="121" t="s">
        <v>891</v>
      </c>
      <c r="F281" s="317" t="s">
        <v>772</v>
      </c>
      <c r="G281" s="110">
        <v>30</v>
      </c>
      <c r="I281" s="145" t="s">
        <v>892</v>
      </c>
      <c r="J281" s="172">
        <f t="shared" si="4"/>
        <v>417</v>
      </c>
      <c r="K281" s="171">
        <f t="shared" si="5"/>
        <v>417</v>
      </c>
    </row>
    <row r="282" spans="1:11" x14ac:dyDescent="0.2">
      <c r="B282" s="121"/>
      <c r="I282" s="145" t="s">
        <v>893</v>
      </c>
      <c r="J282" s="172" t="str">
        <f t="shared" si="4"/>
        <v/>
      </c>
      <c r="K282" s="171">
        <f t="shared" si="5"/>
        <v>447</v>
      </c>
    </row>
    <row r="283" spans="1:11" x14ac:dyDescent="0.2">
      <c r="I283" s="145" t="s">
        <v>894</v>
      </c>
      <c r="J283" s="172" t="str">
        <f t="shared" si="4"/>
        <v/>
      </c>
      <c r="K283" s="171">
        <f t="shared" si="5"/>
        <v>447</v>
      </c>
    </row>
    <row r="284" spans="1:11" x14ac:dyDescent="0.2">
      <c r="J284" s="172" t="str">
        <f t="shared" si="4"/>
        <v/>
      </c>
      <c r="K284" s="171">
        <f t="shared" si="5"/>
        <v>447</v>
      </c>
    </row>
    <row r="285" spans="1:11" x14ac:dyDescent="0.2">
      <c r="A285" s="109">
        <v>47</v>
      </c>
      <c r="B285" s="121" t="s">
        <v>895</v>
      </c>
      <c r="F285" s="317" t="s">
        <v>772</v>
      </c>
      <c r="G285" s="110">
        <v>30</v>
      </c>
      <c r="I285" s="145" t="s">
        <v>896</v>
      </c>
      <c r="J285" s="172">
        <f t="shared" si="4"/>
        <v>447</v>
      </c>
      <c r="K285" s="171">
        <f t="shared" si="5"/>
        <v>447</v>
      </c>
    </row>
    <row r="286" spans="1:11" x14ac:dyDescent="0.2">
      <c r="I286" s="145" t="s">
        <v>894</v>
      </c>
      <c r="J286" s="172" t="str">
        <f t="shared" si="4"/>
        <v/>
      </c>
      <c r="K286" s="171">
        <f t="shared" si="5"/>
        <v>477</v>
      </c>
    </row>
    <row r="287" spans="1:11" x14ac:dyDescent="0.2">
      <c r="I287" s="145"/>
      <c r="J287" s="172" t="str">
        <f t="shared" si="4"/>
        <v/>
      </c>
      <c r="K287" s="171">
        <f t="shared" si="5"/>
        <v>477</v>
      </c>
    </row>
    <row r="288" spans="1:11" x14ac:dyDescent="0.2">
      <c r="A288" s="109">
        <v>48</v>
      </c>
      <c r="B288" s="121" t="s">
        <v>897</v>
      </c>
      <c r="F288" s="317" t="s">
        <v>772</v>
      </c>
      <c r="G288" s="110">
        <v>9</v>
      </c>
      <c r="I288" s="145" t="s">
        <v>898</v>
      </c>
      <c r="J288" s="172">
        <f t="shared" si="4"/>
        <v>477</v>
      </c>
      <c r="K288" s="171">
        <f t="shared" si="5"/>
        <v>477</v>
      </c>
    </row>
    <row r="289" spans="1:11" x14ac:dyDescent="0.2">
      <c r="I289" s="145"/>
      <c r="J289" s="172" t="str">
        <f t="shared" si="4"/>
        <v/>
      </c>
      <c r="K289" s="171">
        <f t="shared" si="5"/>
        <v>486</v>
      </c>
    </row>
    <row r="290" spans="1:11" x14ac:dyDescent="0.2">
      <c r="I290" s="145"/>
      <c r="J290" s="172" t="str">
        <f t="shared" si="4"/>
        <v/>
      </c>
      <c r="K290" s="171">
        <f t="shared" si="5"/>
        <v>486</v>
      </c>
    </row>
    <row r="291" spans="1:11" x14ac:dyDescent="0.2">
      <c r="I291" s="145"/>
      <c r="J291" s="172" t="str">
        <f t="shared" si="4"/>
        <v/>
      </c>
      <c r="K291" s="171">
        <f t="shared" si="5"/>
        <v>486</v>
      </c>
    </row>
    <row r="292" spans="1:11" x14ac:dyDescent="0.2">
      <c r="I292" s="145" t="s">
        <v>899</v>
      </c>
      <c r="J292" s="172" t="str">
        <f t="shared" si="4"/>
        <v/>
      </c>
      <c r="K292" s="171">
        <f t="shared" si="5"/>
        <v>486</v>
      </c>
    </row>
    <row r="293" spans="1:11" x14ac:dyDescent="0.2">
      <c r="J293" s="172" t="str">
        <f t="shared" si="4"/>
        <v/>
      </c>
      <c r="K293" s="171">
        <f t="shared" si="5"/>
        <v>486</v>
      </c>
    </row>
    <row r="294" spans="1:11" x14ac:dyDescent="0.2">
      <c r="A294" s="109">
        <v>49</v>
      </c>
      <c r="B294" s="121" t="s">
        <v>823</v>
      </c>
      <c r="F294" s="317" t="s">
        <v>772</v>
      </c>
      <c r="G294" s="110">
        <v>22</v>
      </c>
      <c r="I294" s="145" t="s">
        <v>900</v>
      </c>
      <c r="J294" s="172">
        <f t="shared" si="4"/>
        <v>486</v>
      </c>
      <c r="K294" s="171">
        <f t="shared" si="5"/>
        <v>486</v>
      </c>
    </row>
    <row r="295" spans="1:11" x14ac:dyDescent="0.2">
      <c r="I295" s="145" t="s">
        <v>899</v>
      </c>
      <c r="J295" s="172" t="str">
        <f t="shared" si="4"/>
        <v/>
      </c>
      <c r="K295" s="171">
        <f t="shared" si="5"/>
        <v>508</v>
      </c>
    </row>
    <row r="296" spans="1:11" x14ac:dyDescent="0.2">
      <c r="I296" s="145"/>
      <c r="J296" s="172" t="str">
        <f t="shared" si="4"/>
        <v/>
      </c>
      <c r="K296" s="171">
        <f t="shared" si="5"/>
        <v>508</v>
      </c>
    </row>
    <row r="297" spans="1:11" x14ac:dyDescent="0.2">
      <c r="A297" s="109">
        <v>50</v>
      </c>
      <c r="B297" s="121" t="s">
        <v>782</v>
      </c>
      <c r="F297" s="317" t="s">
        <v>772</v>
      </c>
      <c r="G297" s="110">
        <v>30</v>
      </c>
      <c r="I297" s="145" t="s">
        <v>85</v>
      </c>
      <c r="J297" s="172">
        <f t="shared" si="4"/>
        <v>508</v>
      </c>
      <c r="K297" s="171">
        <f t="shared" si="5"/>
        <v>508</v>
      </c>
    </row>
    <row r="298" spans="1:11" x14ac:dyDescent="0.2">
      <c r="B298" s="121"/>
      <c r="I298" s="145"/>
      <c r="J298" s="172" t="str">
        <f t="shared" si="4"/>
        <v/>
      </c>
      <c r="K298" s="171">
        <f t="shared" si="5"/>
        <v>538</v>
      </c>
    </row>
    <row r="299" spans="1:11" ht="30" x14ac:dyDescent="0.2">
      <c r="A299" s="109">
        <v>51</v>
      </c>
      <c r="B299" s="121" t="s">
        <v>901</v>
      </c>
      <c r="F299" s="317" t="s">
        <v>772</v>
      </c>
      <c r="G299" s="110">
        <v>1</v>
      </c>
      <c r="I299" s="145" t="s">
        <v>902</v>
      </c>
      <c r="J299" s="172">
        <f t="shared" si="4"/>
        <v>538</v>
      </c>
      <c r="K299" s="171">
        <f t="shared" si="5"/>
        <v>538</v>
      </c>
    </row>
    <row r="300" spans="1:11" x14ac:dyDescent="0.2">
      <c r="I300" s="145" t="s">
        <v>903</v>
      </c>
      <c r="J300" s="172" t="str">
        <f t="shared" si="4"/>
        <v/>
      </c>
      <c r="K300" s="171">
        <f t="shared" si="5"/>
        <v>539</v>
      </c>
    </row>
    <row r="301" spans="1:11" x14ac:dyDescent="0.2">
      <c r="I301" s="145" t="s">
        <v>904</v>
      </c>
      <c r="J301" s="172" t="str">
        <f t="shared" si="4"/>
        <v/>
      </c>
      <c r="K301" s="171">
        <f t="shared" si="5"/>
        <v>539</v>
      </c>
    </row>
    <row r="302" spans="1:11" x14ac:dyDescent="0.2">
      <c r="B302" s="121"/>
      <c r="I302" s="145"/>
      <c r="J302" s="172" t="str">
        <f t="shared" si="4"/>
        <v/>
      </c>
      <c r="K302" s="171">
        <f t="shared" si="5"/>
        <v>539</v>
      </c>
    </row>
    <row r="303" spans="1:11" ht="30" x14ac:dyDescent="0.2">
      <c r="A303" s="109">
        <v>52</v>
      </c>
      <c r="B303" s="121" t="s">
        <v>905</v>
      </c>
      <c r="F303" s="317" t="s">
        <v>701</v>
      </c>
      <c r="G303" s="110">
        <v>16</v>
      </c>
      <c r="I303" s="145" t="s">
        <v>906</v>
      </c>
      <c r="J303" s="172">
        <f t="shared" si="4"/>
        <v>539</v>
      </c>
      <c r="K303" s="171">
        <f t="shared" si="5"/>
        <v>539</v>
      </c>
    </row>
    <row r="304" spans="1:11" ht="30" x14ac:dyDescent="0.2">
      <c r="A304" s="109">
        <v>53</v>
      </c>
      <c r="B304" s="121" t="s">
        <v>907</v>
      </c>
      <c r="F304" s="317" t="s">
        <v>701</v>
      </c>
      <c r="G304" s="110">
        <v>16</v>
      </c>
      <c r="I304" s="145" t="s">
        <v>906</v>
      </c>
      <c r="J304" s="172">
        <f t="shared" si="4"/>
        <v>555</v>
      </c>
      <c r="K304" s="171">
        <f>IF(A304=1,1,+K303+G303)</f>
        <v>555</v>
      </c>
    </row>
    <row r="305" spans="1:11" x14ac:dyDescent="0.2">
      <c r="A305" s="109">
        <v>54</v>
      </c>
      <c r="B305" s="121" t="s">
        <v>908</v>
      </c>
      <c r="F305" s="317" t="s">
        <v>701</v>
      </c>
      <c r="G305" s="110">
        <v>4</v>
      </c>
      <c r="I305" s="145" t="s">
        <v>909</v>
      </c>
      <c r="J305" s="172">
        <f t="shared" si="4"/>
        <v>571</v>
      </c>
      <c r="K305" s="171">
        <f>IF(A305=1,1,+K304+G304)</f>
        <v>571</v>
      </c>
    </row>
    <row r="306" spans="1:11" x14ac:dyDescent="0.2">
      <c r="A306" s="109">
        <v>55</v>
      </c>
      <c r="B306" s="121" t="s">
        <v>910</v>
      </c>
      <c r="F306" s="317" t="s">
        <v>701</v>
      </c>
      <c r="G306" s="110">
        <v>4</v>
      </c>
      <c r="I306" s="145" t="s">
        <v>909</v>
      </c>
      <c r="J306" s="172">
        <f t="shared" si="4"/>
        <v>575</v>
      </c>
      <c r="K306" s="171">
        <f>IF(A306=1,1,+K305+G305)</f>
        <v>575</v>
      </c>
    </row>
    <row r="307" spans="1:11" x14ac:dyDescent="0.2">
      <c r="A307" s="109">
        <v>53</v>
      </c>
      <c r="B307" s="121" t="s">
        <v>782</v>
      </c>
      <c r="F307" s="317" t="s">
        <v>772</v>
      </c>
      <c r="G307" s="110">
        <f>D125-J306-G306+1</f>
        <v>172</v>
      </c>
      <c r="I307" s="145" t="s">
        <v>783</v>
      </c>
      <c r="J307" s="172">
        <f t="shared" si="4"/>
        <v>579</v>
      </c>
      <c r="K307" s="171">
        <f>IF(A307=1,1,+K306+G306)</f>
        <v>579</v>
      </c>
    </row>
    <row r="308" spans="1:11" x14ac:dyDescent="0.2">
      <c r="B308" s="121"/>
      <c r="I308" s="145"/>
      <c r="J308" s="172" t="str">
        <f t="shared" si="4"/>
        <v/>
      </c>
      <c r="K308" s="171"/>
    </row>
    <row r="309" spans="1:11" ht="15.75" thickBot="1" x14ac:dyDescent="0.25">
      <c r="B309" s="121"/>
      <c r="I309" s="145"/>
      <c r="J309" s="172" t="str">
        <f t="shared" si="4"/>
        <v/>
      </c>
      <c r="K309" s="171"/>
    </row>
    <row r="310" spans="1:11" ht="16.5" thickTop="1" thickBot="1" x14ac:dyDescent="0.25">
      <c r="B310" s="159" t="s">
        <v>755</v>
      </c>
      <c r="C310" s="139"/>
      <c r="D310" s="323" t="s">
        <v>911</v>
      </c>
      <c r="E310" s="118"/>
      <c r="F310" s="321"/>
      <c r="G310" s="118"/>
      <c r="H310" s="117"/>
      <c r="I310" s="152"/>
      <c r="J310" s="172" t="str">
        <f t="shared" si="4"/>
        <v/>
      </c>
      <c r="K310" s="171"/>
    </row>
    <row r="311" spans="1:11" ht="15.75" thickTop="1" x14ac:dyDescent="0.2">
      <c r="B311" s="138"/>
      <c r="D311" s="321"/>
      <c r="E311" s="118"/>
      <c r="F311" s="321"/>
      <c r="G311" s="118"/>
      <c r="H311" s="117"/>
      <c r="J311" s="172" t="str">
        <f t="shared" si="4"/>
        <v/>
      </c>
      <c r="K311" s="171"/>
    </row>
    <row r="312" spans="1:11" x14ac:dyDescent="0.2">
      <c r="A312" s="160" t="s">
        <v>1</v>
      </c>
      <c r="B312" s="161" t="s">
        <v>912</v>
      </c>
      <c r="C312" s="162"/>
      <c r="D312" s="326" t="s">
        <v>671</v>
      </c>
      <c r="E312" s="160"/>
      <c r="F312" s="326"/>
      <c r="G312" s="160"/>
      <c r="H312" s="162"/>
      <c r="I312" s="163"/>
      <c r="J312" s="172" t="str">
        <f t="shared" si="4"/>
        <v/>
      </c>
      <c r="K312" s="174"/>
    </row>
    <row r="313" spans="1:11" x14ac:dyDescent="0.2">
      <c r="A313" s="162"/>
      <c r="B313" s="161" t="s">
        <v>757</v>
      </c>
      <c r="C313" s="119"/>
      <c r="D313" s="326">
        <f xml:space="preserve"> G8</f>
        <v>850</v>
      </c>
      <c r="E313" s="160" t="s">
        <v>758</v>
      </c>
      <c r="F313" s="326"/>
      <c r="G313" s="160"/>
      <c r="H313" s="162"/>
      <c r="I313" s="164"/>
      <c r="J313" s="172" t="str">
        <f t="shared" si="4"/>
        <v/>
      </c>
      <c r="K313" s="174"/>
    </row>
    <row r="314" spans="1:11" x14ac:dyDescent="0.2">
      <c r="A314" s="162"/>
      <c r="B314" s="162"/>
      <c r="C314" s="162"/>
      <c r="D314" s="326"/>
      <c r="E314" s="160"/>
      <c r="F314" s="326"/>
      <c r="G314" s="160"/>
      <c r="H314" s="162"/>
      <c r="I314" s="164"/>
      <c r="J314" s="172" t="str">
        <f t="shared" si="4"/>
        <v/>
      </c>
      <c r="K314" s="174"/>
    </row>
    <row r="315" spans="1:11" s="108" customFormat="1" x14ac:dyDescent="0.2">
      <c r="A315" s="165" t="s">
        <v>759</v>
      </c>
      <c r="B315" s="166" t="s">
        <v>712</v>
      </c>
      <c r="C315" s="167"/>
      <c r="D315" s="327" t="s">
        <v>713</v>
      </c>
      <c r="E315" s="168"/>
      <c r="F315" s="327" t="s">
        <v>760</v>
      </c>
      <c r="G315" s="156" t="s">
        <v>715</v>
      </c>
      <c r="H315" s="167"/>
      <c r="I315" s="169" t="s">
        <v>716</v>
      </c>
      <c r="J315" s="172">
        <f t="shared" si="4"/>
        <v>0</v>
      </c>
      <c r="K315" s="171"/>
    </row>
    <row r="316" spans="1:11" x14ac:dyDescent="0.2">
      <c r="A316" s="117" t="s">
        <v>1</v>
      </c>
      <c r="B316" s="117"/>
      <c r="C316" s="117"/>
      <c r="D316" s="321"/>
      <c r="E316" s="118"/>
      <c r="F316" s="321"/>
      <c r="G316" s="118"/>
      <c r="H316" s="117"/>
      <c r="I316" s="144"/>
      <c r="J316" s="172" t="str">
        <f t="shared" si="4"/>
        <v/>
      </c>
      <c r="K316" s="171"/>
    </row>
    <row r="317" spans="1:11" x14ac:dyDescent="0.2">
      <c r="A317" s="312" t="s">
        <v>1</v>
      </c>
      <c r="B317" s="312" t="s">
        <v>762</v>
      </c>
      <c r="C317" s="313"/>
      <c r="D317" s="328"/>
      <c r="E317" s="314"/>
      <c r="F317" s="328"/>
      <c r="G317" s="314"/>
      <c r="H317" s="313"/>
      <c r="I317" s="316"/>
      <c r="J317" s="172" t="str">
        <f t="shared" si="4"/>
        <v/>
      </c>
      <c r="K317" s="171"/>
    </row>
    <row r="318" spans="1:11" x14ac:dyDescent="0.2">
      <c r="A318" s="313">
        <v>1</v>
      </c>
      <c r="B318" s="312" t="s">
        <v>763</v>
      </c>
      <c r="C318" s="313"/>
      <c r="D318" s="328" t="s">
        <v>764</v>
      </c>
      <c r="E318" s="314"/>
      <c r="F318" s="328" t="s">
        <v>701</v>
      </c>
      <c r="G318" s="314">
        <v>4</v>
      </c>
      <c r="H318" s="313"/>
      <c r="I318" s="315" t="s">
        <v>765</v>
      </c>
      <c r="J318" s="172">
        <f t="shared" si="4"/>
        <v>4</v>
      </c>
      <c r="K318" s="171">
        <f t="shared" si="5"/>
        <v>1</v>
      </c>
    </row>
    <row r="319" spans="1:11" x14ac:dyDescent="0.2">
      <c r="J319" s="172" t="str">
        <f t="shared" si="4"/>
        <v/>
      </c>
      <c r="K319" s="171">
        <f t="shared" si="5"/>
        <v>5</v>
      </c>
    </row>
    <row r="320" spans="1:11" x14ac:dyDescent="0.2">
      <c r="A320" s="109">
        <v>2</v>
      </c>
      <c r="B320" s="121" t="s">
        <v>766</v>
      </c>
      <c r="D320" s="317" t="s">
        <v>767</v>
      </c>
      <c r="F320" s="317" t="s">
        <v>701</v>
      </c>
      <c r="G320" s="110">
        <v>1</v>
      </c>
      <c r="I320" s="145" t="s">
        <v>768</v>
      </c>
      <c r="J320" s="172">
        <f t="shared" si="4"/>
        <v>5</v>
      </c>
      <c r="K320" s="171">
        <f t="shared" si="5"/>
        <v>5</v>
      </c>
    </row>
    <row r="321" spans="1:11" x14ac:dyDescent="0.2">
      <c r="J321" s="172" t="str">
        <f t="shared" si="4"/>
        <v/>
      </c>
      <c r="K321" s="171">
        <f t="shared" si="5"/>
        <v>6</v>
      </c>
    </row>
    <row r="322" spans="1:11" x14ac:dyDescent="0.2">
      <c r="A322" s="109">
        <v>3</v>
      </c>
      <c r="B322" s="121" t="s">
        <v>769</v>
      </c>
      <c r="D322" s="317" t="s">
        <v>770</v>
      </c>
      <c r="F322" s="317" t="s">
        <v>701</v>
      </c>
      <c r="G322" s="110">
        <v>4</v>
      </c>
      <c r="I322" s="145" t="s">
        <v>768</v>
      </c>
      <c r="J322" s="172">
        <f t="shared" si="4"/>
        <v>6</v>
      </c>
      <c r="K322" s="171">
        <f t="shared" si="5"/>
        <v>6</v>
      </c>
    </row>
    <row r="323" spans="1:11" x14ac:dyDescent="0.2">
      <c r="J323" s="172" t="str">
        <f t="shared" ref="J323:J386" si="6">IF(A323=1, 4,IF(G323="", "",+K323))</f>
        <v/>
      </c>
      <c r="K323" s="171">
        <f t="shared" ref="K323:K386" si="7">IF(A323=1,1,+K322+G322)</f>
        <v>10</v>
      </c>
    </row>
    <row r="324" spans="1:11" x14ac:dyDescent="0.2">
      <c r="A324" s="109">
        <v>4</v>
      </c>
      <c r="B324" s="121" t="s">
        <v>771</v>
      </c>
      <c r="F324" s="317" t="s">
        <v>772</v>
      </c>
      <c r="G324" s="110">
        <v>1</v>
      </c>
      <c r="I324" s="145" t="s">
        <v>773</v>
      </c>
      <c r="J324" s="172">
        <f t="shared" si="6"/>
        <v>10</v>
      </c>
      <c r="K324" s="171">
        <f t="shared" si="7"/>
        <v>10</v>
      </c>
    </row>
    <row r="325" spans="1:11" x14ac:dyDescent="0.2">
      <c r="J325" s="172" t="str">
        <f t="shared" si="6"/>
        <v/>
      </c>
      <c r="K325" s="171">
        <f t="shared" si="7"/>
        <v>11</v>
      </c>
    </row>
    <row r="326" spans="1:11" x14ac:dyDescent="0.2">
      <c r="B326" s="173" t="s">
        <v>774</v>
      </c>
      <c r="J326" s="172" t="str">
        <f t="shared" si="6"/>
        <v/>
      </c>
      <c r="K326" s="171">
        <f t="shared" si="7"/>
        <v>11</v>
      </c>
    </row>
    <row r="327" spans="1:11" x14ac:dyDescent="0.2">
      <c r="J327" s="172" t="str">
        <f t="shared" si="6"/>
        <v/>
      </c>
      <c r="K327" s="171">
        <f t="shared" si="7"/>
        <v>11</v>
      </c>
    </row>
    <row r="328" spans="1:11" x14ac:dyDescent="0.2">
      <c r="A328" s="109">
        <v>5</v>
      </c>
      <c r="B328" s="109" t="s">
        <v>775</v>
      </c>
      <c r="F328" s="317" t="s">
        <v>701</v>
      </c>
      <c r="G328" s="110">
        <v>3</v>
      </c>
      <c r="I328" s="111" t="s">
        <v>776</v>
      </c>
      <c r="J328" s="172">
        <f t="shared" si="6"/>
        <v>11</v>
      </c>
      <c r="K328" s="171">
        <f t="shared" si="7"/>
        <v>11</v>
      </c>
    </row>
    <row r="329" spans="1:11" x14ac:dyDescent="0.2">
      <c r="I329" s="145" t="s">
        <v>777</v>
      </c>
      <c r="J329" s="172" t="str">
        <f t="shared" si="6"/>
        <v/>
      </c>
      <c r="K329" s="171">
        <f t="shared" si="7"/>
        <v>14</v>
      </c>
    </row>
    <row r="330" spans="1:11" x14ac:dyDescent="0.2">
      <c r="I330" s="145" t="s">
        <v>778</v>
      </c>
      <c r="J330" s="172" t="str">
        <f t="shared" si="6"/>
        <v/>
      </c>
      <c r="K330" s="171">
        <f t="shared" si="7"/>
        <v>14</v>
      </c>
    </row>
    <row r="331" spans="1:11" x14ac:dyDescent="0.2">
      <c r="I331" s="145"/>
      <c r="J331" s="172" t="str">
        <f t="shared" si="6"/>
        <v/>
      </c>
      <c r="K331" s="171">
        <f t="shared" si="7"/>
        <v>14</v>
      </c>
    </row>
    <row r="332" spans="1:11" x14ac:dyDescent="0.2">
      <c r="A332" s="109">
        <v>6</v>
      </c>
      <c r="B332" s="121" t="s">
        <v>779</v>
      </c>
      <c r="F332" s="317" t="s">
        <v>701</v>
      </c>
      <c r="G332" s="110">
        <v>8</v>
      </c>
      <c r="I332" s="145" t="s">
        <v>780</v>
      </c>
      <c r="J332" s="172">
        <f t="shared" si="6"/>
        <v>14</v>
      </c>
      <c r="K332" s="171">
        <f t="shared" si="7"/>
        <v>14</v>
      </c>
    </row>
    <row r="333" spans="1:11" x14ac:dyDescent="0.2">
      <c r="B333" s="121"/>
      <c r="I333" s="145" t="s">
        <v>781</v>
      </c>
      <c r="J333" s="172" t="str">
        <f t="shared" si="6"/>
        <v/>
      </c>
      <c r="K333" s="171">
        <f t="shared" si="7"/>
        <v>22</v>
      </c>
    </row>
    <row r="334" spans="1:11" ht="30" x14ac:dyDescent="0.2">
      <c r="B334" s="121"/>
      <c r="I334" s="145" t="s">
        <v>913</v>
      </c>
      <c r="J334" s="172" t="str">
        <f t="shared" si="6"/>
        <v/>
      </c>
      <c r="K334" s="171">
        <f t="shared" si="7"/>
        <v>22</v>
      </c>
    </row>
    <row r="335" spans="1:11" x14ac:dyDescent="0.2">
      <c r="B335" s="121"/>
      <c r="I335" s="145"/>
      <c r="J335" s="172" t="str">
        <f t="shared" si="6"/>
        <v/>
      </c>
      <c r="K335" s="171">
        <f t="shared" si="7"/>
        <v>22</v>
      </c>
    </row>
    <row r="336" spans="1:11" x14ac:dyDescent="0.2">
      <c r="A336" s="109">
        <v>7</v>
      </c>
      <c r="B336" s="121" t="s">
        <v>782</v>
      </c>
      <c r="F336" s="317" t="s">
        <v>701</v>
      </c>
      <c r="G336" s="110">
        <v>2</v>
      </c>
      <c r="I336" s="145" t="s">
        <v>783</v>
      </c>
      <c r="J336" s="172">
        <f t="shared" si="6"/>
        <v>22</v>
      </c>
      <c r="K336" s="171">
        <f t="shared" si="7"/>
        <v>22</v>
      </c>
    </row>
    <row r="337" spans="1:11" x14ac:dyDescent="0.2">
      <c r="B337" s="121"/>
      <c r="I337" s="145"/>
      <c r="J337" s="172" t="str">
        <f t="shared" si="6"/>
        <v/>
      </c>
      <c r="K337" s="171">
        <f t="shared" si="7"/>
        <v>24</v>
      </c>
    </row>
    <row r="338" spans="1:11" x14ac:dyDescent="0.2">
      <c r="B338" s="121"/>
      <c r="I338" s="145"/>
      <c r="J338" s="172" t="str">
        <f t="shared" si="6"/>
        <v/>
      </c>
      <c r="K338" s="171">
        <f t="shared" si="7"/>
        <v>24</v>
      </c>
    </row>
    <row r="339" spans="1:11" x14ac:dyDescent="0.2">
      <c r="A339" s="109">
        <v>8</v>
      </c>
      <c r="B339" s="121" t="s">
        <v>784</v>
      </c>
      <c r="F339" s="317" t="s">
        <v>701</v>
      </c>
      <c r="G339" s="110">
        <v>5</v>
      </c>
      <c r="I339" s="145" t="s">
        <v>785</v>
      </c>
      <c r="J339" s="172">
        <f t="shared" si="6"/>
        <v>24</v>
      </c>
      <c r="K339" s="171">
        <f t="shared" si="7"/>
        <v>24</v>
      </c>
    </row>
    <row r="340" spans="1:11" x14ac:dyDescent="0.2">
      <c r="J340" s="172" t="str">
        <f t="shared" si="6"/>
        <v/>
      </c>
      <c r="K340" s="171">
        <f t="shared" si="7"/>
        <v>29</v>
      </c>
    </row>
    <row r="341" spans="1:11" x14ac:dyDescent="0.2">
      <c r="A341" s="109">
        <v>9</v>
      </c>
      <c r="B341" s="121" t="s">
        <v>786</v>
      </c>
      <c r="F341" s="317" t="s">
        <v>772</v>
      </c>
      <c r="G341" s="110">
        <v>30</v>
      </c>
      <c r="I341" s="145" t="s">
        <v>787</v>
      </c>
      <c r="J341" s="172">
        <f t="shared" si="6"/>
        <v>29</v>
      </c>
      <c r="K341" s="171">
        <f t="shared" si="7"/>
        <v>29</v>
      </c>
    </row>
    <row r="342" spans="1:11" x14ac:dyDescent="0.2">
      <c r="B342" s="121"/>
      <c r="I342" s="145" t="s">
        <v>788</v>
      </c>
      <c r="J342" s="172" t="str">
        <f t="shared" si="6"/>
        <v/>
      </c>
      <c r="K342" s="171">
        <f t="shared" si="7"/>
        <v>59</v>
      </c>
    </row>
    <row r="343" spans="1:11" x14ac:dyDescent="0.2">
      <c r="I343" s="145" t="s">
        <v>789</v>
      </c>
      <c r="J343" s="172" t="str">
        <f t="shared" si="6"/>
        <v/>
      </c>
      <c r="K343" s="171">
        <f t="shared" si="7"/>
        <v>59</v>
      </c>
    </row>
    <row r="344" spans="1:11" x14ac:dyDescent="0.2">
      <c r="I344" s="111" t="s">
        <v>790</v>
      </c>
      <c r="J344" s="172" t="str">
        <f t="shared" si="6"/>
        <v/>
      </c>
      <c r="K344" s="171">
        <f t="shared" si="7"/>
        <v>59</v>
      </c>
    </row>
    <row r="345" spans="1:11" x14ac:dyDescent="0.2">
      <c r="J345" s="172" t="str">
        <f t="shared" si="6"/>
        <v/>
      </c>
      <c r="K345" s="171">
        <f t="shared" si="7"/>
        <v>59</v>
      </c>
    </row>
    <row r="346" spans="1:11" x14ac:dyDescent="0.2">
      <c r="A346" s="109">
        <v>10</v>
      </c>
      <c r="B346" s="109" t="s">
        <v>791</v>
      </c>
      <c r="D346" s="317" t="s">
        <v>792</v>
      </c>
      <c r="F346" s="317" t="s">
        <v>701</v>
      </c>
      <c r="G346" s="110">
        <v>8</v>
      </c>
      <c r="I346" s="111" t="s">
        <v>793</v>
      </c>
      <c r="J346" s="172">
        <f t="shared" si="6"/>
        <v>59</v>
      </c>
      <c r="K346" s="171">
        <f t="shared" si="7"/>
        <v>59</v>
      </c>
    </row>
    <row r="347" spans="1:11" x14ac:dyDescent="0.2">
      <c r="J347" s="172" t="str">
        <f t="shared" si="6"/>
        <v/>
      </c>
      <c r="K347" s="171">
        <f t="shared" si="7"/>
        <v>67</v>
      </c>
    </row>
    <row r="348" spans="1:11" x14ac:dyDescent="0.2">
      <c r="A348" s="109">
        <v>11</v>
      </c>
      <c r="B348" s="121" t="s">
        <v>794</v>
      </c>
      <c r="F348" s="317" t="s">
        <v>701</v>
      </c>
      <c r="G348" s="110">
        <v>3</v>
      </c>
      <c r="I348" s="145" t="s">
        <v>914</v>
      </c>
      <c r="J348" s="172">
        <f t="shared" si="6"/>
        <v>67</v>
      </c>
      <c r="K348" s="171">
        <f t="shared" si="7"/>
        <v>67</v>
      </c>
    </row>
    <row r="349" spans="1:11" s="108" customFormat="1" x14ac:dyDescent="0.2">
      <c r="A349" s="109"/>
      <c r="B349" s="109"/>
      <c r="C349" s="109"/>
      <c r="D349" s="317"/>
      <c r="E349" s="110"/>
      <c r="F349" s="317"/>
      <c r="G349" s="110"/>
      <c r="H349" s="109"/>
      <c r="I349" s="111"/>
      <c r="J349" s="172" t="str">
        <f t="shared" si="6"/>
        <v/>
      </c>
      <c r="K349" s="171">
        <f t="shared" si="7"/>
        <v>70</v>
      </c>
    </row>
    <row r="350" spans="1:11" x14ac:dyDescent="0.2">
      <c r="A350" s="109">
        <v>12</v>
      </c>
      <c r="B350" s="121" t="s">
        <v>796</v>
      </c>
      <c r="F350" s="317" t="s">
        <v>772</v>
      </c>
      <c r="G350" s="110">
        <v>4</v>
      </c>
      <c r="I350" s="145" t="s">
        <v>797</v>
      </c>
      <c r="J350" s="172">
        <f t="shared" si="6"/>
        <v>70</v>
      </c>
      <c r="K350" s="171">
        <f t="shared" si="7"/>
        <v>70</v>
      </c>
    </row>
    <row r="351" spans="1:11" x14ac:dyDescent="0.2">
      <c r="A351" s="108"/>
      <c r="B351" s="108"/>
      <c r="C351" s="108"/>
      <c r="D351" s="319"/>
      <c r="E351" s="116"/>
      <c r="F351" s="319"/>
      <c r="G351" s="116"/>
      <c r="H351" s="108"/>
      <c r="I351" s="136"/>
      <c r="J351" s="172" t="str">
        <f t="shared" si="6"/>
        <v/>
      </c>
      <c r="K351" s="171">
        <f t="shared" si="7"/>
        <v>74</v>
      </c>
    </row>
    <row r="352" spans="1:11" x14ac:dyDescent="0.2">
      <c r="A352" s="109">
        <v>13</v>
      </c>
      <c r="B352" s="109" t="s">
        <v>798</v>
      </c>
      <c r="F352" s="317" t="s">
        <v>772</v>
      </c>
      <c r="G352" s="110">
        <v>13</v>
      </c>
      <c r="I352" s="111" t="s">
        <v>799</v>
      </c>
      <c r="J352" s="172">
        <f t="shared" si="6"/>
        <v>74</v>
      </c>
      <c r="K352" s="171">
        <f t="shared" si="7"/>
        <v>74</v>
      </c>
    </row>
    <row r="353" spans="1:11" x14ac:dyDescent="0.2">
      <c r="I353" s="111" t="s">
        <v>800</v>
      </c>
      <c r="J353" s="172" t="str">
        <f t="shared" si="6"/>
        <v/>
      </c>
      <c r="K353" s="171">
        <f t="shared" si="7"/>
        <v>87</v>
      </c>
    </row>
    <row r="354" spans="1:11" x14ac:dyDescent="0.2">
      <c r="I354" s="111" t="s">
        <v>801</v>
      </c>
      <c r="J354" s="172" t="str">
        <f t="shared" si="6"/>
        <v/>
      </c>
      <c r="K354" s="171">
        <f t="shared" si="7"/>
        <v>87</v>
      </c>
    </row>
    <row r="355" spans="1:11" ht="30" x14ac:dyDescent="0.2">
      <c r="I355" s="111" t="s">
        <v>802</v>
      </c>
      <c r="J355" s="172" t="str">
        <f t="shared" si="6"/>
        <v/>
      </c>
      <c r="K355" s="171">
        <f t="shared" si="7"/>
        <v>87</v>
      </c>
    </row>
    <row r="356" spans="1:11" x14ac:dyDescent="0.2">
      <c r="I356" s="111" t="s">
        <v>803</v>
      </c>
      <c r="J356" s="172" t="str">
        <f t="shared" si="6"/>
        <v/>
      </c>
      <c r="K356" s="171">
        <f t="shared" si="7"/>
        <v>87</v>
      </c>
    </row>
    <row r="357" spans="1:11" x14ac:dyDescent="0.2">
      <c r="I357" s="111" t="s">
        <v>804</v>
      </c>
      <c r="J357" s="172" t="str">
        <f t="shared" si="6"/>
        <v/>
      </c>
      <c r="K357" s="171">
        <f t="shared" si="7"/>
        <v>87</v>
      </c>
    </row>
    <row r="358" spans="1:11" x14ac:dyDescent="0.2">
      <c r="I358" s="111" t="s">
        <v>805</v>
      </c>
      <c r="J358" s="172" t="str">
        <f t="shared" si="6"/>
        <v/>
      </c>
      <c r="K358" s="171">
        <f t="shared" si="7"/>
        <v>87</v>
      </c>
    </row>
    <row r="359" spans="1:11" x14ac:dyDescent="0.2">
      <c r="I359" s="111" t="s">
        <v>806</v>
      </c>
      <c r="J359" s="172" t="str">
        <f t="shared" si="6"/>
        <v/>
      </c>
      <c r="K359" s="171">
        <f t="shared" si="7"/>
        <v>87</v>
      </c>
    </row>
    <row r="360" spans="1:11" x14ac:dyDescent="0.2">
      <c r="I360" s="111" t="s">
        <v>807</v>
      </c>
      <c r="J360" s="172" t="str">
        <f t="shared" si="6"/>
        <v/>
      </c>
      <c r="K360" s="171">
        <f t="shared" si="7"/>
        <v>87</v>
      </c>
    </row>
    <row r="361" spans="1:11" ht="30" x14ac:dyDescent="0.2">
      <c r="I361" s="111" t="s">
        <v>808</v>
      </c>
      <c r="J361" s="172" t="str">
        <f t="shared" si="6"/>
        <v/>
      </c>
      <c r="K361" s="171">
        <f t="shared" si="7"/>
        <v>87</v>
      </c>
    </row>
    <row r="362" spans="1:11" x14ac:dyDescent="0.2">
      <c r="I362" s="111" t="s">
        <v>809</v>
      </c>
      <c r="J362" s="172" t="str">
        <f t="shared" si="6"/>
        <v/>
      </c>
      <c r="K362" s="171">
        <f t="shared" si="7"/>
        <v>87</v>
      </c>
    </row>
    <row r="363" spans="1:11" x14ac:dyDescent="0.2">
      <c r="A363" s="117" t="s">
        <v>1</v>
      </c>
      <c r="B363" s="117"/>
      <c r="C363" s="117"/>
      <c r="D363" s="321"/>
      <c r="E363" s="118"/>
      <c r="F363" s="321"/>
      <c r="G363" s="118"/>
      <c r="H363" s="117"/>
      <c r="I363" s="144"/>
      <c r="J363" s="172" t="str">
        <f t="shared" si="6"/>
        <v/>
      </c>
      <c r="K363" s="171">
        <f t="shared" si="7"/>
        <v>87</v>
      </c>
    </row>
    <row r="364" spans="1:11" x14ac:dyDescent="0.2">
      <c r="A364" s="109">
        <v>14</v>
      </c>
      <c r="B364" s="109" t="s">
        <v>810</v>
      </c>
      <c r="F364" s="317" t="s">
        <v>701</v>
      </c>
      <c r="G364" s="110">
        <v>15</v>
      </c>
      <c r="I364" s="145" t="s">
        <v>811</v>
      </c>
      <c r="J364" s="172">
        <f t="shared" si="6"/>
        <v>87</v>
      </c>
      <c r="K364" s="171">
        <f t="shared" si="7"/>
        <v>87</v>
      </c>
    </row>
    <row r="365" spans="1:11" x14ac:dyDescent="0.2">
      <c r="I365" s="145"/>
      <c r="J365" s="172" t="str">
        <f t="shared" si="6"/>
        <v/>
      </c>
      <c r="K365" s="171">
        <f t="shared" si="7"/>
        <v>102</v>
      </c>
    </row>
    <row r="366" spans="1:11" ht="30" x14ac:dyDescent="0.2">
      <c r="A366" s="109">
        <v>15</v>
      </c>
      <c r="B366" s="121" t="s">
        <v>812</v>
      </c>
      <c r="F366" s="317" t="s">
        <v>701</v>
      </c>
      <c r="G366" s="110">
        <v>9</v>
      </c>
      <c r="I366" s="145" t="s">
        <v>915</v>
      </c>
      <c r="J366" s="172">
        <f t="shared" si="6"/>
        <v>102</v>
      </c>
      <c r="K366" s="171">
        <f t="shared" si="7"/>
        <v>102</v>
      </c>
    </row>
    <row r="367" spans="1:11" x14ac:dyDescent="0.2">
      <c r="B367" s="121"/>
      <c r="I367" s="145"/>
      <c r="J367" s="172" t="str">
        <f t="shared" si="6"/>
        <v/>
      </c>
      <c r="K367" s="171">
        <f t="shared" si="7"/>
        <v>111</v>
      </c>
    </row>
    <row r="368" spans="1:11" x14ac:dyDescent="0.2">
      <c r="A368" s="109">
        <v>16</v>
      </c>
      <c r="B368" s="121" t="s">
        <v>814</v>
      </c>
      <c r="F368" s="317" t="s">
        <v>772</v>
      </c>
      <c r="G368" s="110">
        <v>30</v>
      </c>
      <c r="I368" s="145" t="s">
        <v>815</v>
      </c>
      <c r="J368" s="172">
        <f t="shared" si="6"/>
        <v>111</v>
      </c>
      <c r="K368" s="171">
        <f t="shared" si="7"/>
        <v>111</v>
      </c>
    </row>
    <row r="369" spans="1:11" x14ac:dyDescent="0.2">
      <c r="I369" s="145" t="s">
        <v>816</v>
      </c>
      <c r="J369" s="172" t="str">
        <f t="shared" si="6"/>
        <v/>
      </c>
      <c r="K369" s="171">
        <f t="shared" si="7"/>
        <v>141</v>
      </c>
    </row>
    <row r="370" spans="1:11" x14ac:dyDescent="0.2">
      <c r="J370" s="172" t="str">
        <f t="shared" si="6"/>
        <v/>
      </c>
      <c r="K370" s="171">
        <f t="shared" si="7"/>
        <v>141</v>
      </c>
    </row>
    <row r="371" spans="1:11" x14ac:dyDescent="0.2">
      <c r="A371" s="109">
        <v>17</v>
      </c>
      <c r="B371" s="121" t="s">
        <v>817</v>
      </c>
      <c r="F371" s="317" t="s">
        <v>772</v>
      </c>
      <c r="G371" s="110">
        <v>30</v>
      </c>
      <c r="I371" s="145" t="s">
        <v>818</v>
      </c>
      <c r="J371" s="172">
        <f t="shared" si="6"/>
        <v>141</v>
      </c>
      <c r="K371" s="171">
        <f t="shared" si="7"/>
        <v>141</v>
      </c>
    </row>
    <row r="372" spans="1:11" x14ac:dyDescent="0.2">
      <c r="J372" s="172" t="str">
        <f t="shared" si="6"/>
        <v/>
      </c>
      <c r="K372" s="171">
        <f t="shared" si="7"/>
        <v>171</v>
      </c>
    </row>
    <row r="373" spans="1:11" x14ac:dyDescent="0.2">
      <c r="A373" s="109">
        <v>18</v>
      </c>
      <c r="B373" s="121" t="s">
        <v>819</v>
      </c>
      <c r="F373" s="317" t="s">
        <v>772</v>
      </c>
      <c r="G373" s="110">
        <v>9</v>
      </c>
      <c r="I373" s="145" t="s">
        <v>916</v>
      </c>
      <c r="J373" s="172">
        <f t="shared" si="6"/>
        <v>171</v>
      </c>
      <c r="K373" s="171">
        <f t="shared" si="7"/>
        <v>171</v>
      </c>
    </row>
    <row r="374" spans="1:11" x14ac:dyDescent="0.2">
      <c r="I374" s="145" t="s">
        <v>822</v>
      </c>
      <c r="J374" s="172" t="str">
        <f t="shared" si="6"/>
        <v/>
      </c>
      <c r="K374" s="171">
        <f t="shared" si="7"/>
        <v>180</v>
      </c>
    </row>
    <row r="375" spans="1:11" x14ac:dyDescent="0.2">
      <c r="I375" s="145"/>
      <c r="J375" s="172" t="str">
        <f t="shared" si="6"/>
        <v/>
      </c>
      <c r="K375" s="171">
        <f t="shared" si="7"/>
        <v>180</v>
      </c>
    </row>
    <row r="376" spans="1:11" x14ac:dyDescent="0.2">
      <c r="I376" s="145"/>
      <c r="J376" s="172" t="str">
        <f t="shared" si="6"/>
        <v/>
      </c>
      <c r="K376" s="171">
        <f t="shared" si="7"/>
        <v>180</v>
      </c>
    </row>
    <row r="377" spans="1:11" x14ac:dyDescent="0.2">
      <c r="I377" s="145"/>
      <c r="J377" s="172" t="str">
        <f t="shared" si="6"/>
        <v/>
      </c>
      <c r="K377" s="171">
        <f t="shared" si="7"/>
        <v>180</v>
      </c>
    </row>
    <row r="378" spans="1:11" x14ac:dyDescent="0.2">
      <c r="J378" s="172" t="str">
        <f t="shared" si="6"/>
        <v/>
      </c>
      <c r="K378" s="171">
        <f t="shared" si="7"/>
        <v>180</v>
      </c>
    </row>
    <row r="379" spans="1:11" x14ac:dyDescent="0.2">
      <c r="A379" s="109">
        <v>19</v>
      </c>
      <c r="B379" s="121" t="s">
        <v>823</v>
      </c>
      <c r="F379" s="317" t="s">
        <v>772</v>
      </c>
      <c r="G379" s="110">
        <v>22</v>
      </c>
      <c r="I379" s="145" t="s">
        <v>824</v>
      </c>
      <c r="J379" s="172">
        <f t="shared" si="6"/>
        <v>180</v>
      </c>
      <c r="K379" s="171">
        <f t="shared" si="7"/>
        <v>180</v>
      </c>
    </row>
    <row r="380" spans="1:11" x14ac:dyDescent="0.2">
      <c r="I380" s="145" t="s">
        <v>825</v>
      </c>
      <c r="J380" s="172" t="str">
        <f t="shared" si="6"/>
        <v/>
      </c>
      <c r="K380" s="171">
        <f t="shared" si="7"/>
        <v>202</v>
      </c>
    </row>
    <row r="381" spans="1:11" x14ac:dyDescent="0.2">
      <c r="I381" s="145"/>
      <c r="J381" s="172" t="str">
        <f t="shared" si="6"/>
        <v/>
      </c>
      <c r="K381" s="171">
        <f t="shared" si="7"/>
        <v>202</v>
      </c>
    </row>
    <row r="382" spans="1:11" x14ac:dyDescent="0.2">
      <c r="A382" s="109">
        <v>20</v>
      </c>
      <c r="B382" s="121" t="s">
        <v>826</v>
      </c>
      <c r="F382" s="317" t="s">
        <v>701</v>
      </c>
      <c r="G382" s="110">
        <v>11</v>
      </c>
      <c r="I382" s="145" t="s">
        <v>827</v>
      </c>
      <c r="J382" s="172">
        <f t="shared" si="6"/>
        <v>202</v>
      </c>
      <c r="K382" s="171">
        <f t="shared" si="7"/>
        <v>202</v>
      </c>
    </row>
    <row r="383" spans="1:11" x14ac:dyDescent="0.2">
      <c r="B383" s="121"/>
      <c r="I383" s="145"/>
      <c r="J383" s="172" t="str">
        <f t="shared" si="6"/>
        <v/>
      </c>
      <c r="K383" s="171">
        <f t="shared" si="7"/>
        <v>213</v>
      </c>
    </row>
    <row r="384" spans="1:11" x14ac:dyDescent="0.2">
      <c r="A384" s="109">
        <v>21</v>
      </c>
      <c r="B384" s="121" t="s">
        <v>828</v>
      </c>
      <c r="F384" s="317" t="s">
        <v>772</v>
      </c>
      <c r="G384" s="110">
        <v>30</v>
      </c>
      <c r="I384" s="145" t="s">
        <v>829</v>
      </c>
      <c r="J384" s="172">
        <f t="shared" si="6"/>
        <v>213</v>
      </c>
      <c r="K384" s="171">
        <f t="shared" si="7"/>
        <v>213</v>
      </c>
    </row>
    <row r="385" spans="1:11" x14ac:dyDescent="0.2">
      <c r="B385" s="121"/>
      <c r="I385" s="145"/>
      <c r="J385" s="172" t="str">
        <f t="shared" si="6"/>
        <v/>
      </c>
      <c r="K385" s="171">
        <f t="shared" si="7"/>
        <v>243</v>
      </c>
    </row>
    <row r="386" spans="1:11" x14ac:dyDescent="0.2">
      <c r="A386" s="109">
        <v>22</v>
      </c>
      <c r="B386" s="121" t="s">
        <v>830</v>
      </c>
      <c r="F386" s="317" t="s">
        <v>701</v>
      </c>
      <c r="G386" s="110">
        <v>11</v>
      </c>
      <c r="I386" s="145" t="s">
        <v>831</v>
      </c>
      <c r="J386" s="172">
        <f t="shared" si="6"/>
        <v>243</v>
      </c>
      <c r="K386" s="171">
        <f t="shared" si="7"/>
        <v>243</v>
      </c>
    </row>
    <row r="387" spans="1:11" x14ac:dyDescent="0.2">
      <c r="B387" s="121"/>
      <c r="I387" s="145"/>
      <c r="J387" s="172" t="str">
        <f t="shared" ref="J387:J450" si="8">IF(A387=1, 4,IF(G387="", "",+K387))</f>
        <v/>
      </c>
      <c r="K387" s="171">
        <f t="shared" ref="K387:K450" si="9">IF(A387=1,1,+K386+G386)</f>
        <v>254</v>
      </c>
    </row>
    <row r="388" spans="1:11" x14ac:dyDescent="0.2">
      <c r="B388" s="173" t="s">
        <v>832</v>
      </c>
      <c r="J388" s="172" t="str">
        <f t="shared" si="8"/>
        <v/>
      </c>
      <c r="K388" s="171">
        <f t="shared" si="9"/>
        <v>254</v>
      </c>
    </row>
    <row r="389" spans="1:11" x14ac:dyDescent="0.2">
      <c r="J389" s="172" t="str">
        <f t="shared" si="8"/>
        <v/>
      </c>
      <c r="K389" s="171">
        <f t="shared" si="9"/>
        <v>254</v>
      </c>
    </row>
    <row r="390" spans="1:11" x14ac:dyDescent="0.2">
      <c r="A390" s="109">
        <v>23</v>
      </c>
      <c r="B390" s="121" t="s">
        <v>833</v>
      </c>
      <c r="F390" s="317" t="s">
        <v>772</v>
      </c>
      <c r="G390" s="110">
        <v>26</v>
      </c>
      <c r="I390" s="145" t="s">
        <v>834</v>
      </c>
      <c r="J390" s="172">
        <f t="shared" si="8"/>
        <v>254</v>
      </c>
      <c r="K390" s="171">
        <f t="shared" si="9"/>
        <v>254</v>
      </c>
    </row>
    <row r="391" spans="1:11" x14ac:dyDescent="0.2">
      <c r="B391" s="121"/>
      <c r="I391" s="145" t="s">
        <v>843</v>
      </c>
      <c r="J391" s="172" t="str">
        <f t="shared" si="8"/>
        <v/>
      </c>
      <c r="K391" s="171">
        <f t="shared" si="9"/>
        <v>280</v>
      </c>
    </row>
    <row r="392" spans="1:11" x14ac:dyDescent="0.2">
      <c r="B392" s="121"/>
      <c r="I392" s="145"/>
      <c r="J392" s="172" t="str">
        <f t="shared" si="8"/>
        <v/>
      </c>
      <c r="K392" s="171">
        <f t="shared" si="9"/>
        <v>280</v>
      </c>
    </row>
    <row r="393" spans="1:11" x14ac:dyDescent="0.2">
      <c r="A393" s="109">
        <v>24</v>
      </c>
      <c r="B393" s="121" t="s">
        <v>835</v>
      </c>
      <c r="F393" s="317" t="s">
        <v>772</v>
      </c>
      <c r="G393" s="110">
        <v>26</v>
      </c>
      <c r="I393" s="145" t="s">
        <v>836</v>
      </c>
      <c r="J393" s="172">
        <f t="shared" si="8"/>
        <v>280</v>
      </c>
      <c r="K393" s="171">
        <f t="shared" si="9"/>
        <v>280</v>
      </c>
    </row>
    <row r="394" spans="1:11" x14ac:dyDescent="0.2">
      <c r="B394" s="121"/>
      <c r="I394" s="145" t="s">
        <v>837</v>
      </c>
      <c r="J394" s="172" t="str">
        <f t="shared" si="8"/>
        <v/>
      </c>
      <c r="K394" s="171">
        <f t="shared" si="9"/>
        <v>306</v>
      </c>
    </row>
    <row r="395" spans="1:11" x14ac:dyDescent="0.2">
      <c r="B395" s="121"/>
      <c r="I395" s="145"/>
      <c r="J395" s="172" t="str">
        <f t="shared" si="8"/>
        <v/>
      </c>
      <c r="K395" s="171">
        <f t="shared" si="9"/>
        <v>306</v>
      </c>
    </row>
    <row r="396" spans="1:11" ht="30" x14ac:dyDescent="0.2">
      <c r="A396" s="109">
        <v>25</v>
      </c>
      <c r="B396" s="109" t="s">
        <v>838</v>
      </c>
      <c r="F396" s="317" t="s">
        <v>701</v>
      </c>
      <c r="G396" s="110">
        <v>2</v>
      </c>
      <c r="I396" s="145" t="s">
        <v>839</v>
      </c>
      <c r="J396" s="172">
        <f t="shared" si="8"/>
        <v>306</v>
      </c>
      <c r="K396" s="171">
        <f t="shared" si="9"/>
        <v>306</v>
      </c>
    </row>
    <row r="397" spans="1:11" x14ac:dyDescent="0.2">
      <c r="B397" s="121"/>
      <c r="I397" s="145"/>
      <c r="J397" s="172" t="str">
        <f t="shared" si="8"/>
        <v/>
      </c>
      <c r="K397" s="171">
        <f t="shared" si="9"/>
        <v>308</v>
      </c>
    </row>
    <row r="398" spans="1:11" x14ac:dyDescent="0.2">
      <c r="B398" s="173" t="s">
        <v>840</v>
      </c>
      <c r="J398" s="172" t="str">
        <f t="shared" si="8"/>
        <v/>
      </c>
      <c r="K398" s="171">
        <f t="shared" si="9"/>
        <v>308</v>
      </c>
    </row>
    <row r="399" spans="1:11" x14ac:dyDescent="0.2">
      <c r="A399" s="157"/>
      <c r="J399" s="172" t="str">
        <f t="shared" si="8"/>
        <v/>
      </c>
      <c r="K399" s="171">
        <f t="shared" si="9"/>
        <v>308</v>
      </c>
    </row>
    <row r="400" spans="1:11" x14ac:dyDescent="0.2">
      <c r="A400" s="109">
        <v>26</v>
      </c>
      <c r="B400" s="121" t="s">
        <v>841</v>
      </c>
      <c r="F400" s="317" t="s">
        <v>772</v>
      </c>
      <c r="G400" s="110">
        <v>3</v>
      </c>
      <c r="I400" s="145" t="s">
        <v>842</v>
      </c>
      <c r="J400" s="172">
        <f t="shared" si="8"/>
        <v>308</v>
      </c>
      <c r="K400" s="171">
        <f t="shared" si="9"/>
        <v>308</v>
      </c>
    </row>
    <row r="401" spans="1:11" x14ac:dyDescent="0.2">
      <c r="B401" s="121"/>
      <c r="I401" s="145" t="s">
        <v>843</v>
      </c>
      <c r="J401" s="172" t="str">
        <f t="shared" si="8"/>
        <v/>
      </c>
      <c r="K401" s="171">
        <f t="shared" si="9"/>
        <v>311</v>
      </c>
    </row>
    <row r="402" spans="1:11" x14ac:dyDescent="0.2">
      <c r="B402" s="121"/>
      <c r="I402" s="145"/>
      <c r="J402" s="172" t="str">
        <f t="shared" si="8"/>
        <v/>
      </c>
      <c r="K402" s="171">
        <f t="shared" si="9"/>
        <v>311</v>
      </c>
    </row>
    <row r="403" spans="1:11" x14ac:dyDescent="0.2">
      <c r="A403" s="109">
        <v>27</v>
      </c>
      <c r="B403" s="312" t="s">
        <v>844</v>
      </c>
      <c r="C403" s="313"/>
      <c r="D403" s="328"/>
      <c r="E403" s="314"/>
      <c r="F403" s="328" t="s">
        <v>701</v>
      </c>
      <c r="G403" s="314">
        <v>9</v>
      </c>
      <c r="H403" s="313"/>
      <c r="I403" s="315" t="s">
        <v>845</v>
      </c>
      <c r="J403" s="172">
        <f t="shared" si="8"/>
        <v>311</v>
      </c>
      <c r="K403" s="171">
        <f t="shared" si="9"/>
        <v>311</v>
      </c>
    </row>
    <row r="404" spans="1:11" x14ac:dyDescent="0.2">
      <c r="B404" s="312"/>
      <c r="C404" s="313"/>
      <c r="D404" s="328"/>
      <c r="E404" s="314"/>
      <c r="F404" s="328"/>
      <c r="G404" s="314"/>
      <c r="H404" s="313"/>
      <c r="I404" s="315" t="s">
        <v>846</v>
      </c>
      <c r="J404" s="172" t="str">
        <f t="shared" si="8"/>
        <v/>
      </c>
      <c r="K404" s="171">
        <f t="shared" si="9"/>
        <v>320</v>
      </c>
    </row>
    <row r="405" spans="1:11" x14ac:dyDescent="0.2">
      <c r="B405" s="121"/>
      <c r="I405" s="145"/>
      <c r="J405" s="172" t="str">
        <f t="shared" si="8"/>
        <v/>
      </c>
      <c r="K405" s="171">
        <f t="shared" si="9"/>
        <v>320</v>
      </c>
    </row>
    <row r="406" spans="1:11" x14ac:dyDescent="0.2">
      <c r="A406" s="109">
        <v>28</v>
      </c>
      <c r="B406" s="121" t="s">
        <v>847</v>
      </c>
      <c r="F406" s="317" t="s">
        <v>701</v>
      </c>
      <c r="G406" s="110">
        <v>2</v>
      </c>
      <c r="I406" s="145" t="s">
        <v>848</v>
      </c>
      <c r="J406" s="172">
        <f t="shared" si="8"/>
        <v>320</v>
      </c>
      <c r="K406" s="171">
        <f t="shared" si="9"/>
        <v>320</v>
      </c>
    </row>
    <row r="407" spans="1:11" x14ac:dyDescent="0.2">
      <c r="B407" s="121"/>
      <c r="I407" s="145"/>
      <c r="J407" s="172" t="str">
        <f t="shared" si="8"/>
        <v/>
      </c>
      <c r="K407" s="171">
        <f t="shared" si="9"/>
        <v>322</v>
      </c>
    </row>
    <row r="408" spans="1:11" x14ac:dyDescent="0.2">
      <c r="A408" s="109">
        <v>29</v>
      </c>
      <c r="B408" s="121" t="s">
        <v>849</v>
      </c>
      <c r="F408" s="317" t="s">
        <v>772</v>
      </c>
      <c r="G408" s="110">
        <v>15</v>
      </c>
      <c r="I408" s="145" t="s">
        <v>850</v>
      </c>
      <c r="J408" s="172">
        <f t="shared" si="8"/>
        <v>322</v>
      </c>
      <c r="K408" s="171">
        <f t="shared" si="9"/>
        <v>322</v>
      </c>
    </row>
    <row r="409" spans="1:11" x14ac:dyDescent="0.2">
      <c r="B409" s="121"/>
      <c r="I409" s="145" t="s">
        <v>851</v>
      </c>
      <c r="J409" s="172" t="str">
        <f t="shared" si="8"/>
        <v/>
      </c>
      <c r="K409" s="171">
        <f t="shared" si="9"/>
        <v>337</v>
      </c>
    </row>
    <row r="410" spans="1:11" x14ac:dyDescent="0.2">
      <c r="A410" s="117" t="s">
        <v>1</v>
      </c>
      <c r="B410" s="117"/>
      <c r="C410" s="117"/>
      <c r="D410" s="321"/>
      <c r="E410" s="118"/>
      <c r="F410" s="321"/>
      <c r="G410" s="118"/>
      <c r="H410" s="117"/>
      <c r="I410" s="144"/>
      <c r="J410" s="172" t="str">
        <f t="shared" si="8"/>
        <v/>
      </c>
      <c r="K410" s="171">
        <f t="shared" si="9"/>
        <v>337</v>
      </c>
    </row>
    <row r="411" spans="1:11" x14ac:dyDescent="0.2">
      <c r="A411" s="109">
        <v>30</v>
      </c>
      <c r="B411" s="109" t="s">
        <v>783</v>
      </c>
      <c r="F411" s="317" t="s">
        <v>772</v>
      </c>
      <c r="G411" s="110">
        <v>4</v>
      </c>
      <c r="I411" s="111" t="s">
        <v>783</v>
      </c>
      <c r="J411" s="172">
        <f t="shared" si="8"/>
        <v>337</v>
      </c>
      <c r="K411" s="171">
        <f t="shared" si="9"/>
        <v>337</v>
      </c>
    </row>
    <row r="412" spans="1:11" x14ac:dyDescent="0.2">
      <c r="I412" s="145"/>
      <c r="J412" s="172" t="str">
        <f t="shared" si="8"/>
        <v/>
      </c>
      <c r="K412" s="171">
        <f t="shared" si="9"/>
        <v>341</v>
      </c>
    </row>
    <row r="413" spans="1:11" x14ac:dyDescent="0.2">
      <c r="A413" s="109">
        <v>31</v>
      </c>
      <c r="B413" s="109" t="s">
        <v>852</v>
      </c>
      <c r="F413" s="317" t="s">
        <v>701</v>
      </c>
      <c r="G413" s="110">
        <v>16</v>
      </c>
      <c r="I413" s="145" t="s">
        <v>917</v>
      </c>
      <c r="J413" s="172">
        <f t="shared" si="8"/>
        <v>341</v>
      </c>
      <c r="K413" s="171">
        <f t="shared" si="9"/>
        <v>341</v>
      </c>
    </row>
    <row r="414" spans="1:11" x14ac:dyDescent="0.2">
      <c r="I414" s="145"/>
      <c r="J414" s="172" t="str">
        <f t="shared" si="8"/>
        <v/>
      </c>
      <c r="K414" s="171">
        <f t="shared" si="9"/>
        <v>357</v>
      </c>
    </row>
    <row r="415" spans="1:11" ht="30" x14ac:dyDescent="0.2">
      <c r="A415" s="109">
        <v>32</v>
      </c>
      <c r="B415" s="109" t="s">
        <v>854</v>
      </c>
      <c r="F415" s="317" t="s">
        <v>772</v>
      </c>
      <c r="G415" s="110">
        <v>1</v>
      </c>
      <c r="I415" s="145" t="s">
        <v>855</v>
      </c>
      <c r="J415" s="172">
        <f t="shared" si="8"/>
        <v>357</v>
      </c>
      <c r="K415" s="171">
        <f t="shared" si="9"/>
        <v>357</v>
      </c>
    </row>
    <row r="416" spans="1:11" x14ac:dyDescent="0.2">
      <c r="I416" s="145" t="s">
        <v>856</v>
      </c>
      <c r="J416" s="172" t="str">
        <f t="shared" si="8"/>
        <v/>
      </c>
      <c r="K416" s="171">
        <f t="shared" si="9"/>
        <v>358</v>
      </c>
    </row>
    <row r="417" spans="1:11" x14ac:dyDescent="0.2">
      <c r="I417" s="145" t="s">
        <v>857</v>
      </c>
      <c r="J417" s="172" t="str">
        <f t="shared" si="8"/>
        <v/>
      </c>
      <c r="K417" s="171">
        <f t="shared" si="9"/>
        <v>358</v>
      </c>
    </row>
    <row r="418" spans="1:11" x14ac:dyDescent="0.2">
      <c r="I418" s="145"/>
      <c r="J418" s="172" t="str">
        <f t="shared" si="8"/>
        <v/>
      </c>
      <c r="K418" s="171">
        <f t="shared" si="9"/>
        <v>358</v>
      </c>
    </row>
    <row r="419" spans="1:11" x14ac:dyDescent="0.2">
      <c r="A419" s="109">
        <v>33</v>
      </c>
      <c r="B419" s="109" t="s">
        <v>858</v>
      </c>
      <c r="F419" s="317" t="s">
        <v>772</v>
      </c>
      <c r="G419" s="110">
        <v>1</v>
      </c>
      <c r="I419" s="145" t="s">
        <v>859</v>
      </c>
      <c r="J419" s="172">
        <f t="shared" si="8"/>
        <v>358</v>
      </c>
      <c r="K419" s="171">
        <f t="shared" si="9"/>
        <v>358</v>
      </c>
    </row>
    <row r="420" spans="1:11" x14ac:dyDescent="0.2">
      <c r="I420" s="145" t="s">
        <v>860</v>
      </c>
      <c r="J420" s="172" t="str">
        <f t="shared" si="8"/>
        <v/>
      </c>
      <c r="K420" s="171">
        <f t="shared" si="9"/>
        <v>359</v>
      </c>
    </row>
    <row r="421" spans="1:11" x14ac:dyDescent="0.2">
      <c r="I421" s="145" t="s">
        <v>861</v>
      </c>
      <c r="J421" s="172" t="str">
        <f t="shared" si="8"/>
        <v/>
      </c>
      <c r="K421" s="171">
        <f t="shared" si="9"/>
        <v>359</v>
      </c>
    </row>
    <row r="422" spans="1:11" x14ac:dyDescent="0.2">
      <c r="I422" s="145"/>
      <c r="J422" s="172" t="str">
        <f t="shared" si="8"/>
        <v/>
      </c>
      <c r="K422" s="171">
        <f t="shared" si="9"/>
        <v>359</v>
      </c>
    </row>
    <row r="423" spans="1:11" x14ac:dyDescent="0.2">
      <c r="A423" s="109">
        <v>34</v>
      </c>
      <c r="B423" s="109" t="s">
        <v>862</v>
      </c>
      <c r="F423" s="317" t="s">
        <v>772</v>
      </c>
      <c r="G423" s="110">
        <v>17</v>
      </c>
      <c r="I423" s="145" t="s">
        <v>863</v>
      </c>
      <c r="J423" s="172">
        <f t="shared" si="8"/>
        <v>359</v>
      </c>
      <c r="K423" s="171">
        <f t="shared" si="9"/>
        <v>359</v>
      </c>
    </row>
    <row r="424" spans="1:11" x14ac:dyDescent="0.2">
      <c r="I424" s="145"/>
      <c r="J424" s="172" t="str">
        <f t="shared" si="8"/>
        <v/>
      </c>
      <c r="K424" s="171">
        <f t="shared" si="9"/>
        <v>376</v>
      </c>
    </row>
    <row r="425" spans="1:11" x14ac:dyDescent="0.2">
      <c r="A425" s="109">
        <v>35</v>
      </c>
      <c r="B425" s="109" t="s">
        <v>864</v>
      </c>
      <c r="F425" s="317" t="s">
        <v>772</v>
      </c>
      <c r="G425" s="110">
        <v>1</v>
      </c>
      <c r="I425" s="145" t="s">
        <v>865</v>
      </c>
      <c r="J425" s="172">
        <f t="shared" si="8"/>
        <v>376</v>
      </c>
      <c r="K425" s="171">
        <f t="shared" si="9"/>
        <v>376</v>
      </c>
    </row>
    <row r="426" spans="1:11" x14ac:dyDescent="0.2">
      <c r="I426" s="145" t="s">
        <v>860</v>
      </c>
      <c r="J426" s="172" t="str">
        <f t="shared" si="8"/>
        <v/>
      </c>
      <c r="K426" s="171">
        <f t="shared" si="9"/>
        <v>377</v>
      </c>
    </row>
    <row r="427" spans="1:11" x14ac:dyDescent="0.2">
      <c r="I427" s="145" t="s">
        <v>861</v>
      </c>
      <c r="J427" s="172" t="str">
        <f t="shared" si="8"/>
        <v/>
      </c>
      <c r="K427" s="171">
        <f t="shared" si="9"/>
        <v>377</v>
      </c>
    </row>
    <row r="428" spans="1:11" x14ac:dyDescent="0.2">
      <c r="I428" s="145"/>
      <c r="J428" s="172" t="str">
        <f t="shared" si="8"/>
        <v/>
      </c>
      <c r="K428" s="171">
        <f t="shared" si="9"/>
        <v>377</v>
      </c>
    </row>
    <row r="429" spans="1:11" x14ac:dyDescent="0.2">
      <c r="A429" s="109">
        <v>36</v>
      </c>
      <c r="B429" s="109" t="s">
        <v>866</v>
      </c>
      <c r="F429" s="317" t="s">
        <v>772</v>
      </c>
      <c r="G429" s="110">
        <v>17</v>
      </c>
      <c r="I429" s="145" t="s">
        <v>867</v>
      </c>
      <c r="J429" s="172">
        <f t="shared" si="8"/>
        <v>377</v>
      </c>
      <c r="K429" s="171">
        <f t="shared" si="9"/>
        <v>377</v>
      </c>
    </row>
    <row r="430" spans="1:11" x14ac:dyDescent="0.2">
      <c r="I430" s="145"/>
      <c r="J430" s="172" t="str">
        <f t="shared" si="8"/>
        <v/>
      </c>
      <c r="K430" s="171">
        <f t="shared" si="9"/>
        <v>394</v>
      </c>
    </row>
    <row r="431" spans="1:11" x14ac:dyDescent="0.2">
      <c r="A431" s="109">
        <v>37</v>
      </c>
      <c r="B431" s="121" t="s">
        <v>868</v>
      </c>
      <c r="F431" s="317" t="s">
        <v>772</v>
      </c>
      <c r="G431" s="110">
        <v>3</v>
      </c>
      <c r="I431" s="145" t="s">
        <v>869</v>
      </c>
      <c r="J431" s="172">
        <f t="shared" si="8"/>
        <v>394</v>
      </c>
      <c r="K431" s="171">
        <f t="shared" si="9"/>
        <v>394</v>
      </c>
    </row>
    <row r="432" spans="1:11" ht="30" x14ac:dyDescent="0.2">
      <c r="B432" s="121"/>
      <c r="I432" s="145" t="s">
        <v>870</v>
      </c>
      <c r="J432" s="172" t="str">
        <f t="shared" si="8"/>
        <v/>
      </c>
      <c r="K432" s="171">
        <f t="shared" si="9"/>
        <v>397</v>
      </c>
    </row>
    <row r="433" spans="1:11" x14ac:dyDescent="0.2">
      <c r="B433" s="121"/>
      <c r="I433" s="145" t="s">
        <v>871</v>
      </c>
      <c r="J433" s="172" t="str">
        <f t="shared" si="8"/>
        <v/>
      </c>
      <c r="K433" s="171">
        <f t="shared" si="9"/>
        <v>397</v>
      </c>
    </row>
    <row r="434" spans="1:11" x14ac:dyDescent="0.2">
      <c r="B434" s="121"/>
      <c r="I434" s="145"/>
      <c r="J434" s="172" t="str">
        <f t="shared" si="8"/>
        <v/>
      </c>
      <c r="K434" s="171">
        <f t="shared" si="9"/>
        <v>397</v>
      </c>
    </row>
    <row r="435" spans="1:11" x14ac:dyDescent="0.2">
      <c r="A435" s="109">
        <v>38</v>
      </c>
      <c r="B435" s="121" t="s">
        <v>783</v>
      </c>
      <c r="F435" s="317" t="s">
        <v>772</v>
      </c>
      <c r="G435" s="110">
        <v>12</v>
      </c>
      <c r="I435" s="145" t="s">
        <v>783</v>
      </c>
      <c r="J435" s="172">
        <f t="shared" si="8"/>
        <v>397</v>
      </c>
      <c r="K435" s="171">
        <f t="shared" si="9"/>
        <v>397</v>
      </c>
    </row>
    <row r="436" spans="1:11" x14ac:dyDescent="0.2">
      <c r="B436" s="121"/>
      <c r="I436" s="158"/>
      <c r="J436" s="172" t="str">
        <f t="shared" si="8"/>
        <v/>
      </c>
      <c r="K436" s="171">
        <f t="shared" si="9"/>
        <v>409</v>
      </c>
    </row>
    <row r="437" spans="1:11" ht="30" x14ac:dyDescent="0.2">
      <c r="A437" s="109">
        <v>39</v>
      </c>
      <c r="B437" s="109" t="s">
        <v>872</v>
      </c>
      <c r="F437" s="317" t="s">
        <v>772</v>
      </c>
      <c r="G437" s="110">
        <v>1</v>
      </c>
      <c r="I437" s="145" t="s">
        <v>918</v>
      </c>
      <c r="J437" s="172">
        <f t="shared" si="8"/>
        <v>409</v>
      </c>
      <c r="K437" s="171">
        <f t="shared" si="9"/>
        <v>409</v>
      </c>
    </row>
    <row r="438" spans="1:11" x14ac:dyDescent="0.2">
      <c r="I438" s="145" t="s">
        <v>874</v>
      </c>
      <c r="J438" s="172" t="str">
        <f t="shared" si="8"/>
        <v/>
      </c>
      <c r="K438" s="171">
        <f t="shared" si="9"/>
        <v>410</v>
      </c>
    </row>
    <row r="439" spans="1:11" x14ac:dyDescent="0.2">
      <c r="I439" s="145" t="s">
        <v>875</v>
      </c>
      <c r="J439" s="172" t="str">
        <f t="shared" si="8"/>
        <v/>
      </c>
      <c r="K439" s="171">
        <f t="shared" si="9"/>
        <v>410</v>
      </c>
    </row>
    <row r="440" spans="1:11" x14ac:dyDescent="0.2">
      <c r="I440" s="145" t="s">
        <v>876</v>
      </c>
      <c r="J440" s="172" t="str">
        <f t="shared" si="8"/>
        <v/>
      </c>
      <c r="K440" s="171">
        <f t="shared" si="9"/>
        <v>410</v>
      </c>
    </row>
    <row r="441" spans="1:11" x14ac:dyDescent="0.2">
      <c r="I441" s="145" t="s">
        <v>877</v>
      </c>
      <c r="J441" s="172" t="str">
        <f t="shared" si="8"/>
        <v/>
      </c>
      <c r="K441" s="171">
        <f t="shared" si="9"/>
        <v>410</v>
      </c>
    </row>
    <row r="442" spans="1:11" ht="30" x14ac:dyDescent="0.2">
      <c r="I442" s="145" t="s">
        <v>878</v>
      </c>
      <c r="J442" s="172" t="str">
        <f t="shared" si="8"/>
        <v/>
      </c>
      <c r="K442" s="171">
        <f t="shared" si="9"/>
        <v>410</v>
      </c>
    </row>
    <row r="443" spans="1:11" x14ac:dyDescent="0.2">
      <c r="I443" s="145"/>
      <c r="J443" s="172" t="str">
        <f t="shared" si="8"/>
        <v/>
      </c>
      <c r="K443" s="171">
        <f t="shared" si="9"/>
        <v>410</v>
      </c>
    </row>
    <row r="444" spans="1:11" x14ac:dyDescent="0.2">
      <c r="A444" s="109">
        <v>40</v>
      </c>
      <c r="B444" s="109" t="s">
        <v>879</v>
      </c>
      <c r="F444" s="317" t="s">
        <v>701</v>
      </c>
      <c r="G444" s="110">
        <v>1</v>
      </c>
      <c r="I444" s="145" t="s">
        <v>880</v>
      </c>
      <c r="J444" s="172">
        <f t="shared" si="8"/>
        <v>410</v>
      </c>
      <c r="K444" s="171">
        <f t="shared" si="9"/>
        <v>410</v>
      </c>
    </row>
    <row r="445" spans="1:11" x14ac:dyDescent="0.2">
      <c r="I445" s="145" t="s">
        <v>881</v>
      </c>
      <c r="J445" s="172" t="str">
        <f t="shared" si="8"/>
        <v/>
      </c>
      <c r="K445" s="171">
        <f t="shared" si="9"/>
        <v>411</v>
      </c>
    </row>
    <row r="446" spans="1:11" x14ac:dyDescent="0.2">
      <c r="I446" s="145" t="s">
        <v>882</v>
      </c>
      <c r="J446" s="172" t="str">
        <f t="shared" si="8"/>
        <v/>
      </c>
      <c r="K446" s="171">
        <f t="shared" si="9"/>
        <v>411</v>
      </c>
    </row>
    <row r="447" spans="1:11" x14ac:dyDescent="0.2">
      <c r="I447" s="145"/>
      <c r="J447" s="172" t="str">
        <f t="shared" si="8"/>
        <v/>
      </c>
      <c r="K447" s="171">
        <f t="shared" si="9"/>
        <v>411</v>
      </c>
    </row>
    <row r="448" spans="1:11" x14ac:dyDescent="0.2">
      <c r="A448" s="109">
        <v>41</v>
      </c>
      <c r="B448" s="109" t="s">
        <v>883</v>
      </c>
      <c r="F448" s="317" t="s">
        <v>701</v>
      </c>
      <c r="G448" s="110">
        <v>1</v>
      </c>
      <c r="I448" s="145" t="s">
        <v>884</v>
      </c>
      <c r="J448" s="172">
        <f t="shared" si="8"/>
        <v>411</v>
      </c>
      <c r="K448" s="171">
        <f t="shared" si="9"/>
        <v>411</v>
      </c>
    </row>
    <row r="449" spans="1:11" x14ac:dyDescent="0.2">
      <c r="I449" s="145" t="s">
        <v>881</v>
      </c>
      <c r="J449" s="172" t="str">
        <f t="shared" si="8"/>
        <v/>
      </c>
      <c r="K449" s="171">
        <f t="shared" si="9"/>
        <v>412</v>
      </c>
    </row>
    <row r="450" spans="1:11" x14ac:dyDescent="0.2">
      <c r="I450" s="145" t="s">
        <v>882</v>
      </c>
      <c r="J450" s="172" t="str">
        <f t="shared" si="8"/>
        <v/>
      </c>
      <c r="K450" s="171">
        <f t="shared" si="9"/>
        <v>412</v>
      </c>
    </row>
    <row r="451" spans="1:11" x14ac:dyDescent="0.2">
      <c r="I451" s="145"/>
      <c r="J451" s="172" t="str">
        <f t="shared" ref="J451:J514" si="10">IF(A451=1, 4,IF(G451="", "",+K451))</f>
        <v/>
      </c>
      <c r="K451" s="171">
        <f t="shared" ref="K451:K514" si="11">IF(A451=1,1,+K450+G450)</f>
        <v>412</v>
      </c>
    </row>
    <row r="452" spans="1:11" x14ac:dyDescent="0.2">
      <c r="A452" s="109">
        <v>42</v>
      </c>
      <c r="B452" s="109" t="s">
        <v>885</v>
      </c>
      <c r="F452" s="317" t="s">
        <v>701</v>
      </c>
      <c r="G452" s="110">
        <v>1</v>
      </c>
      <c r="I452" s="145" t="s">
        <v>886</v>
      </c>
      <c r="J452" s="172">
        <f t="shared" si="10"/>
        <v>412</v>
      </c>
      <c r="K452" s="171">
        <f t="shared" si="11"/>
        <v>412</v>
      </c>
    </row>
    <row r="453" spans="1:11" x14ac:dyDescent="0.2">
      <c r="I453" s="145" t="s">
        <v>881</v>
      </c>
      <c r="J453" s="172" t="str">
        <f t="shared" si="10"/>
        <v/>
      </c>
      <c r="K453" s="171">
        <f t="shared" si="11"/>
        <v>413</v>
      </c>
    </row>
    <row r="454" spans="1:11" x14ac:dyDescent="0.2">
      <c r="I454" s="145" t="s">
        <v>882</v>
      </c>
      <c r="J454" s="172" t="str">
        <f t="shared" si="10"/>
        <v/>
      </c>
      <c r="K454" s="171">
        <f t="shared" si="11"/>
        <v>413</v>
      </c>
    </row>
    <row r="455" spans="1:11" x14ac:dyDescent="0.2">
      <c r="I455" s="145"/>
      <c r="J455" s="172" t="str">
        <f t="shared" si="10"/>
        <v/>
      </c>
      <c r="K455" s="171">
        <f t="shared" si="11"/>
        <v>413</v>
      </c>
    </row>
    <row r="456" spans="1:11" x14ac:dyDescent="0.2">
      <c r="A456" s="109">
        <v>43</v>
      </c>
      <c r="B456" s="109" t="s">
        <v>887</v>
      </c>
      <c r="F456" s="317" t="s">
        <v>701</v>
      </c>
      <c r="G456" s="110">
        <v>1</v>
      </c>
      <c r="I456" s="145" t="s">
        <v>888</v>
      </c>
      <c r="J456" s="172">
        <f t="shared" si="10"/>
        <v>413</v>
      </c>
      <c r="K456" s="171">
        <f t="shared" si="11"/>
        <v>413</v>
      </c>
    </row>
    <row r="457" spans="1:11" x14ac:dyDescent="0.2">
      <c r="I457" s="145" t="s">
        <v>881</v>
      </c>
      <c r="J457" s="172" t="str">
        <f t="shared" si="10"/>
        <v/>
      </c>
      <c r="K457" s="171">
        <f t="shared" si="11"/>
        <v>414</v>
      </c>
    </row>
    <row r="458" spans="1:11" x14ac:dyDescent="0.2">
      <c r="I458" s="145" t="s">
        <v>882</v>
      </c>
      <c r="J458" s="172" t="str">
        <f t="shared" si="10"/>
        <v/>
      </c>
      <c r="K458" s="171">
        <f t="shared" si="11"/>
        <v>414</v>
      </c>
    </row>
    <row r="459" spans="1:11" x14ac:dyDescent="0.2">
      <c r="I459" s="145"/>
      <c r="J459" s="172" t="str">
        <f t="shared" si="10"/>
        <v/>
      </c>
      <c r="K459" s="171">
        <f t="shared" si="11"/>
        <v>414</v>
      </c>
    </row>
    <row r="460" spans="1:11" x14ac:dyDescent="0.2">
      <c r="A460" s="109">
        <v>44</v>
      </c>
      <c r="B460" s="109" t="s">
        <v>889</v>
      </c>
      <c r="F460" s="317" t="s">
        <v>701</v>
      </c>
      <c r="G460" s="110">
        <v>1</v>
      </c>
      <c r="I460" s="145" t="s">
        <v>890</v>
      </c>
      <c r="J460" s="172">
        <f t="shared" si="10"/>
        <v>414</v>
      </c>
      <c r="K460" s="171">
        <f t="shared" si="11"/>
        <v>414</v>
      </c>
    </row>
    <row r="461" spans="1:11" x14ac:dyDescent="0.2">
      <c r="I461" s="145" t="s">
        <v>881</v>
      </c>
      <c r="J461" s="172" t="str">
        <f t="shared" si="10"/>
        <v/>
      </c>
      <c r="K461" s="171">
        <f t="shared" si="11"/>
        <v>415</v>
      </c>
    </row>
    <row r="462" spans="1:11" x14ac:dyDescent="0.2">
      <c r="I462" s="145" t="s">
        <v>882</v>
      </c>
      <c r="J462" s="172" t="str">
        <f t="shared" si="10"/>
        <v/>
      </c>
      <c r="K462" s="171">
        <f t="shared" si="11"/>
        <v>415</v>
      </c>
    </row>
    <row r="463" spans="1:11" x14ac:dyDescent="0.2">
      <c r="I463" s="145"/>
      <c r="J463" s="172" t="str">
        <f t="shared" si="10"/>
        <v/>
      </c>
      <c r="K463" s="171">
        <f t="shared" si="11"/>
        <v>415</v>
      </c>
    </row>
    <row r="464" spans="1:11" x14ac:dyDescent="0.2">
      <c r="A464" s="109">
        <v>45</v>
      </c>
      <c r="B464" s="109" t="s">
        <v>782</v>
      </c>
      <c r="F464" s="317" t="s">
        <v>772</v>
      </c>
      <c r="G464" s="110">
        <v>2</v>
      </c>
      <c r="I464" s="145" t="s">
        <v>783</v>
      </c>
      <c r="J464" s="172">
        <f t="shared" si="10"/>
        <v>415</v>
      </c>
      <c r="K464" s="171">
        <f t="shared" si="11"/>
        <v>415</v>
      </c>
    </row>
    <row r="465" spans="1:11" x14ac:dyDescent="0.2">
      <c r="I465" s="145"/>
      <c r="J465" s="172" t="str">
        <f t="shared" si="10"/>
        <v/>
      </c>
      <c r="K465" s="171">
        <f t="shared" si="11"/>
        <v>417</v>
      </c>
    </row>
    <row r="466" spans="1:11" x14ac:dyDescent="0.2">
      <c r="B466" s="173" t="s">
        <v>919</v>
      </c>
      <c r="J466" s="172" t="str">
        <f t="shared" si="10"/>
        <v/>
      </c>
      <c r="K466" s="171">
        <f t="shared" si="11"/>
        <v>417</v>
      </c>
    </row>
    <row r="467" spans="1:11" x14ac:dyDescent="0.2">
      <c r="B467" s="121"/>
      <c r="I467" s="145"/>
      <c r="J467" s="172" t="str">
        <f t="shared" si="10"/>
        <v/>
      </c>
      <c r="K467" s="171">
        <f t="shared" si="11"/>
        <v>417</v>
      </c>
    </row>
    <row r="468" spans="1:11" x14ac:dyDescent="0.2">
      <c r="A468" s="109">
        <v>46</v>
      </c>
      <c r="B468" s="121" t="s">
        <v>920</v>
      </c>
      <c r="F468" s="317" t="s">
        <v>701</v>
      </c>
      <c r="G468" s="110">
        <v>16</v>
      </c>
      <c r="I468" s="145" t="s">
        <v>921</v>
      </c>
      <c r="J468" s="172">
        <f t="shared" si="10"/>
        <v>417</v>
      </c>
      <c r="K468" s="171">
        <f t="shared" si="11"/>
        <v>417</v>
      </c>
    </row>
    <row r="469" spans="1:11" x14ac:dyDescent="0.2">
      <c r="B469" s="121"/>
      <c r="I469" s="145"/>
      <c r="J469" s="172" t="str">
        <f t="shared" si="10"/>
        <v/>
      </c>
      <c r="K469" s="171">
        <f t="shared" si="11"/>
        <v>433</v>
      </c>
    </row>
    <row r="470" spans="1:11" x14ac:dyDescent="0.2">
      <c r="A470" s="109">
        <v>47</v>
      </c>
      <c r="B470" s="121" t="s">
        <v>922</v>
      </c>
      <c r="D470" s="317" t="s">
        <v>792</v>
      </c>
      <c r="F470" s="317" t="s">
        <v>701</v>
      </c>
      <c r="G470" s="110">
        <v>8</v>
      </c>
      <c r="I470" s="145" t="s">
        <v>923</v>
      </c>
      <c r="J470" s="172">
        <f t="shared" si="10"/>
        <v>433</v>
      </c>
      <c r="K470" s="171">
        <f t="shared" si="11"/>
        <v>433</v>
      </c>
    </row>
    <row r="471" spans="1:11" x14ac:dyDescent="0.2">
      <c r="B471" s="121"/>
      <c r="I471" s="145"/>
      <c r="J471" s="172" t="str">
        <f t="shared" si="10"/>
        <v/>
      </c>
      <c r="K471" s="171">
        <f t="shared" si="11"/>
        <v>441</v>
      </c>
    </row>
    <row r="472" spans="1:11" x14ac:dyDescent="0.2">
      <c r="A472" s="109">
        <v>48</v>
      </c>
      <c r="B472" s="121" t="s">
        <v>924</v>
      </c>
      <c r="D472" s="317" t="s">
        <v>792</v>
      </c>
      <c r="F472" s="317" t="s">
        <v>701</v>
      </c>
      <c r="G472" s="110">
        <v>8</v>
      </c>
      <c r="I472" s="145" t="s">
        <v>925</v>
      </c>
      <c r="J472" s="172">
        <f t="shared" si="10"/>
        <v>441</v>
      </c>
      <c r="K472" s="171">
        <f t="shared" si="11"/>
        <v>441</v>
      </c>
    </row>
    <row r="473" spans="1:11" x14ac:dyDescent="0.2">
      <c r="B473" s="121"/>
      <c r="I473" s="145"/>
      <c r="J473" s="172" t="str">
        <f t="shared" si="10"/>
        <v/>
      </c>
      <c r="K473" s="171">
        <f t="shared" si="11"/>
        <v>449</v>
      </c>
    </row>
    <row r="474" spans="1:11" x14ac:dyDescent="0.2">
      <c r="A474" s="109">
        <v>49</v>
      </c>
      <c r="B474" s="121" t="s">
        <v>926</v>
      </c>
      <c r="F474" s="317" t="s">
        <v>772</v>
      </c>
      <c r="G474" s="110">
        <v>1</v>
      </c>
      <c r="I474" s="145" t="s">
        <v>927</v>
      </c>
      <c r="J474" s="172">
        <f t="shared" si="10"/>
        <v>449</v>
      </c>
      <c r="K474" s="171">
        <f t="shared" si="11"/>
        <v>449</v>
      </c>
    </row>
    <row r="475" spans="1:11" x14ac:dyDescent="0.2">
      <c r="B475" s="121"/>
      <c r="I475" s="145"/>
      <c r="J475" s="172" t="str">
        <f t="shared" si="10"/>
        <v/>
      </c>
      <c r="K475" s="171">
        <f t="shared" si="11"/>
        <v>450</v>
      </c>
    </row>
    <row r="476" spans="1:11" x14ac:dyDescent="0.2">
      <c r="A476" s="109">
        <v>50</v>
      </c>
      <c r="B476" s="121" t="s">
        <v>928</v>
      </c>
      <c r="D476" s="317" t="s">
        <v>792</v>
      </c>
      <c r="F476" s="317" t="s">
        <v>701</v>
      </c>
      <c r="G476" s="110">
        <v>8</v>
      </c>
      <c r="I476" s="145" t="s">
        <v>929</v>
      </c>
      <c r="J476" s="172">
        <f t="shared" si="10"/>
        <v>450</v>
      </c>
      <c r="K476" s="171">
        <f t="shared" si="11"/>
        <v>450</v>
      </c>
    </row>
    <row r="477" spans="1:11" x14ac:dyDescent="0.2">
      <c r="B477" s="121"/>
      <c r="I477" s="145"/>
      <c r="J477" s="172" t="str">
        <f t="shared" si="10"/>
        <v/>
      </c>
      <c r="K477" s="171">
        <f t="shared" si="11"/>
        <v>458</v>
      </c>
    </row>
    <row r="478" spans="1:11" x14ac:dyDescent="0.2">
      <c r="A478" s="313">
        <v>51</v>
      </c>
      <c r="B478" s="312" t="s">
        <v>83</v>
      </c>
      <c r="C478" s="313"/>
      <c r="D478" s="328"/>
      <c r="E478" s="314"/>
      <c r="F478" s="328" t="s">
        <v>701</v>
      </c>
      <c r="G478" s="314">
        <v>16</v>
      </c>
      <c r="H478" s="313"/>
      <c r="I478" s="315" t="s">
        <v>930</v>
      </c>
      <c r="J478" s="172">
        <f t="shared" si="10"/>
        <v>458</v>
      </c>
      <c r="K478" s="171">
        <f t="shared" si="11"/>
        <v>458</v>
      </c>
    </row>
    <row r="479" spans="1:11" x14ac:dyDescent="0.2">
      <c r="A479" s="313"/>
      <c r="B479" s="312"/>
      <c r="C479" s="313"/>
      <c r="D479" s="328"/>
      <c r="E479" s="314"/>
      <c r="F479" s="328"/>
      <c r="G479" s="314"/>
      <c r="H479" s="313"/>
      <c r="I479" s="315"/>
      <c r="J479" s="172" t="str">
        <f t="shared" si="10"/>
        <v/>
      </c>
      <c r="K479" s="171">
        <f t="shared" si="11"/>
        <v>474</v>
      </c>
    </row>
    <row r="480" spans="1:11" x14ac:dyDescent="0.2">
      <c r="A480" s="109">
        <v>52</v>
      </c>
      <c r="B480" s="121" t="s">
        <v>931</v>
      </c>
      <c r="D480" s="317" t="s">
        <v>792</v>
      </c>
      <c r="F480" s="317" t="s">
        <v>701</v>
      </c>
      <c r="G480" s="110">
        <v>8</v>
      </c>
      <c r="I480" s="145" t="s">
        <v>932</v>
      </c>
      <c r="J480" s="172">
        <f t="shared" si="10"/>
        <v>474</v>
      </c>
      <c r="K480" s="171">
        <f t="shared" si="11"/>
        <v>474</v>
      </c>
    </row>
    <row r="481" spans="1:11" x14ac:dyDescent="0.2">
      <c r="B481" s="121"/>
      <c r="I481" s="145"/>
      <c r="J481" s="172" t="str">
        <f t="shared" si="10"/>
        <v/>
      </c>
      <c r="K481" s="171">
        <f t="shared" si="11"/>
        <v>482</v>
      </c>
    </row>
    <row r="482" spans="1:11" x14ac:dyDescent="0.2">
      <c r="A482" s="313">
        <v>53</v>
      </c>
      <c r="B482" s="312" t="s">
        <v>933</v>
      </c>
      <c r="C482" s="313"/>
      <c r="D482" s="328"/>
      <c r="E482" s="314"/>
      <c r="F482" s="328" t="s">
        <v>772</v>
      </c>
      <c r="G482" s="314">
        <v>1</v>
      </c>
      <c r="H482" s="313"/>
      <c r="I482" s="315" t="s">
        <v>934</v>
      </c>
      <c r="J482" s="172">
        <f t="shared" si="10"/>
        <v>482</v>
      </c>
      <c r="K482" s="171">
        <f t="shared" si="11"/>
        <v>482</v>
      </c>
    </row>
    <row r="483" spans="1:11" x14ac:dyDescent="0.2">
      <c r="A483" s="313"/>
      <c r="B483" s="312"/>
      <c r="C483" s="313"/>
      <c r="D483" s="328"/>
      <c r="E483" s="314"/>
      <c r="F483" s="328"/>
      <c r="G483" s="314"/>
      <c r="H483" s="313"/>
      <c r="I483" s="315"/>
      <c r="J483" s="172" t="str">
        <f t="shared" si="10"/>
        <v/>
      </c>
      <c r="K483" s="171">
        <f t="shared" si="11"/>
        <v>483</v>
      </c>
    </row>
    <row r="484" spans="1:11" x14ac:dyDescent="0.2">
      <c r="A484" s="313">
        <v>54</v>
      </c>
      <c r="B484" s="312" t="s">
        <v>935</v>
      </c>
      <c r="C484" s="313"/>
      <c r="D484" s="328" t="s">
        <v>792</v>
      </c>
      <c r="E484" s="314"/>
      <c r="F484" s="328" t="s">
        <v>701</v>
      </c>
      <c r="G484" s="314">
        <v>8</v>
      </c>
      <c r="H484" s="313"/>
      <c r="I484" s="315" t="s">
        <v>936</v>
      </c>
      <c r="J484" s="172">
        <f t="shared" si="10"/>
        <v>483</v>
      </c>
      <c r="K484" s="171">
        <f t="shared" si="11"/>
        <v>483</v>
      </c>
    </row>
    <row r="485" spans="1:11" x14ac:dyDescent="0.2">
      <c r="A485" s="313"/>
      <c r="B485" s="312"/>
      <c r="C485" s="313"/>
      <c r="D485" s="328"/>
      <c r="E485" s="314"/>
      <c r="F485" s="328"/>
      <c r="G485" s="314"/>
      <c r="H485" s="313"/>
      <c r="I485" s="315"/>
      <c r="J485" s="172" t="str">
        <f t="shared" si="10"/>
        <v/>
      </c>
      <c r="K485" s="171">
        <f t="shared" si="11"/>
        <v>491</v>
      </c>
    </row>
    <row r="486" spans="1:11" x14ac:dyDescent="0.2">
      <c r="A486" s="109">
        <v>55</v>
      </c>
      <c r="B486" s="109" t="s">
        <v>937</v>
      </c>
      <c r="D486" s="317" t="s">
        <v>792</v>
      </c>
      <c r="F486" s="317" t="s">
        <v>701</v>
      </c>
      <c r="G486" s="110">
        <v>8</v>
      </c>
      <c r="I486" s="145" t="s">
        <v>938</v>
      </c>
      <c r="J486" s="172">
        <f t="shared" si="10"/>
        <v>491</v>
      </c>
      <c r="K486" s="171">
        <f t="shared" si="11"/>
        <v>491</v>
      </c>
    </row>
    <row r="487" spans="1:11" x14ac:dyDescent="0.2">
      <c r="B487" s="121"/>
      <c r="I487" s="145"/>
      <c r="J487" s="172" t="str">
        <f t="shared" si="10"/>
        <v/>
      </c>
      <c r="K487" s="171">
        <f t="shared" si="11"/>
        <v>499</v>
      </c>
    </row>
    <row r="488" spans="1:11" x14ac:dyDescent="0.2">
      <c r="A488" s="109">
        <v>56</v>
      </c>
      <c r="B488" s="121" t="s">
        <v>939</v>
      </c>
      <c r="F488" s="317" t="s">
        <v>772</v>
      </c>
      <c r="G488" s="110">
        <v>1</v>
      </c>
      <c r="I488" s="145" t="s">
        <v>940</v>
      </c>
      <c r="J488" s="172">
        <f t="shared" si="10"/>
        <v>499</v>
      </c>
      <c r="K488" s="171">
        <f t="shared" si="11"/>
        <v>499</v>
      </c>
    </row>
    <row r="489" spans="1:11" x14ac:dyDescent="0.2">
      <c r="B489" s="121"/>
      <c r="I489" s="145" t="s">
        <v>941</v>
      </c>
      <c r="J489" s="172" t="str">
        <f t="shared" si="10"/>
        <v/>
      </c>
      <c r="K489" s="171">
        <f t="shared" si="11"/>
        <v>500</v>
      </c>
    </row>
    <row r="490" spans="1:11" x14ac:dyDescent="0.2">
      <c r="B490" s="121"/>
      <c r="I490" s="145" t="s">
        <v>942</v>
      </c>
      <c r="J490" s="172" t="str">
        <f t="shared" si="10"/>
        <v/>
      </c>
      <c r="K490" s="171">
        <f t="shared" si="11"/>
        <v>500</v>
      </c>
    </row>
    <row r="491" spans="1:11" x14ac:dyDescent="0.2">
      <c r="B491" s="121"/>
      <c r="I491" s="145"/>
      <c r="J491" s="172" t="str">
        <f t="shared" si="10"/>
        <v/>
      </c>
      <c r="K491" s="171">
        <f t="shared" si="11"/>
        <v>500</v>
      </c>
    </row>
    <row r="492" spans="1:11" x14ac:dyDescent="0.2">
      <c r="A492" s="313">
        <v>57</v>
      </c>
      <c r="B492" s="312" t="s">
        <v>943</v>
      </c>
      <c r="C492" s="313"/>
      <c r="D492" s="328" t="s">
        <v>792</v>
      </c>
      <c r="E492" s="314"/>
      <c r="F492" s="328" t="s">
        <v>701</v>
      </c>
      <c r="G492" s="314">
        <v>8</v>
      </c>
      <c r="H492" s="313"/>
      <c r="I492" s="315" t="s">
        <v>944</v>
      </c>
      <c r="J492" s="172">
        <f t="shared" si="10"/>
        <v>500</v>
      </c>
      <c r="K492" s="171">
        <f t="shared" si="11"/>
        <v>500</v>
      </c>
    </row>
    <row r="493" spans="1:11" x14ac:dyDescent="0.2">
      <c r="B493" s="121"/>
      <c r="I493" s="145"/>
      <c r="J493" s="172" t="str">
        <f t="shared" si="10"/>
        <v/>
      </c>
      <c r="K493" s="171">
        <f t="shared" si="11"/>
        <v>508</v>
      </c>
    </row>
    <row r="494" spans="1:11" x14ac:dyDescent="0.2">
      <c r="A494" s="109">
        <v>58</v>
      </c>
      <c r="B494" s="121" t="s">
        <v>945</v>
      </c>
      <c r="F494" s="317" t="s">
        <v>772</v>
      </c>
      <c r="G494" s="110">
        <v>1</v>
      </c>
      <c r="I494" s="145" t="s">
        <v>946</v>
      </c>
      <c r="J494" s="172">
        <f t="shared" si="10"/>
        <v>508</v>
      </c>
      <c r="K494" s="171">
        <f t="shared" si="11"/>
        <v>508</v>
      </c>
    </row>
    <row r="495" spans="1:11" x14ac:dyDescent="0.2">
      <c r="B495" s="121"/>
      <c r="I495" s="145" t="s">
        <v>947</v>
      </c>
      <c r="J495" s="172" t="str">
        <f t="shared" si="10"/>
        <v/>
      </c>
      <c r="K495" s="171">
        <f t="shared" si="11"/>
        <v>509</v>
      </c>
    </row>
    <row r="496" spans="1:11" x14ac:dyDescent="0.2">
      <c r="B496" s="121"/>
      <c r="I496" s="145" t="s">
        <v>948</v>
      </c>
      <c r="J496" s="172" t="str">
        <f t="shared" si="10"/>
        <v/>
      </c>
      <c r="K496" s="171">
        <f t="shared" si="11"/>
        <v>509</v>
      </c>
    </row>
    <row r="497" spans="1:11" x14ac:dyDescent="0.2">
      <c r="B497" s="121"/>
      <c r="I497" s="145"/>
      <c r="J497" s="172" t="str">
        <f t="shared" si="10"/>
        <v/>
      </c>
      <c r="K497" s="171">
        <f t="shared" si="11"/>
        <v>509</v>
      </c>
    </row>
    <row r="498" spans="1:11" x14ac:dyDescent="0.2">
      <c r="A498" s="109">
        <v>59</v>
      </c>
      <c r="B498" s="109" t="s">
        <v>949</v>
      </c>
      <c r="F498" s="317" t="s">
        <v>772</v>
      </c>
      <c r="G498" s="110">
        <v>1</v>
      </c>
      <c r="I498" s="145" t="s">
        <v>950</v>
      </c>
      <c r="J498" s="172">
        <f t="shared" si="10"/>
        <v>509</v>
      </c>
      <c r="K498" s="171">
        <f t="shared" si="11"/>
        <v>509</v>
      </c>
    </row>
    <row r="499" spans="1:11" x14ac:dyDescent="0.2">
      <c r="I499" s="145" t="s">
        <v>947</v>
      </c>
      <c r="J499" s="172" t="str">
        <f t="shared" si="10"/>
        <v/>
      </c>
      <c r="K499" s="171">
        <f t="shared" si="11"/>
        <v>510</v>
      </c>
    </row>
    <row r="500" spans="1:11" x14ac:dyDescent="0.2">
      <c r="I500" s="145" t="s">
        <v>948</v>
      </c>
      <c r="J500" s="172" t="str">
        <f t="shared" si="10"/>
        <v/>
      </c>
      <c r="K500" s="171">
        <f t="shared" si="11"/>
        <v>510</v>
      </c>
    </row>
    <row r="501" spans="1:11" x14ac:dyDescent="0.2">
      <c r="B501" s="121"/>
      <c r="I501" s="145"/>
      <c r="J501" s="172" t="str">
        <f t="shared" si="10"/>
        <v/>
      </c>
      <c r="K501" s="171">
        <f t="shared" si="11"/>
        <v>510</v>
      </c>
    </row>
    <row r="502" spans="1:11" ht="30" x14ac:dyDescent="0.2">
      <c r="A502" s="109">
        <v>60</v>
      </c>
      <c r="B502" s="121" t="s">
        <v>951</v>
      </c>
      <c r="F502" s="317" t="s">
        <v>772</v>
      </c>
      <c r="G502" s="110">
        <v>12</v>
      </c>
      <c r="I502" s="145" t="s">
        <v>952</v>
      </c>
      <c r="J502" s="172">
        <f t="shared" si="10"/>
        <v>510</v>
      </c>
      <c r="K502" s="171">
        <f t="shared" si="11"/>
        <v>510</v>
      </c>
    </row>
    <row r="503" spans="1:11" x14ac:dyDescent="0.2">
      <c r="B503" s="121"/>
      <c r="I503" s="145" t="s">
        <v>953</v>
      </c>
      <c r="J503" s="172" t="str">
        <f t="shared" si="10"/>
        <v/>
      </c>
      <c r="K503" s="171">
        <f t="shared" si="11"/>
        <v>522</v>
      </c>
    </row>
    <row r="504" spans="1:11" x14ac:dyDescent="0.2">
      <c r="J504" s="172" t="str">
        <f t="shared" si="10"/>
        <v/>
      </c>
      <c r="K504" s="171">
        <f t="shared" si="11"/>
        <v>522</v>
      </c>
    </row>
    <row r="505" spans="1:11" x14ac:dyDescent="0.2">
      <c r="A505" s="109">
        <v>61</v>
      </c>
      <c r="B505" s="121" t="s">
        <v>891</v>
      </c>
      <c r="F505" s="317" t="s">
        <v>772</v>
      </c>
      <c r="G505" s="110">
        <v>30</v>
      </c>
      <c r="I505" s="145" t="s">
        <v>892</v>
      </c>
      <c r="J505" s="172">
        <f t="shared" si="10"/>
        <v>522</v>
      </c>
      <c r="K505" s="171">
        <f t="shared" si="11"/>
        <v>522</v>
      </c>
    </row>
    <row r="506" spans="1:11" x14ac:dyDescent="0.2">
      <c r="B506" s="121"/>
      <c r="I506" s="145" t="s">
        <v>893</v>
      </c>
      <c r="J506" s="172" t="str">
        <f t="shared" si="10"/>
        <v/>
      </c>
      <c r="K506" s="171">
        <f t="shared" si="11"/>
        <v>552</v>
      </c>
    </row>
    <row r="507" spans="1:11" x14ac:dyDescent="0.2">
      <c r="I507" s="145" t="s">
        <v>894</v>
      </c>
      <c r="J507" s="172" t="str">
        <f t="shared" si="10"/>
        <v/>
      </c>
      <c r="K507" s="171">
        <f t="shared" si="11"/>
        <v>552</v>
      </c>
    </row>
    <row r="508" spans="1:11" x14ac:dyDescent="0.2">
      <c r="J508" s="172" t="str">
        <f t="shared" si="10"/>
        <v/>
      </c>
      <c r="K508" s="171">
        <f t="shared" si="11"/>
        <v>552</v>
      </c>
    </row>
    <row r="509" spans="1:11" x14ac:dyDescent="0.2">
      <c r="A509" s="109">
        <v>62</v>
      </c>
      <c r="B509" s="121" t="s">
        <v>895</v>
      </c>
      <c r="F509" s="317" t="s">
        <v>772</v>
      </c>
      <c r="G509" s="110">
        <v>30</v>
      </c>
      <c r="I509" s="145" t="s">
        <v>896</v>
      </c>
      <c r="J509" s="172">
        <f t="shared" si="10"/>
        <v>552</v>
      </c>
      <c r="K509" s="171">
        <f t="shared" si="11"/>
        <v>552</v>
      </c>
    </row>
    <row r="510" spans="1:11" x14ac:dyDescent="0.2">
      <c r="I510" s="145" t="s">
        <v>894</v>
      </c>
      <c r="J510" s="172" t="str">
        <f t="shared" si="10"/>
        <v/>
      </c>
      <c r="K510" s="171">
        <f t="shared" si="11"/>
        <v>582</v>
      </c>
    </row>
    <row r="511" spans="1:11" x14ac:dyDescent="0.2">
      <c r="I511" s="145"/>
      <c r="J511" s="172" t="str">
        <f t="shared" si="10"/>
        <v/>
      </c>
      <c r="K511" s="171">
        <f t="shared" si="11"/>
        <v>582</v>
      </c>
    </row>
    <row r="512" spans="1:11" x14ac:dyDescent="0.2">
      <c r="A512" s="109">
        <v>63</v>
      </c>
      <c r="B512" s="121" t="s">
        <v>954</v>
      </c>
      <c r="F512" s="317" t="s">
        <v>772</v>
      </c>
      <c r="G512" s="110">
        <v>9</v>
      </c>
      <c r="I512" s="145" t="s">
        <v>955</v>
      </c>
      <c r="J512" s="172">
        <f t="shared" si="10"/>
        <v>582</v>
      </c>
      <c r="K512" s="171">
        <f t="shared" si="11"/>
        <v>582</v>
      </c>
    </row>
    <row r="513" spans="1:11" x14ac:dyDescent="0.2">
      <c r="I513" s="145"/>
      <c r="J513" s="172" t="str">
        <f t="shared" si="10"/>
        <v/>
      </c>
      <c r="K513" s="171">
        <f t="shared" si="11"/>
        <v>591</v>
      </c>
    </row>
    <row r="514" spans="1:11" x14ac:dyDescent="0.2">
      <c r="A514" s="109">
        <v>64</v>
      </c>
      <c r="B514" s="121" t="s">
        <v>823</v>
      </c>
      <c r="F514" s="317" t="s">
        <v>772</v>
      </c>
      <c r="G514" s="110">
        <v>22</v>
      </c>
      <c r="I514" s="145" t="s">
        <v>900</v>
      </c>
      <c r="J514" s="172">
        <f t="shared" si="10"/>
        <v>591</v>
      </c>
      <c r="K514" s="171">
        <f t="shared" si="11"/>
        <v>591</v>
      </c>
    </row>
    <row r="515" spans="1:11" x14ac:dyDescent="0.2">
      <c r="I515" s="145" t="s">
        <v>899</v>
      </c>
      <c r="J515" s="172" t="str">
        <f t="shared" ref="J515:J578" si="12">IF(A515=1, 4,IF(G515="", "",+K515))</f>
        <v/>
      </c>
      <c r="K515" s="171">
        <f t="shared" ref="K515:K533" si="13">IF(A515=1,1,+K514+G514)</f>
        <v>613</v>
      </c>
    </row>
    <row r="516" spans="1:11" x14ac:dyDescent="0.2">
      <c r="B516" s="121"/>
      <c r="I516" s="145"/>
      <c r="J516" s="172" t="str">
        <f t="shared" si="12"/>
        <v/>
      </c>
      <c r="K516" s="171">
        <f t="shared" si="13"/>
        <v>613</v>
      </c>
    </row>
    <row r="517" spans="1:11" x14ac:dyDescent="0.2">
      <c r="A517" s="109">
        <v>65</v>
      </c>
      <c r="B517" s="121" t="s">
        <v>782</v>
      </c>
      <c r="F517" s="317" t="s">
        <v>772</v>
      </c>
      <c r="G517" s="110">
        <v>30</v>
      </c>
      <c r="I517" s="145" t="s">
        <v>783</v>
      </c>
      <c r="J517" s="172">
        <f t="shared" si="12"/>
        <v>613</v>
      </c>
      <c r="K517" s="171">
        <f t="shared" si="13"/>
        <v>613</v>
      </c>
    </row>
    <row r="518" spans="1:11" x14ac:dyDescent="0.2">
      <c r="B518" s="121"/>
      <c r="I518" s="145"/>
      <c r="J518" s="172" t="str">
        <f t="shared" si="12"/>
        <v/>
      </c>
      <c r="K518" s="171">
        <f t="shared" si="13"/>
        <v>643</v>
      </c>
    </row>
    <row r="519" spans="1:11" x14ac:dyDescent="0.2">
      <c r="A519" s="109">
        <v>66</v>
      </c>
      <c r="B519" s="121" t="s">
        <v>901</v>
      </c>
      <c r="F519" s="317" t="s">
        <v>772</v>
      </c>
      <c r="G519" s="110">
        <v>1</v>
      </c>
      <c r="I519" s="145" t="s">
        <v>956</v>
      </c>
      <c r="J519" s="172">
        <f t="shared" si="12"/>
        <v>643</v>
      </c>
      <c r="K519" s="171">
        <f t="shared" si="13"/>
        <v>643</v>
      </c>
    </row>
    <row r="520" spans="1:11" x14ac:dyDescent="0.2">
      <c r="I520" s="145" t="s">
        <v>903</v>
      </c>
      <c r="J520" s="172" t="str">
        <f t="shared" si="12"/>
        <v/>
      </c>
      <c r="K520" s="171">
        <f t="shared" si="13"/>
        <v>644</v>
      </c>
    </row>
    <row r="521" spans="1:11" x14ac:dyDescent="0.2">
      <c r="I521" s="145" t="s">
        <v>904</v>
      </c>
      <c r="J521" s="172" t="str">
        <f t="shared" si="12"/>
        <v/>
      </c>
      <c r="K521" s="171">
        <f t="shared" si="13"/>
        <v>644</v>
      </c>
    </row>
    <row r="522" spans="1:11" x14ac:dyDescent="0.2">
      <c r="I522" s="145"/>
      <c r="J522" s="172" t="str">
        <f t="shared" si="12"/>
        <v/>
      </c>
      <c r="K522" s="171">
        <f t="shared" si="13"/>
        <v>644</v>
      </c>
    </row>
    <row r="523" spans="1:11" x14ac:dyDescent="0.2">
      <c r="A523" s="109">
        <v>67</v>
      </c>
      <c r="B523" s="109" t="s">
        <v>957</v>
      </c>
      <c r="F523" s="317" t="s">
        <v>772</v>
      </c>
      <c r="G523" s="110">
        <v>1</v>
      </c>
      <c r="I523" s="145" t="s">
        <v>958</v>
      </c>
      <c r="J523" s="172">
        <f t="shared" si="12"/>
        <v>644</v>
      </c>
      <c r="K523" s="171">
        <f t="shared" si="13"/>
        <v>644</v>
      </c>
    </row>
    <row r="524" spans="1:11" x14ac:dyDescent="0.2">
      <c r="I524" s="145" t="s">
        <v>959</v>
      </c>
      <c r="J524" s="172" t="str">
        <f t="shared" si="12"/>
        <v/>
      </c>
      <c r="K524" s="171">
        <f t="shared" si="13"/>
        <v>645</v>
      </c>
    </row>
    <row r="525" spans="1:11" x14ac:dyDescent="0.2">
      <c r="I525" s="145" t="s">
        <v>960</v>
      </c>
      <c r="J525" s="172" t="str">
        <f t="shared" si="12"/>
        <v/>
      </c>
      <c r="K525" s="171">
        <f t="shared" si="13"/>
        <v>645</v>
      </c>
    </row>
    <row r="526" spans="1:11" x14ac:dyDescent="0.2">
      <c r="I526" s="145"/>
      <c r="J526" s="172" t="str">
        <f t="shared" si="12"/>
        <v/>
      </c>
      <c r="K526" s="171">
        <f t="shared" si="13"/>
        <v>645</v>
      </c>
    </row>
    <row r="527" spans="1:11" x14ac:dyDescent="0.2">
      <c r="A527" s="109">
        <v>68</v>
      </c>
      <c r="B527" s="121" t="s">
        <v>961</v>
      </c>
      <c r="F527" s="317" t="s">
        <v>701</v>
      </c>
      <c r="G527" s="110">
        <v>11</v>
      </c>
      <c r="I527" s="145" t="s">
        <v>962</v>
      </c>
      <c r="J527" s="172">
        <f t="shared" si="12"/>
        <v>645</v>
      </c>
      <c r="K527" s="171">
        <f t="shared" si="13"/>
        <v>645</v>
      </c>
    </row>
    <row r="528" spans="1:11" x14ac:dyDescent="0.2">
      <c r="B528" s="121"/>
      <c r="I528" s="145"/>
      <c r="J528" s="172" t="str">
        <f t="shared" si="12"/>
        <v/>
      </c>
      <c r="K528" s="171">
        <f t="shared" si="13"/>
        <v>656</v>
      </c>
    </row>
    <row r="529" spans="1:11" ht="30" x14ac:dyDescent="0.2">
      <c r="A529" s="109">
        <v>69</v>
      </c>
      <c r="B529" s="121" t="s">
        <v>963</v>
      </c>
      <c r="F529" s="317" t="s">
        <v>772</v>
      </c>
      <c r="G529" s="110">
        <v>1</v>
      </c>
      <c r="I529" s="145" t="s">
        <v>964</v>
      </c>
      <c r="J529" s="172">
        <f t="shared" si="12"/>
        <v>656</v>
      </c>
      <c r="K529" s="171">
        <f t="shared" si="13"/>
        <v>656</v>
      </c>
    </row>
    <row r="530" spans="1:11" x14ac:dyDescent="0.2">
      <c r="I530" s="145" t="s">
        <v>903</v>
      </c>
      <c r="J530" s="172" t="str">
        <f t="shared" si="12"/>
        <v/>
      </c>
      <c r="K530" s="171">
        <f t="shared" si="13"/>
        <v>657</v>
      </c>
    </row>
    <row r="531" spans="1:11" x14ac:dyDescent="0.2">
      <c r="I531" s="145" t="s">
        <v>904</v>
      </c>
      <c r="J531" s="172" t="str">
        <f t="shared" si="12"/>
        <v/>
      </c>
      <c r="K531" s="171">
        <f t="shared" si="13"/>
        <v>657</v>
      </c>
    </row>
    <row r="532" spans="1:11" x14ac:dyDescent="0.2">
      <c r="I532" s="145"/>
      <c r="J532" s="172" t="str">
        <f t="shared" si="12"/>
        <v/>
      </c>
      <c r="K532" s="171">
        <f t="shared" si="13"/>
        <v>657</v>
      </c>
    </row>
    <row r="533" spans="1:11" x14ac:dyDescent="0.2">
      <c r="A533" s="109">
        <v>70</v>
      </c>
      <c r="B533" s="121" t="s">
        <v>782</v>
      </c>
      <c r="F533" s="317" t="s">
        <v>772</v>
      </c>
      <c r="G533" s="110">
        <f>D313-J529-G529+1</f>
        <v>194</v>
      </c>
      <c r="I533" s="145" t="s">
        <v>965</v>
      </c>
      <c r="J533" s="172">
        <f t="shared" si="12"/>
        <v>657</v>
      </c>
      <c r="K533" s="171">
        <f t="shared" si="13"/>
        <v>657</v>
      </c>
    </row>
    <row r="534" spans="1:11" x14ac:dyDescent="0.2">
      <c r="B534" s="121"/>
      <c r="I534" s="145"/>
      <c r="J534" s="172" t="str">
        <f t="shared" si="12"/>
        <v/>
      </c>
      <c r="K534" s="171"/>
    </row>
    <row r="535" spans="1:11" ht="15.75" thickBot="1" x14ac:dyDescent="0.25">
      <c r="B535" s="121"/>
      <c r="I535" s="145"/>
      <c r="J535" s="172" t="str">
        <f t="shared" si="12"/>
        <v/>
      </c>
      <c r="K535" s="171"/>
    </row>
    <row r="536" spans="1:11" ht="16.5" thickTop="1" thickBot="1" x14ac:dyDescent="0.25">
      <c r="B536" s="175" t="s">
        <v>755</v>
      </c>
      <c r="C536" s="139"/>
      <c r="D536" s="323" t="s">
        <v>706</v>
      </c>
      <c r="E536" s="118"/>
      <c r="F536" s="321"/>
      <c r="G536" s="118"/>
      <c r="H536" s="117"/>
      <c r="I536" s="152"/>
      <c r="J536" s="172" t="str">
        <f t="shared" si="12"/>
        <v/>
      </c>
      <c r="K536" s="171"/>
    </row>
    <row r="537" spans="1:11" ht="15.75" thickTop="1" x14ac:dyDescent="0.2">
      <c r="B537" s="138"/>
      <c r="D537" s="321"/>
      <c r="E537" s="118"/>
      <c r="F537" s="321"/>
      <c r="G537" s="118"/>
      <c r="H537" s="117"/>
      <c r="J537" s="172" t="str">
        <f t="shared" si="12"/>
        <v/>
      </c>
      <c r="K537" s="171"/>
    </row>
    <row r="538" spans="1:11" s="121" customFormat="1" ht="30" x14ac:dyDescent="0.2">
      <c r="A538" s="122" t="s">
        <v>1</v>
      </c>
      <c r="B538" s="122" t="s">
        <v>756</v>
      </c>
      <c r="C538" s="122"/>
      <c r="D538" s="329" t="s">
        <v>673</v>
      </c>
      <c r="E538" s="176"/>
      <c r="F538" s="329"/>
      <c r="G538" s="176"/>
      <c r="H538" s="122"/>
      <c r="I538" s="177" t="s">
        <v>966</v>
      </c>
      <c r="J538" s="172" t="str">
        <f t="shared" si="12"/>
        <v/>
      </c>
      <c r="K538" s="110"/>
    </row>
    <row r="539" spans="1:11" s="121" customFormat="1" x14ac:dyDescent="0.2">
      <c r="A539" s="122"/>
      <c r="B539" s="122" t="s">
        <v>757</v>
      </c>
      <c r="C539" s="122"/>
      <c r="D539" s="329">
        <f xml:space="preserve"> F9+D2290</f>
        <v>250</v>
      </c>
      <c r="E539" s="176" t="s">
        <v>758</v>
      </c>
      <c r="F539" s="329"/>
      <c r="G539" s="176"/>
      <c r="H539" s="122"/>
      <c r="I539" s="177"/>
      <c r="J539" s="172" t="str">
        <f t="shared" si="12"/>
        <v/>
      </c>
      <c r="K539" s="110"/>
    </row>
    <row r="540" spans="1:11" s="121" customFormat="1" x14ac:dyDescent="0.2">
      <c r="A540" s="122"/>
      <c r="B540" s="122"/>
      <c r="C540" s="122"/>
      <c r="D540" s="329"/>
      <c r="E540" s="176"/>
      <c r="F540" s="329"/>
      <c r="G540" s="176"/>
      <c r="H540" s="122"/>
      <c r="I540" s="177"/>
      <c r="J540" s="172" t="str">
        <f t="shared" si="12"/>
        <v/>
      </c>
      <c r="K540" s="110"/>
    </row>
    <row r="541" spans="1:11" s="108" customFormat="1" x14ac:dyDescent="0.2">
      <c r="A541" s="165" t="s">
        <v>759</v>
      </c>
      <c r="B541" s="166" t="s">
        <v>712</v>
      </c>
      <c r="C541" s="167"/>
      <c r="D541" s="327" t="s">
        <v>713</v>
      </c>
      <c r="E541" s="168"/>
      <c r="F541" s="327" t="s">
        <v>760</v>
      </c>
      <c r="G541" s="156" t="s">
        <v>715</v>
      </c>
      <c r="H541" s="167"/>
      <c r="I541" s="169" t="s">
        <v>716</v>
      </c>
      <c r="J541" s="172">
        <f t="shared" si="12"/>
        <v>0</v>
      </c>
      <c r="K541" s="171"/>
    </row>
    <row r="542" spans="1:11" x14ac:dyDescent="0.2">
      <c r="A542" s="117" t="s">
        <v>1</v>
      </c>
      <c r="B542" s="117"/>
      <c r="C542" s="117"/>
      <c r="D542" s="321"/>
      <c r="E542" s="118"/>
      <c r="F542" s="321"/>
      <c r="G542" s="118"/>
      <c r="H542" s="117"/>
      <c r="I542" s="144"/>
      <c r="J542" s="172" t="str">
        <f t="shared" si="12"/>
        <v/>
      </c>
      <c r="K542" s="171"/>
    </row>
    <row r="543" spans="1:11" x14ac:dyDescent="0.2">
      <c r="A543" s="121" t="s">
        <v>1</v>
      </c>
      <c r="B543" s="312" t="s">
        <v>762</v>
      </c>
      <c r="C543" s="313"/>
      <c r="D543" s="328"/>
      <c r="E543" s="314"/>
      <c r="F543" s="328"/>
      <c r="G543" s="314"/>
      <c r="H543" s="313"/>
      <c r="I543" s="316"/>
      <c r="J543" s="172" t="str">
        <f t="shared" si="12"/>
        <v/>
      </c>
      <c r="K543" s="171"/>
    </row>
    <row r="544" spans="1:11" x14ac:dyDescent="0.2">
      <c r="A544" s="109">
        <v>1</v>
      </c>
      <c r="B544" s="312" t="s">
        <v>763</v>
      </c>
      <c r="C544" s="313"/>
      <c r="D544" s="328" t="s">
        <v>967</v>
      </c>
      <c r="E544" s="314"/>
      <c r="F544" s="328" t="s">
        <v>701</v>
      </c>
      <c r="G544" s="314">
        <v>4</v>
      </c>
      <c r="H544" s="313"/>
      <c r="I544" s="315" t="s">
        <v>765</v>
      </c>
      <c r="J544" s="172">
        <f t="shared" si="12"/>
        <v>4</v>
      </c>
      <c r="K544" s="171">
        <f t="shared" ref="K544:K605" si="14">IF(A544=1,1,+K543+G543)</f>
        <v>1</v>
      </c>
    </row>
    <row r="545" spans="1:11" x14ac:dyDescent="0.2">
      <c r="J545" s="172" t="str">
        <f t="shared" si="12"/>
        <v/>
      </c>
      <c r="K545" s="171">
        <f t="shared" si="14"/>
        <v>5</v>
      </c>
    </row>
    <row r="546" spans="1:11" x14ac:dyDescent="0.2">
      <c r="A546" s="109">
        <v>2</v>
      </c>
      <c r="B546" s="121" t="s">
        <v>766</v>
      </c>
      <c r="D546" s="317" t="s">
        <v>767</v>
      </c>
      <c r="F546" s="317" t="s">
        <v>701</v>
      </c>
      <c r="G546" s="110">
        <v>1</v>
      </c>
      <c r="I546" s="145" t="s">
        <v>768</v>
      </c>
      <c r="J546" s="172">
        <f t="shared" si="12"/>
        <v>5</v>
      </c>
      <c r="K546" s="171">
        <f t="shared" si="14"/>
        <v>5</v>
      </c>
    </row>
    <row r="547" spans="1:11" x14ac:dyDescent="0.2">
      <c r="J547" s="172" t="str">
        <f t="shared" si="12"/>
        <v/>
      </c>
      <c r="K547" s="171">
        <f t="shared" si="14"/>
        <v>6</v>
      </c>
    </row>
    <row r="548" spans="1:11" x14ac:dyDescent="0.2">
      <c r="A548" s="109">
        <v>3</v>
      </c>
      <c r="B548" s="121" t="s">
        <v>769</v>
      </c>
      <c r="D548" s="317" t="s">
        <v>770</v>
      </c>
      <c r="F548" s="317" t="s">
        <v>701</v>
      </c>
      <c r="G548" s="110">
        <v>4</v>
      </c>
      <c r="I548" s="145" t="s">
        <v>768</v>
      </c>
      <c r="J548" s="172">
        <f t="shared" si="12"/>
        <v>6</v>
      </c>
      <c r="K548" s="171">
        <f t="shared" si="14"/>
        <v>6</v>
      </c>
    </row>
    <row r="549" spans="1:11" x14ac:dyDescent="0.2">
      <c r="J549" s="172" t="str">
        <f t="shared" si="12"/>
        <v/>
      </c>
      <c r="K549" s="171">
        <f t="shared" si="14"/>
        <v>10</v>
      </c>
    </row>
    <row r="550" spans="1:11" x14ac:dyDescent="0.2">
      <c r="A550" s="109">
        <v>4</v>
      </c>
      <c r="B550" s="121" t="s">
        <v>771</v>
      </c>
      <c r="F550" s="317" t="s">
        <v>772</v>
      </c>
      <c r="G550" s="110">
        <v>1</v>
      </c>
      <c r="I550" s="145" t="s">
        <v>773</v>
      </c>
      <c r="J550" s="172">
        <f t="shared" si="12"/>
        <v>10</v>
      </c>
      <c r="K550" s="171">
        <f t="shared" si="14"/>
        <v>10</v>
      </c>
    </row>
    <row r="551" spans="1:11" x14ac:dyDescent="0.2">
      <c r="J551" s="172" t="str">
        <f t="shared" si="12"/>
        <v/>
      </c>
      <c r="K551" s="171">
        <f t="shared" si="14"/>
        <v>11</v>
      </c>
    </row>
    <row r="552" spans="1:11" x14ac:dyDescent="0.2">
      <c r="B552" s="173" t="s">
        <v>832</v>
      </c>
      <c r="J552" s="172" t="str">
        <f t="shared" si="12"/>
        <v/>
      </c>
      <c r="K552" s="171">
        <f t="shared" si="14"/>
        <v>11</v>
      </c>
    </row>
    <row r="553" spans="1:11" x14ac:dyDescent="0.2">
      <c r="J553" s="172" t="str">
        <f t="shared" si="12"/>
        <v/>
      </c>
      <c r="K553" s="171">
        <f t="shared" si="14"/>
        <v>11</v>
      </c>
    </row>
    <row r="554" spans="1:11" x14ac:dyDescent="0.2">
      <c r="A554" s="109">
        <v>5</v>
      </c>
      <c r="B554" s="109" t="s">
        <v>775</v>
      </c>
      <c r="F554" s="317" t="s">
        <v>701</v>
      </c>
      <c r="G554" s="110">
        <v>3</v>
      </c>
      <c r="I554" s="111" t="s">
        <v>968</v>
      </c>
      <c r="J554" s="172">
        <f t="shared" si="12"/>
        <v>11</v>
      </c>
      <c r="K554" s="171">
        <f t="shared" si="14"/>
        <v>11</v>
      </c>
    </row>
    <row r="555" spans="1:11" x14ac:dyDescent="0.2">
      <c r="I555" s="145" t="s">
        <v>777</v>
      </c>
      <c r="J555" s="172" t="str">
        <f t="shared" si="12"/>
        <v/>
      </c>
      <c r="K555" s="171">
        <f t="shared" si="14"/>
        <v>14</v>
      </c>
    </row>
    <row r="556" spans="1:11" x14ac:dyDescent="0.2">
      <c r="J556" s="172" t="str">
        <f t="shared" si="12"/>
        <v/>
      </c>
      <c r="K556" s="171">
        <f t="shared" si="14"/>
        <v>14</v>
      </c>
    </row>
    <row r="557" spans="1:11" x14ac:dyDescent="0.2">
      <c r="A557" s="109">
        <v>6</v>
      </c>
      <c r="B557" s="121" t="s">
        <v>779</v>
      </c>
      <c r="F557" s="317" t="s">
        <v>701</v>
      </c>
      <c r="G557" s="110">
        <v>8</v>
      </c>
      <c r="I557" s="145" t="s">
        <v>969</v>
      </c>
      <c r="J557" s="172">
        <f t="shared" si="12"/>
        <v>14</v>
      </c>
      <c r="K557" s="171">
        <f t="shared" si="14"/>
        <v>14</v>
      </c>
    </row>
    <row r="558" spans="1:11" ht="30" x14ac:dyDescent="0.2">
      <c r="I558" s="111" t="s">
        <v>970</v>
      </c>
      <c r="J558" s="172" t="str">
        <f t="shared" si="12"/>
        <v/>
      </c>
      <c r="K558" s="171">
        <f t="shared" si="14"/>
        <v>22</v>
      </c>
    </row>
    <row r="559" spans="1:11" x14ac:dyDescent="0.2">
      <c r="J559" s="172" t="str">
        <f t="shared" si="12"/>
        <v/>
      </c>
      <c r="K559" s="171">
        <f t="shared" si="14"/>
        <v>22</v>
      </c>
    </row>
    <row r="560" spans="1:11" x14ac:dyDescent="0.2">
      <c r="A560" s="109">
        <v>7</v>
      </c>
      <c r="B560" s="121" t="s">
        <v>833</v>
      </c>
      <c r="F560" s="317" t="s">
        <v>772</v>
      </c>
      <c r="G560" s="110">
        <v>26</v>
      </c>
      <c r="I560" s="145" t="s">
        <v>834</v>
      </c>
      <c r="J560" s="172">
        <f t="shared" si="12"/>
        <v>22</v>
      </c>
      <c r="K560" s="171">
        <f t="shared" si="14"/>
        <v>22</v>
      </c>
    </row>
    <row r="561" spans="1:11" x14ac:dyDescent="0.2">
      <c r="B561" s="121"/>
      <c r="I561" s="145" t="s">
        <v>843</v>
      </c>
      <c r="J561" s="172" t="str">
        <f t="shared" si="12"/>
        <v/>
      </c>
      <c r="K561" s="171">
        <f t="shared" si="14"/>
        <v>48</v>
      </c>
    </row>
    <row r="562" spans="1:11" x14ac:dyDescent="0.2">
      <c r="B562" s="121"/>
      <c r="I562" s="145"/>
      <c r="J562" s="172" t="str">
        <f t="shared" si="12"/>
        <v/>
      </c>
      <c r="K562" s="171">
        <f t="shared" si="14"/>
        <v>48</v>
      </c>
    </row>
    <row r="563" spans="1:11" x14ac:dyDescent="0.2">
      <c r="A563" s="109">
        <v>8</v>
      </c>
      <c r="B563" s="121" t="s">
        <v>835</v>
      </c>
      <c r="F563" s="317" t="s">
        <v>772</v>
      </c>
      <c r="G563" s="110">
        <v>26</v>
      </c>
      <c r="I563" s="145" t="s">
        <v>836</v>
      </c>
      <c r="J563" s="172">
        <f t="shared" si="12"/>
        <v>48</v>
      </c>
      <c r="K563" s="171">
        <f t="shared" si="14"/>
        <v>48</v>
      </c>
    </row>
    <row r="564" spans="1:11" x14ac:dyDescent="0.2">
      <c r="B564" s="121"/>
      <c r="I564" s="145" t="s">
        <v>837</v>
      </c>
      <c r="J564" s="172" t="str">
        <f t="shared" si="12"/>
        <v/>
      </c>
      <c r="K564" s="171">
        <f t="shared" si="14"/>
        <v>74</v>
      </c>
    </row>
    <row r="565" spans="1:11" x14ac:dyDescent="0.2">
      <c r="B565" s="121"/>
      <c r="I565" s="145"/>
      <c r="J565" s="172" t="str">
        <f t="shared" si="12"/>
        <v/>
      </c>
      <c r="K565" s="171">
        <f t="shared" si="14"/>
        <v>74</v>
      </c>
    </row>
    <row r="566" spans="1:11" x14ac:dyDescent="0.2">
      <c r="A566" s="109">
        <v>9</v>
      </c>
      <c r="B566" s="109" t="s">
        <v>798</v>
      </c>
      <c r="F566" s="317" t="s">
        <v>772</v>
      </c>
      <c r="G566" s="110">
        <v>13</v>
      </c>
      <c r="I566" s="111" t="s">
        <v>799</v>
      </c>
      <c r="J566" s="172">
        <f t="shared" si="12"/>
        <v>74</v>
      </c>
      <c r="K566" s="171">
        <f t="shared" si="14"/>
        <v>74</v>
      </c>
    </row>
    <row r="567" spans="1:11" x14ac:dyDescent="0.2">
      <c r="I567" s="111" t="s">
        <v>800</v>
      </c>
      <c r="J567" s="172" t="str">
        <f t="shared" si="12"/>
        <v/>
      </c>
      <c r="K567" s="171">
        <f t="shared" si="14"/>
        <v>87</v>
      </c>
    </row>
    <row r="568" spans="1:11" x14ac:dyDescent="0.2">
      <c r="I568" s="111" t="s">
        <v>801</v>
      </c>
      <c r="J568" s="172" t="str">
        <f t="shared" si="12"/>
        <v/>
      </c>
      <c r="K568" s="171">
        <f t="shared" si="14"/>
        <v>87</v>
      </c>
    </row>
    <row r="569" spans="1:11" ht="30" x14ac:dyDescent="0.2">
      <c r="I569" s="111" t="s">
        <v>802</v>
      </c>
      <c r="J569" s="172" t="str">
        <f t="shared" si="12"/>
        <v/>
      </c>
      <c r="K569" s="171">
        <f t="shared" si="14"/>
        <v>87</v>
      </c>
    </row>
    <row r="570" spans="1:11" x14ac:dyDescent="0.2">
      <c r="I570" s="111" t="s">
        <v>803</v>
      </c>
      <c r="J570" s="172" t="str">
        <f t="shared" si="12"/>
        <v/>
      </c>
      <c r="K570" s="171">
        <f t="shared" si="14"/>
        <v>87</v>
      </c>
    </row>
    <row r="571" spans="1:11" x14ac:dyDescent="0.2">
      <c r="I571" s="111" t="s">
        <v>804</v>
      </c>
      <c r="J571" s="172" t="str">
        <f t="shared" si="12"/>
        <v/>
      </c>
      <c r="K571" s="171">
        <f t="shared" si="14"/>
        <v>87</v>
      </c>
    </row>
    <row r="572" spans="1:11" x14ac:dyDescent="0.2">
      <c r="I572" s="111" t="s">
        <v>805</v>
      </c>
      <c r="J572" s="172" t="str">
        <f t="shared" si="12"/>
        <v/>
      </c>
      <c r="K572" s="171">
        <f t="shared" si="14"/>
        <v>87</v>
      </c>
    </row>
    <row r="573" spans="1:11" x14ac:dyDescent="0.2">
      <c r="I573" s="111" t="s">
        <v>806</v>
      </c>
      <c r="J573" s="172" t="str">
        <f t="shared" si="12"/>
        <v/>
      </c>
      <c r="K573" s="171">
        <f t="shared" si="14"/>
        <v>87</v>
      </c>
    </row>
    <row r="574" spans="1:11" x14ac:dyDescent="0.2">
      <c r="I574" s="111" t="s">
        <v>807</v>
      </c>
      <c r="J574" s="172" t="str">
        <f t="shared" si="12"/>
        <v/>
      </c>
      <c r="K574" s="171">
        <f t="shared" si="14"/>
        <v>87</v>
      </c>
    </row>
    <row r="575" spans="1:11" ht="30" x14ac:dyDescent="0.2">
      <c r="I575" s="111" t="s">
        <v>808</v>
      </c>
      <c r="J575" s="172" t="str">
        <f t="shared" si="12"/>
        <v/>
      </c>
      <c r="K575" s="171">
        <f t="shared" si="14"/>
        <v>87</v>
      </c>
    </row>
    <row r="576" spans="1:11" x14ac:dyDescent="0.2">
      <c r="I576" s="111" t="s">
        <v>809</v>
      </c>
      <c r="J576" s="172" t="str">
        <f t="shared" si="12"/>
        <v/>
      </c>
      <c r="K576" s="171">
        <f t="shared" si="14"/>
        <v>87</v>
      </c>
    </row>
    <row r="577" spans="1:11" x14ac:dyDescent="0.2">
      <c r="J577" s="172" t="str">
        <f t="shared" si="12"/>
        <v/>
      </c>
      <c r="K577" s="171">
        <f t="shared" si="14"/>
        <v>87</v>
      </c>
    </row>
    <row r="578" spans="1:11" ht="30" x14ac:dyDescent="0.2">
      <c r="A578" s="109">
        <v>10</v>
      </c>
      <c r="B578" s="109" t="s">
        <v>838</v>
      </c>
      <c r="F578" s="317" t="s">
        <v>701</v>
      </c>
      <c r="G578" s="110">
        <v>2</v>
      </c>
      <c r="I578" s="145" t="s">
        <v>839</v>
      </c>
      <c r="J578" s="172">
        <f t="shared" si="12"/>
        <v>87</v>
      </c>
      <c r="K578" s="171">
        <f t="shared" si="14"/>
        <v>87</v>
      </c>
    </row>
    <row r="579" spans="1:11" x14ac:dyDescent="0.2">
      <c r="I579" s="145"/>
      <c r="J579" s="172" t="str">
        <f t="shared" ref="J579:J642" si="15">IF(A579=1, 4,IF(G579="", "",+K579))</f>
        <v/>
      </c>
      <c r="K579" s="171">
        <f t="shared" si="14"/>
        <v>89</v>
      </c>
    </row>
    <row r="580" spans="1:11" x14ac:dyDescent="0.2">
      <c r="A580" s="109">
        <v>11</v>
      </c>
      <c r="B580" s="121" t="s">
        <v>891</v>
      </c>
      <c r="F580" s="317" t="s">
        <v>772</v>
      </c>
      <c r="G580" s="110">
        <v>30</v>
      </c>
      <c r="I580" s="145" t="s">
        <v>892</v>
      </c>
      <c r="J580" s="172">
        <f t="shared" si="15"/>
        <v>89</v>
      </c>
      <c r="K580" s="171">
        <f t="shared" si="14"/>
        <v>89</v>
      </c>
    </row>
    <row r="581" spans="1:11" x14ac:dyDescent="0.2">
      <c r="B581" s="121"/>
      <c r="I581" s="145" t="s">
        <v>893</v>
      </c>
      <c r="J581" s="172" t="str">
        <f t="shared" si="15"/>
        <v/>
      </c>
      <c r="K581" s="171">
        <f t="shared" si="14"/>
        <v>119</v>
      </c>
    </row>
    <row r="582" spans="1:11" x14ac:dyDescent="0.2">
      <c r="I582" s="145" t="s">
        <v>894</v>
      </c>
      <c r="J582" s="172" t="str">
        <f t="shared" si="15"/>
        <v/>
      </c>
      <c r="K582" s="171">
        <f t="shared" si="14"/>
        <v>119</v>
      </c>
    </row>
    <row r="583" spans="1:11" x14ac:dyDescent="0.2">
      <c r="J583" s="172" t="str">
        <f t="shared" si="15"/>
        <v/>
      </c>
      <c r="K583" s="171">
        <f t="shared" si="14"/>
        <v>119</v>
      </c>
    </row>
    <row r="584" spans="1:11" x14ac:dyDescent="0.2">
      <c r="A584" s="109">
        <v>12</v>
      </c>
      <c r="B584" s="121" t="s">
        <v>895</v>
      </c>
      <c r="F584" s="317" t="s">
        <v>772</v>
      </c>
      <c r="G584" s="110">
        <v>30</v>
      </c>
      <c r="I584" s="145" t="s">
        <v>896</v>
      </c>
      <c r="J584" s="172">
        <f t="shared" si="15"/>
        <v>119</v>
      </c>
      <c r="K584" s="171">
        <f t="shared" si="14"/>
        <v>119</v>
      </c>
    </row>
    <row r="585" spans="1:11" x14ac:dyDescent="0.2">
      <c r="I585" s="145" t="s">
        <v>894</v>
      </c>
      <c r="J585" s="172" t="str">
        <f t="shared" si="15"/>
        <v/>
      </c>
      <c r="K585" s="171">
        <f t="shared" si="14"/>
        <v>149</v>
      </c>
    </row>
    <row r="586" spans="1:11" x14ac:dyDescent="0.2">
      <c r="A586" s="117" t="s">
        <v>1</v>
      </c>
      <c r="B586" s="117"/>
      <c r="C586" s="117"/>
      <c r="D586" s="321"/>
      <c r="E586" s="118"/>
      <c r="F586" s="321"/>
      <c r="G586" s="118"/>
      <c r="H586" s="117"/>
      <c r="I586" s="144"/>
      <c r="J586" s="172" t="str">
        <f t="shared" si="15"/>
        <v/>
      </c>
      <c r="K586" s="171">
        <f t="shared" si="14"/>
        <v>149</v>
      </c>
    </row>
    <row r="587" spans="1:11" x14ac:dyDescent="0.2">
      <c r="A587" s="109">
        <v>13</v>
      </c>
      <c r="B587" s="121" t="s">
        <v>897</v>
      </c>
      <c r="F587" s="317" t="s">
        <v>772</v>
      </c>
      <c r="G587" s="110">
        <v>9</v>
      </c>
      <c r="I587" s="145" t="s">
        <v>898</v>
      </c>
      <c r="J587" s="172">
        <f t="shared" si="15"/>
        <v>149</v>
      </c>
      <c r="K587" s="171">
        <f t="shared" si="14"/>
        <v>149</v>
      </c>
    </row>
    <row r="588" spans="1:11" x14ac:dyDescent="0.2">
      <c r="I588" s="145" t="s">
        <v>971</v>
      </c>
      <c r="J588" s="172" t="str">
        <f t="shared" si="15"/>
        <v/>
      </c>
      <c r="K588" s="171">
        <f t="shared" si="14"/>
        <v>158</v>
      </c>
    </row>
    <row r="589" spans="1:11" x14ac:dyDescent="0.2">
      <c r="I589" s="145" t="s">
        <v>972</v>
      </c>
      <c r="J589" s="172" t="str">
        <f t="shared" si="15"/>
        <v/>
      </c>
      <c r="K589" s="171">
        <f t="shared" si="14"/>
        <v>158</v>
      </c>
    </row>
    <row r="590" spans="1:11" x14ac:dyDescent="0.2">
      <c r="I590" s="145" t="s">
        <v>973</v>
      </c>
      <c r="J590" s="172" t="str">
        <f t="shared" si="15"/>
        <v/>
      </c>
      <c r="K590" s="171">
        <f t="shared" si="14"/>
        <v>158</v>
      </c>
    </row>
    <row r="591" spans="1:11" x14ac:dyDescent="0.2">
      <c r="I591" s="145" t="s">
        <v>899</v>
      </c>
      <c r="J591" s="172" t="str">
        <f t="shared" si="15"/>
        <v/>
      </c>
      <c r="K591" s="171">
        <f t="shared" si="14"/>
        <v>158</v>
      </c>
    </row>
    <row r="592" spans="1:11" x14ac:dyDescent="0.2">
      <c r="J592" s="172" t="str">
        <f t="shared" si="15"/>
        <v/>
      </c>
      <c r="K592" s="171">
        <f t="shared" si="14"/>
        <v>158</v>
      </c>
    </row>
    <row r="593" spans="1:11" x14ac:dyDescent="0.2">
      <c r="A593" s="109">
        <v>14</v>
      </c>
      <c r="B593" s="121" t="s">
        <v>823</v>
      </c>
      <c r="F593" s="317" t="s">
        <v>772</v>
      </c>
      <c r="G593" s="110">
        <v>22</v>
      </c>
      <c r="I593" s="145" t="s">
        <v>900</v>
      </c>
      <c r="J593" s="172">
        <f t="shared" si="15"/>
        <v>158</v>
      </c>
      <c r="K593" s="171">
        <f t="shared" si="14"/>
        <v>158</v>
      </c>
    </row>
    <row r="594" spans="1:11" x14ac:dyDescent="0.2">
      <c r="I594" s="145" t="s">
        <v>899</v>
      </c>
      <c r="J594" s="172" t="str">
        <f t="shared" si="15"/>
        <v/>
      </c>
      <c r="K594" s="171">
        <f t="shared" si="14"/>
        <v>180</v>
      </c>
    </row>
    <row r="595" spans="1:11" x14ac:dyDescent="0.2">
      <c r="I595" s="145"/>
      <c r="J595" s="172" t="str">
        <f t="shared" si="15"/>
        <v/>
      </c>
      <c r="K595" s="171">
        <f t="shared" si="14"/>
        <v>180</v>
      </c>
    </row>
    <row r="596" spans="1:11" x14ac:dyDescent="0.2">
      <c r="A596" s="109">
        <v>15</v>
      </c>
      <c r="B596" s="121" t="s">
        <v>782</v>
      </c>
      <c r="F596" s="317" t="s">
        <v>772</v>
      </c>
      <c r="G596" s="110">
        <v>49</v>
      </c>
      <c r="I596" s="145" t="s">
        <v>965</v>
      </c>
      <c r="J596" s="172">
        <f t="shared" si="15"/>
        <v>180</v>
      </c>
      <c r="K596" s="171">
        <f t="shared" si="14"/>
        <v>180</v>
      </c>
    </row>
    <row r="597" spans="1:11" x14ac:dyDescent="0.2">
      <c r="I597" s="145"/>
      <c r="J597" s="172" t="str">
        <f t="shared" si="15"/>
        <v/>
      </c>
      <c r="K597" s="171">
        <f t="shared" si="14"/>
        <v>229</v>
      </c>
    </row>
    <row r="598" spans="1:11" x14ac:dyDescent="0.2">
      <c r="B598" s="121"/>
      <c r="I598" s="145"/>
      <c r="J598" s="172" t="str">
        <f t="shared" si="15"/>
        <v/>
      </c>
      <c r="K598" s="171">
        <f t="shared" si="14"/>
        <v>229</v>
      </c>
    </row>
    <row r="599" spans="1:11" ht="30" x14ac:dyDescent="0.2">
      <c r="A599" s="109">
        <v>16</v>
      </c>
      <c r="B599" s="121" t="s">
        <v>901</v>
      </c>
      <c r="F599" s="317" t="s">
        <v>772</v>
      </c>
      <c r="G599" s="110">
        <v>1</v>
      </c>
      <c r="I599" s="145" t="s">
        <v>974</v>
      </c>
      <c r="J599" s="172">
        <f t="shared" si="15"/>
        <v>229</v>
      </c>
      <c r="K599" s="171">
        <f t="shared" si="14"/>
        <v>229</v>
      </c>
    </row>
    <row r="600" spans="1:11" x14ac:dyDescent="0.2">
      <c r="I600" s="145" t="s">
        <v>903</v>
      </c>
      <c r="J600" s="172" t="str">
        <f t="shared" si="15"/>
        <v/>
      </c>
      <c r="K600" s="171">
        <f t="shared" si="14"/>
        <v>230</v>
      </c>
    </row>
    <row r="601" spans="1:11" x14ac:dyDescent="0.2">
      <c r="I601" s="145" t="s">
        <v>904</v>
      </c>
      <c r="J601" s="172" t="str">
        <f t="shared" si="15"/>
        <v/>
      </c>
      <c r="K601" s="171">
        <f t="shared" si="14"/>
        <v>230</v>
      </c>
    </row>
    <row r="602" spans="1:11" x14ac:dyDescent="0.2">
      <c r="I602" s="145"/>
      <c r="J602" s="172" t="str">
        <f t="shared" si="15"/>
        <v/>
      </c>
      <c r="K602" s="171">
        <f t="shared" si="14"/>
        <v>230</v>
      </c>
    </row>
    <row r="603" spans="1:11" ht="30" x14ac:dyDescent="0.2">
      <c r="A603" s="109">
        <v>17</v>
      </c>
      <c r="B603" s="121" t="s">
        <v>975</v>
      </c>
      <c r="F603" s="317" t="s">
        <v>772</v>
      </c>
      <c r="G603" s="110">
        <v>16</v>
      </c>
      <c r="I603" s="145" t="s">
        <v>976</v>
      </c>
      <c r="J603" s="172">
        <f t="shared" si="15"/>
        <v>230</v>
      </c>
      <c r="K603" s="171">
        <f t="shared" si="14"/>
        <v>230</v>
      </c>
    </row>
    <row r="604" spans="1:11" x14ac:dyDescent="0.2">
      <c r="I604" s="145"/>
      <c r="J604" s="172" t="str">
        <f t="shared" si="15"/>
        <v/>
      </c>
      <c r="K604" s="171">
        <f t="shared" si="14"/>
        <v>246</v>
      </c>
    </row>
    <row r="605" spans="1:11" x14ac:dyDescent="0.2">
      <c r="A605" s="109">
        <v>18</v>
      </c>
      <c r="B605" s="121" t="s">
        <v>782</v>
      </c>
      <c r="F605" s="317" t="s">
        <v>772</v>
      </c>
      <c r="G605" s="110">
        <f>D539-J603-G603+1</f>
        <v>5</v>
      </c>
      <c r="I605" s="145" t="s">
        <v>965</v>
      </c>
      <c r="J605" s="172">
        <f t="shared" si="15"/>
        <v>246</v>
      </c>
      <c r="K605" s="171">
        <f t="shared" si="14"/>
        <v>246</v>
      </c>
    </row>
    <row r="606" spans="1:11" x14ac:dyDescent="0.2">
      <c r="B606" s="121"/>
      <c r="I606" s="145"/>
      <c r="J606" s="172" t="str">
        <f t="shared" si="15"/>
        <v/>
      </c>
      <c r="K606" s="171"/>
    </row>
    <row r="607" spans="1:11" ht="15.75" thickBot="1" x14ac:dyDescent="0.25">
      <c r="B607" s="121"/>
      <c r="I607" s="145"/>
      <c r="J607" s="172" t="str">
        <f t="shared" si="15"/>
        <v/>
      </c>
      <c r="K607" s="171"/>
    </row>
    <row r="608" spans="1:11" ht="16.5" thickTop="1" thickBot="1" x14ac:dyDescent="0.25">
      <c r="B608" s="175" t="s">
        <v>755</v>
      </c>
      <c r="C608" s="139"/>
      <c r="D608" s="323" t="s">
        <v>977</v>
      </c>
      <c r="E608" s="118"/>
      <c r="F608" s="321"/>
      <c r="G608" s="118"/>
      <c r="H608" s="117"/>
      <c r="I608" s="152"/>
      <c r="J608" s="172" t="str">
        <f t="shared" si="15"/>
        <v/>
      </c>
      <c r="K608" s="171"/>
    </row>
    <row r="609" spans="1:11" ht="15.75" thickTop="1" x14ac:dyDescent="0.2">
      <c r="B609" s="138"/>
      <c r="D609" s="321"/>
      <c r="E609" s="118"/>
      <c r="F609" s="321"/>
      <c r="G609" s="118"/>
      <c r="H609" s="117"/>
      <c r="J609" s="172" t="str">
        <f t="shared" si="15"/>
        <v/>
      </c>
      <c r="K609" s="171"/>
    </row>
    <row r="610" spans="1:11" x14ac:dyDescent="0.2">
      <c r="A610" s="176" t="s">
        <v>1</v>
      </c>
      <c r="B610" s="178" t="s">
        <v>912</v>
      </c>
      <c r="C610" s="179"/>
      <c r="D610" s="329" t="s">
        <v>673</v>
      </c>
      <c r="E610" s="176"/>
      <c r="F610" s="329"/>
      <c r="G610" s="176"/>
      <c r="H610" s="179"/>
      <c r="I610" s="177"/>
      <c r="J610" s="172" t="str">
        <f t="shared" si="15"/>
        <v/>
      </c>
      <c r="K610" s="174"/>
    </row>
    <row r="611" spans="1:11" x14ac:dyDescent="0.2">
      <c r="A611" s="179"/>
      <c r="B611" s="178" t="s">
        <v>757</v>
      </c>
      <c r="C611" s="122"/>
      <c r="D611" s="329">
        <f xml:space="preserve"> G9</f>
        <v>300</v>
      </c>
      <c r="E611" s="176" t="s">
        <v>758</v>
      </c>
      <c r="F611" s="329"/>
      <c r="G611" s="176"/>
      <c r="H611" s="179"/>
      <c r="I611" s="180"/>
      <c r="J611" s="172" t="str">
        <f t="shared" si="15"/>
        <v/>
      </c>
      <c r="K611" s="174"/>
    </row>
    <row r="612" spans="1:11" x14ac:dyDescent="0.2">
      <c r="A612" s="179"/>
      <c r="B612" s="179"/>
      <c r="C612" s="179"/>
      <c r="D612" s="329"/>
      <c r="E612" s="176"/>
      <c r="F612" s="329"/>
      <c r="G612" s="176"/>
      <c r="H612" s="179"/>
      <c r="I612" s="180"/>
      <c r="J612" s="172" t="str">
        <f t="shared" si="15"/>
        <v/>
      </c>
      <c r="K612" s="174"/>
    </row>
    <row r="613" spans="1:11" s="108" customFormat="1" x14ac:dyDescent="0.2">
      <c r="A613" s="165" t="s">
        <v>759</v>
      </c>
      <c r="B613" s="166" t="s">
        <v>712</v>
      </c>
      <c r="C613" s="167"/>
      <c r="D613" s="327" t="s">
        <v>713</v>
      </c>
      <c r="E613" s="168"/>
      <c r="F613" s="327" t="s">
        <v>760</v>
      </c>
      <c r="G613" s="156" t="s">
        <v>715</v>
      </c>
      <c r="H613" s="167"/>
      <c r="I613" s="169" t="s">
        <v>716</v>
      </c>
      <c r="J613" s="172">
        <f t="shared" si="15"/>
        <v>0</v>
      </c>
      <c r="K613" s="171"/>
    </row>
    <row r="614" spans="1:11" x14ac:dyDescent="0.2">
      <c r="A614" s="117" t="s">
        <v>1</v>
      </c>
      <c r="B614" s="117"/>
      <c r="C614" s="117"/>
      <c r="D614" s="321"/>
      <c r="E614" s="118"/>
      <c r="F614" s="321"/>
      <c r="G614" s="118"/>
      <c r="H614" s="117"/>
      <c r="I614" s="144"/>
      <c r="J614" s="172" t="str">
        <f t="shared" si="15"/>
        <v/>
      </c>
      <c r="K614" s="171"/>
    </row>
    <row r="615" spans="1:11" x14ac:dyDescent="0.2">
      <c r="A615" s="121" t="s">
        <v>1</v>
      </c>
      <c r="B615" s="121" t="s">
        <v>762</v>
      </c>
      <c r="J615" s="172" t="str">
        <f t="shared" si="15"/>
        <v/>
      </c>
      <c r="K615" s="171"/>
    </row>
    <row r="616" spans="1:11" x14ac:dyDescent="0.2">
      <c r="A616" s="109">
        <v>1</v>
      </c>
      <c r="B616" s="121" t="s">
        <v>763</v>
      </c>
      <c r="D616" s="317" t="s">
        <v>967</v>
      </c>
      <c r="F616" s="317" t="s">
        <v>701</v>
      </c>
      <c r="G616" s="110">
        <v>4</v>
      </c>
      <c r="I616" s="145" t="s">
        <v>765</v>
      </c>
      <c r="J616" s="172">
        <f t="shared" si="15"/>
        <v>4</v>
      </c>
      <c r="K616" s="171">
        <f t="shared" ref="K616:K679" si="16">IF(A616=1,1,+K615+G615)</f>
        <v>1</v>
      </c>
    </row>
    <row r="617" spans="1:11" x14ac:dyDescent="0.2">
      <c r="J617" s="172" t="str">
        <f t="shared" si="15"/>
        <v/>
      </c>
      <c r="K617" s="171">
        <f t="shared" si="16"/>
        <v>5</v>
      </c>
    </row>
    <row r="618" spans="1:11" x14ac:dyDescent="0.2">
      <c r="A618" s="109">
        <v>2</v>
      </c>
      <c r="B618" s="121" t="s">
        <v>766</v>
      </c>
      <c r="D618" s="317" t="s">
        <v>767</v>
      </c>
      <c r="F618" s="317" t="s">
        <v>701</v>
      </c>
      <c r="G618" s="110">
        <v>1</v>
      </c>
      <c r="I618" s="145" t="s">
        <v>768</v>
      </c>
      <c r="J618" s="172">
        <f t="shared" si="15"/>
        <v>5</v>
      </c>
      <c r="K618" s="171">
        <f t="shared" si="16"/>
        <v>5</v>
      </c>
    </row>
    <row r="619" spans="1:11" x14ac:dyDescent="0.2">
      <c r="J619" s="172" t="str">
        <f t="shared" si="15"/>
        <v/>
      </c>
      <c r="K619" s="171">
        <f t="shared" si="16"/>
        <v>6</v>
      </c>
    </row>
    <row r="620" spans="1:11" x14ac:dyDescent="0.2">
      <c r="A620" s="109">
        <v>3</v>
      </c>
      <c r="B620" s="121" t="s">
        <v>769</v>
      </c>
      <c r="D620" s="317" t="s">
        <v>770</v>
      </c>
      <c r="F620" s="317" t="s">
        <v>701</v>
      </c>
      <c r="G620" s="110">
        <v>4</v>
      </c>
      <c r="I620" s="145" t="s">
        <v>768</v>
      </c>
      <c r="J620" s="172">
        <f t="shared" si="15"/>
        <v>6</v>
      </c>
      <c r="K620" s="171">
        <f t="shared" si="16"/>
        <v>6</v>
      </c>
    </row>
    <row r="621" spans="1:11" x14ac:dyDescent="0.2">
      <c r="J621" s="172" t="str">
        <f t="shared" si="15"/>
        <v/>
      </c>
      <c r="K621" s="171">
        <f t="shared" si="16"/>
        <v>10</v>
      </c>
    </row>
    <row r="622" spans="1:11" x14ac:dyDescent="0.2">
      <c r="A622" s="109">
        <v>4</v>
      </c>
      <c r="B622" s="121" t="s">
        <v>771</v>
      </c>
      <c r="F622" s="317" t="s">
        <v>772</v>
      </c>
      <c r="G622" s="110">
        <v>1</v>
      </c>
      <c r="I622" s="145" t="s">
        <v>773</v>
      </c>
      <c r="J622" s="172">
        <f t="shared" si="15"/>
        <v>10</v>
      </c>
      <c r="K622" s="171">
        <f t="shared" si="16"/>
        <v>10</v>
      </c>
    </row>
    <row r="623" spans="1:11" x14ac:dyDescent="0.2">
      <c r="J623" s="172" t="str">
        <f t="shared" si="15"/>
        <v/>
      </c>
      <c r="K623" s="171">
        <f t="shared" si="16"/>
        <v>11</v>
      </c>
    </row>
    <row r="624" spans="1:11" x14ac:dyDescent="0.2">
      <c r="B624" s="173" t="s">
        <v>832</v>
      </c>
      <c r="J624" s="172" t="str">
        <f t="shared" si="15"/>
        <v/>
      </c>
      <c r="K624" s="171">
        <f t="shared" si="16"/>
        <v>11</v>
      </c>
    </row>
    <row r="625" spans="1:11" x14ac:dyDescent="0.2">
      <c r="J625" s="172" t="str">
        <f t="shared" si="15"/>
        <v/>
      </c>
      <c r="K625" s="171">
        <f t="shared" si="16"/>
        <v>11</v>
      </c>
    </row>
    <row r="626" spans="1:11" x14ac:dyDescent="0.2">
      <c r="A626" s="109">
        <v>5</v>
      </c>
      <c r="B626" s="109" t="s">
        <v>775</v>
      </c>
      <c r="F626" s="317" t="s">
        <v>701</v>
      </c>
      <c r="G626" s="110">
        <v>3</v>
      </c>
      <c r="I626" s="111" t="s">
        <v>968</v>
      </c>
      <c r="J626" s="172">
        <f t="shared" si="15"/>
        <v>11</v>
      </c>
      <c r="K626" s="171">
        <f t="shared" si="16"/>
        <v>11</v>
      </c>
    </row>
    <row r="627" spans="1:11" x14ac:dyDescent="0.2">
      <c r="I627" s="145" t="s">
        <v>777</v>
      </c>
      <c r="J627" s="172" t="str">
        <f t="shared" si="15"/>
        <v/>
      </c>
      <c r="K627" s="171">
        <f t="shared" si="16"/>
        <v>14</v>
      </c>
    </row>
    <row r="628" spans="1:11" x14ac:dyDescent="0.2">
      <c r="J628" s="172" t="str">
        <f t="shared" si="15"/>
        <v/>
      </c>
      <c r="K628" s="171">
        <f t="shared" si="16"/>
        <v>14</v>
      </c>
    </row>
    <row r="629" spans="1:11" x14ac:dyDescent="0.2">
      <c r="A629" s="109">
        <v>6</v>
      </c>
      <c r="B629" s="121" t="s">
        <v>779</v>
      </c>
      <c r="F629" s="317" t="s">
        <v>701</v>
      </c>
      <c r="G629" s="110">
        <v>8</v>
      </c>
      <c r="I629" s="145" t="s">
        <v>969</v>
      </c>
      <c r="J629" s="172">
        <f t="shared" si="15"/>
        <v>14</v>
      </c>
      <c r="K629" s="171">
        <f t="shared" si="16"/>
        <v>14</v>
      </c>
    </row>
    <row r="630" spans="1:11" ht="30" x14ac:dyDescent="0.2">
      <c r="I630" s="111" t="s">
        <v>970</v>
      </c>
      <c r="J630" s="172" t="str">
        <f t="shared" si="15"/>
        <v/>
      </c>
      <c r="K630" s="171">
        <f t="shared" si="16"/>
        <v>22</v>
      </c>
    </row>
    <row r="631" spans="1:11" x14ac:dyDescent="0.2">
      <c r="J631" s="172" t="str">
        <f t="shared" si="15"/>
        <v/>
      </c>
      <c r="K631" s="171">
        <f t="shared" si="16"/>
        <v>22</v>
      </c>
    </row>
    <row r="632" spans="1:11" x14ac:dyDescent="0.2">
      <c r="A632" s="109">
        <v>7</v>
      </c>
      <c r="B632" s="121" t="s">
        <v>833</v>
      </c>
      <c r="F632" s="317" t="s">
        <v>772</v>
      </c>
      <c r="G632" s="110">
        <v>26</v>
      </c>
      <c r="I632" s="145" t="s">
        <v>834</v>
      </c>
      <c r="J632" s="172">
        <f t="shared" si="15"/>
        <v>22</v>
      </c>
      <c r="K632" s="171">
        <f t="shared" si="16"/>
        <v>22</v>
      </c>
    </row>
    <row r="633" spans="1:11" x14ac:dyDescent="0.2">
      <c r="B633" s="121"/>
      <c r="I633" s="145" t="s">
        <v>843</v>
      </c>
      <c r="J633" s="172" t="str">
        <f t="shared" si="15"/>
        <v/>
      </c>
      <c r="K633" s="171">
        <f t="shared" si="16"/>
        <v>48</v>
      </c>
    </row>
    <row r="634" spans="1:11" x14ac:dyDescent="0.2">
      <c r="B634" s="121"/>
      <c r="I634" s="145"/>
      <c r="J634" s="172" t="str">
        <f t="shared" si="15"/>
        <v/>
      </c>
      <c r="K634" s="171">
        <f t="shared" si="16"/>
        <v>48</v>
      </c>
    </row>
    <row r="635" spans="1:11" x14ac:dyDescent="0.2">
      <c r="A635" s="109">
        <v>8</v>
      </c>
      <c r="B635" s="121" t="s">
        <v>835</v>
      </c>
      <c r="F635" s="317" t="s">
        <v>772</v>
      </c>
      <c r="G635" s="110">
        <v>26</v>
      </c>
      <c r="I635" s="145" t="s">
        <v>836</v>
      </c>
      <c r="J635" s="172">
        <f t="shared" si="15"/>
        <v>48</v>
      </c>
      <c r="K635" s="171">
        <f t="shared" si="16"/>
        <v>48</v>
      </c>
    </row>
    <row r="636" spans="1:11" x14ac:dyDescent="0.2">
      <c r="B636" s="121"/>
      <c r="I636" s="145" t="s">
        <v>837</v>
      </c>
      <c r="J636" s="172" t="str">
        <f t="shared" si="15"/>
        <v/>
      </c>
      <c r="K636" s="171">
        <f t="shared" si="16"/>
        <v>74</v>
      </c>
    </row>
    <row r="637" spans="1:11" x14ac:dyDescent="0.2">
      <c r="B637" s="121"/>
      <c r="I637" s="145"/>
      <c r="J637" s="172" t="str">
        <f t="shared" si="15"/>
        <v/>
      </c>
      <c r="K637" s="171">
        <f t="shared" si="16"/>
        <v>74</v>
      </c>
    </row>
    <row r="638" spans="1:11" x14ac:dyDescent="0.2">
      <c r="A638" s="109">
        <v>9</v>
      </c>
      <c r="B638" s="109" t="s">
        <v>798</v>
      </c>
      <c r="F638" s="317" t="s">
        <v>772</v>
      </c>
      <c r="G638" s="110">
        <v>13</v>
      </c>
      <c r="I638" s="111" t="s">
        <v>799</v>
      </c>
      <c r="J638" s="172">
        <f t="shared" si="15"/>
        <v>74</v>
      </c>
      <c r="K638" s="171">
        <f t="shared" si="16"/>
        <v>74</v>
      </c>
    </row>
    <row r="639" spans="1:11" x14ac:dyDescent="0.2">
      <c r="I639" s="111" t="s">
        <v>800</v>
      </c>
      <c r="J639" s="172" t="str">
        <f t="shared" si="15"/>
        <v/>
      </c>
      <c r="K639" s="171">
        <f t="shared" si="16"/>
        <v>87</v>
      </c>
    </row>
    <row r="640" spans="1:11" x14ac:dyDescent="0.2">
      <c r="I640" s="111" t="s">
        <v>801</v>
      </c>
      <c r="J640" s="172" t="str">
        <f t="shared" si="15"/>
        <v/>
      </c>
      <c r="K640" s="171">
        <f t="shared" si="16"/>
        <v>87</v>
      </c>
    </row>
    <row r="641" spans="1:11" ht="30" x14ac:dyDescent="0.2">
      <c r="I641" s="111" t="s">
        <v>802</v>
      </c>
      <c r="J641" s="172" t="str">
        <f t="shared" si="15"/>
        <v/>
      </c>
      <c r="K641" s="171">
        <f t="shared" si="16"/>
        <v>87</v>
      </c>
    </row>
    <row r="642" spans="1:11" x14ac:dyDescent="0.2">
      <c r="I642" s="111" t="s">
        <v>803</v>
      </c>
      <c r="J642" s="172" t="str">
        <f t="shared" si="15"/>
        <v/>
      </c>
      <c r="K642" s="171">
        <f t="shared" si="16"/>
        <v>87</v>
      </c>
    </row>
    <row r="643" spans="1:11" x14ac:dyDescent="0.2">
      <c r="I643" s="111" t="s">
        <v>804</v>
      </c>
      <c r="J643" s="172" t="str">
        <f t="shared" ref="J643:J706" si="17">IF(A643=1, 4,IF(G643="", "",+K643))</f>
        <v/>
      </c>
      <c r="K643" s="171">
        <f t="shared" si="16"/>
        <v>87</v>
      </c>
    </row>
    <row r="644" spans="1:11" x14ac:dyDescent="0.2">
      <c r="I644" s="111" t="s">
        <v>805</v>
      </c>
      <c r="J644" s="172" t="str">
        <f t="shared" si="17"/>
        <v/>
      </c>
      <c r="K644" s="171">
        <f t="shared" si="16"/>
        <v>87</v>
      </c>
    </row>
    <row r="645" spans="1:11" x14ac:dyDescent="0.2">
      <c r="I645" s="111" t="s">
        <v>806</v>
      </c>
      <c r="J645" s="172" t="str">
        <f t="shared" si="17"/>
        <v/>
      </c>
      <c r="K645" s="171">
        <f t="shared" si="16"/>
        <v>87</v>
      </c>
    </row>
    <row r="646" spans="1:11" x14ac:dyDescent="0.2">
      <c r="I646" s="111" t="s">
        <v>807</v>
      </c>
      <c r="J646" s="172" t="str">
        <f t="shared" si="17"/>
        <v/>
      </c>
      <c r="K646" s="171">
        <f t="shared" si="16"/>
        <v>87</v>
      </c>
    </row>
    <row r="647" spans="1:11" ht="30" x14ac:dyDescent="0.2">
      <c r="I647" s="111" t="s">
        <v>808</v>
      </c>
      <c r="J647" s="172" t="str">
        <f t="shared" si="17"/>
        <v/>
      </c>
      <c r="K647" s="171">
        <f t="shared" si="16"/>
        <v>87</v>
      </c>
    </row>
    <row r="648" spans="1:11" x14ac:dyDescent="0.2">
      <c r="I648" s="111" t="s">
        <v>809</v>
      </c>
      <c r="J648" s="172" t="str">
        <f t="shared" si="17"/>
        <v/>
      </c>
      <c r="K648" s="171">
        <f t="shared" si="16"/>
        <v>87</v>
      </c>
    </row>
    <row r="649" spans="1:11" x14ac:dyDescent="0.2">
      <c r="J649" s="172" t="str">
        <f t="shared" si="17"/>
        <v/>
      </c>
      <c r="K649" s="171">
        <f t="shared" si="16"/>
        <v>87</v>
      </c>
    </row>
    <row r="650" spans="1:11" ht="30" x14ac:dyDescent="0.2">
      <c r="A650" s="109">
        <v>10</v>
      </c>
      <c r="B650" s="109" t="s">
        <v>838</v>
      </c>
      <c r="F650" s="317" t="s">
        <v>701</v>
      </c>
      <c r="G650" s="110">
        <v>2</v>
      </c>
      <c r="I650" s="145" t="s">
        <v>839</v>
      </c>
      <c r="J650" s="172">
        <f t="shared" si="17"/>
        <v>87</v>
      </c>
      <c r="K650" s="171">
        <f t="shared" si="16"/>
        <v>87</v>
      </c>
    </row>
    <row r="651" spans="1:11" x14ac:dyDescent="0.2">
      <c r="J651" s="172" t="str">
        <f t="shared" si="17"/>
        <v/>
      </c>
      <c r="K651" s="171">
        <f t="shared" si="16"/>
        <v>89</v>
      </c>
    </row>
    <row r="652" spans="1:11" x14ac:dyDescent="0.2">
      <c r="B652" s="173" t="s">
        <v>919</v>
      </c>
      <c r="J652" s="172" t="str">
        <f t="shared" si="17"/>
        <v/>
      </c>
      <c r="K652" s="171">
        <f t="shared" si="16"/>
        <v>89</v>
      </c>
    </row>
    <row r="653" spans="1:11" x14ac:dyDescent="0.2">
      <c r="B653" s="121"/>
      <c r="I653" s="145"/>
      <c r="J653" s="172" t="str">
        <f t="shared" si="17"/>
        <v/>
      </c>
      <c r="K653" s="171">
        <f t="shared" si="16"/>
        <v>89</v>
      </c>
    </row>
    <row r="654" spans="1:11" x14ac:dyDescent="0.2">
      <c r="A654" s="109">
        <v>11</v>
      </c>
      <c r="B654" s="109" t="s">
        <v>94</v>
      </c>
      <c r="F654" s="317" t="s">
        <v>701</v>
      </c>
      <c r="G654" s="110">
        <v>16</v>
      </c>
      <c r="I654" s="145" t="s">
        <v>978</v>
      </c>
      <c r="J654" s="172">
        <f t="shared" si="17"/>
        <v>89</v>
      </c>
      <c r="K654" s="171">
        <f t="shared" si="16"/>
        <v>89</v>
      </c>
    </row>
    <row r="655" spans="1:11" x14ac:dyDescent="0.2">
      <c r="B655" s="121"/>
      <c r="I655" s="145"/>
      <c r="J655" s="172" t="str">
        <f t="shared" si="17"/>
        <v/>
      </c>
      <c r="K655" s="171">
        <f t="shared" si="16"/>
        <v>105</v>
      </c>
    </row>
    <row r="656" spans="1:11" x14ac:dyDescent="0.2">
      <c r="A656" s="109">
        <v>12</v>
      </c>
      <c r="B656" s="121" t="s">
        <v>83</v>
      </c>
      <c r="F656" s="317" t="s">
        <v>701</v>
      </c>
      <c r="G656" s="110">
        <v>16</v>
      </c>
      <c r="I656" s="145" t="s">
        <v>979</v>
      </c>
      <c r="J656" s="172">
        <f t="shared" si="17"/>
        <v>105</v>
      </c>
      <c r="K656" s="171">
        <f t="shared" si="16"/>
        <v>105</v>
      </c>
    </row>
    <row r="657" spans="1:11" x14ac:dyDescent="0.2">
      <c r="B657" s="121"/>
      <c r="I657" s="145"/>
      <c r="J657" s="172" t="str">
        <f t="shared" si="17"/>
        <v/>
      </c>
      <c r="K657" s="171">
        <f t="shared" si="16"/>
        <v>121</v>
      </c>
    </row>
    <row r="658" spans="1:11" x14ac:dyDescent="0.2">
      <c r="A658" s="109">
        <v>13</v>
      </c>
      <c r="B658" s="121" t="s">
        <v>980</v>
      </c>
      <c r="C658" s="109" t="s">
        <v>1</v>
      </c>
      <c r="D658" s="317" t="s">
        <v>792</v>
      </c>
      <c r="F658" s="317" t="s">
        <v>701</v>
      </c>
      <c r="G658" s="110">
        <v>8</v>
      </c>
      <c r="I658" s="145" t="s">
        <v>932</v>
      </c>
      <c r="J658" s="172">
        <f t="shared" si="17"/>
        <v>121</v>
      </c>
      <c r="K658" s="171">
        <f t="shared" si="16"/>
        <v>121</v>
      </c>
    </row>
    <row r="659" spans="1:11" x14ac:dyDescent="0.2">
      <c r="B659" s="121"/>
      <c r="I659" s="145"/>
      <c r="J659" s="172" t="str">
        <f t="shared" si="17"/>
        <v/>
      </c>
      <c r="K659" s="171">
        <f t="shared" si="16"/>
        <v>129</v>
      </c>
    </row>
    <row r="660" spans="1:11" x14ac:dyDescent="0.2">
      <c r="A660" s="109">
        <v>14</v>
      </c>
      <c r="B660" s="121" t="s">
        <v>933</v>
      </c>
      <c r="F660" s="317" t="s">
        <v>772</v>
      </c>
      <c r="G660" s="110">
        <v>1</v>
      </c>
      <c r="I660" s="145" t="s">
        <v>934</v>
      </c>
      <c r="J660" s="172">
        <f t="shared" si="17"/>
        <v>129</v>
      </c>
      <c r="K660" s="171">
        <f t="shared" si="16"/>
        <v>129</v>
      </c>
    </row>
    <row r="661" spans="1:11" x14ac:dyDescent="0.2">
      <c r="B661" s="121"/>
      <c r="I661" s="145"/>
      <c r="J661" s="172" t="str">
        <f t="shared" si="17"/>
        <v/>
      </c>
      <c r="K661" s="171">
        <f t="shared" si="16"/>
        <v>130</v>
      </c>
    </row>
    <row r="662" spans="1:11" x14ac:dyDescent="0.2">
      <c r="A662" s="109">
        <v>15</v>
      </c>
      <c r="B662" s="121" t="s">
        <v>935</v>
      </c>
      <c r="D662" s="317" t="s">
        <v>792</v>
      </c>
      <c r="F662" s="317" t="s">
        <v>701</v>
      </c>
      <c r="G662" s="110">
        <v>8</v>
      </c>
      <c r="I662" s="145" t="s">
        <v>936</v>
      </c>
      <c r="J662" s="172">
        <f t="shared" si="17"/>
        <v>130</v>
      </c>
      <c r="K662" s="171">
        <f t="shared" si="16"/>
        <v>130</v>
      </c>
    </row>
    <row r="663" spans="1:11" x14ac:dyDescent="0.2">
      <c r="B663" s="121"/>
      <c r="I663" s="145"/>
      <c r="J663" s="172" t="str">
        <f t="shared" si="17"/>
        <v/>
      </c>
      <c r="K663" s="171">
        <f t="shared" si="16"/>
        <v>138</v>
      </c>
    </row>
    <row r="664" spans="1:11" x14ac:dyDescent="0.2">
      <c r="A664" s="109">
        <v>16</v>
      </c>
      <c r="B664" s="109" t="s">
        <v>937</v>
      </c>
      <c r="D664" s="317" t="s">
        <v>792</v>
      </c>
      <c r="F664" s="317" t="s">
        <v>701</v>
      </c>
      <c r="G664" s="110">
        <v>8</v>
      </c>
      <c r="I664" s="145" t="s">
        <v>938</v>
      </c>
      <c r="J664" s="172">
        <f t="shared" si="17"/>
        <v>138</v>
      </c>
      <c r="K664" s="171">
        <f t="shared" si="16"/>
        <v>138</v>
      </c>
    </row>
    <row r="665" spans="1:11" x14ac:dyDescent="0.2">
      <c r="I665" s="145"/>
      <c r="J665" s="172" t="str">
        <f t="shared" si="17"/>
        <v/>
      </c>
      <c r="K665" s="171">
        <f t="shared" si="16"/>
        <v>146</v>
      </c>
    </row>
    <row r="666" spans="1:11" x14ac:dyDescent="0.2">
      <c r="A666" s="109">
        <v>17</v>
      </c>
      <c r="B666" s="121" t="s">
        <v>939</v>
      </c>
      <c r="F666" s="317" t="s">
        <v>772</v>
      </c>
      <c r="G666" s="110">
        <v>1</v>
      </c>
      <c r="I666" s="145" t="s">
        <v>940</v>
      </c>
      <c r="J666" s="172">
        <f t="shared" si="17"/>
        <v>146</v>
      </c>
      <c r="K666" s="171">
        <f t="shared" si="16"/>
        <v>146</v>
      </c>
    </row>
    <row r="667" spans="1:11" x14ac:dyDescent="0.2">
      <c r="B667" s="121"/>
      <c r="I667" s="145" t="s">
        <v>941</v>
      </c>
      <c r="J667" s="172" t="str">
        <f t="shared" si="17"/>
        <v/>
      </c>
      <c r="K667" s="171">
        <f t="shared" si="16"/>
        <v>147</v>
      </c>
    </row>
    <row r="668" spans="1:11" x14ac:dyDescent="0.2">
      <c r="B668" s="121"/>
      <c r="I668" s="145" t="s">
        <v>942</v>
      </c>
      <c r="J668" s="172" t="str">
        <f t="shared" si="17"/>
        <v/>
      </c>
      <c r="K668" s="171">
        <f t="shared" si="16"/>
        <v>147</v>
      </c>
    </row>
    <row r="669" spans="1:11" x14ac:dyDescent="0.2">
      <c r="B669" s="121"/>
      <c r="I669" s="145"/>
      <c r="J669" s="172" t="str">
        <f t="shared" si="17"/>
        <v/>
      </c>
      <c r="K669" s="171">
        <f t="shared" si="16"/>
        <v>147</v>
      </c>
    </row>
    <row r="670" spans="1:11" x14ac:dyDescent="0.2">
      <c r="A670" s="109">
        <v>18</v>
      </c>
      <c r="B670" s="121" t="s">
        <v>943</v>
      </c>
      <c r="D670" s="317" t="s">
        <v>792</v>
      </c>
      <c r="F670" s="317" t="s">
        <v>701</v>
      </c>
      <c r="G670" s="110">
        <v>8</v>
      </c>
      <c r="I670" s="145" t="s">
        <v>944</v>
      </c>
      <c r="J670" s="172">
        <f t="shared" si="17"/>
        <v>147</v>
      </c>
      <c r="K670" s="171">
        <f t="shared" si="16"/>
        <v>147</v>
      </c>
    </row>
    <row r="671" spans="1:11" x14ac:dyDescent="0.2">
      <c r="B671" s="121"/>
      <c r="I671" s="145"/>
      <c r="J671" s="172" t="str">
        <f t="shared" si="17"/>
        <v/>
      </c>
      <c r="K671" s="171">
        <f t="shared" si="16"/>
        <v>155</v>
      </c>
    </row>
    <row r="672" spans="1:11" x14ac:dyDescent="0.2">
      <c r="A672" s="109">
        <v>19</v>
      </c>
      <c r="B672" s="121" t="s">
        <v>945</v>
      </c>
      <c r="F672" s="317" t="s">
        <v>772</v>
      </c>
      <c r="G672" s="110">
        <v>1</v>
      </c>
      <c r="I672" s="145" t="s">
        <v>981</v>
      </c>
      <c r="J672" s="172">
        <f t="shared" si="17"/>
        <v>155</v>
      </c>
      <c r="K672" s="171">
        <f t="shared" si="16"/>
        <v>155</v>
      </c>
    </row>
    <row r="673" spans="1:11" x14ac:dyDescent="0.2">
      <c r="B673" s="121"/>
      <c r="I673" s="145" t="s">
        <v>947</v>
      </c>
      <c r="J673" s="172" t="str">
        <f t="shared" si="17"/>
        <v/>
      </c>
      <c r="K673" s="171">
        <f t="shared" si="16"/>
        <v>156</v>
      </c>
    </row>
    <row r="674" spans="1:11" x14ac:dyDescent="0.2">
      <c r="B674" s="121"/>
      <c r="I674" s="145" t="s">
        <v>948</v>
      </c>
      <c r="J674" s="172" t="str">
        <f t="shared" si="17"/>
        <v/>
      </c>
      <c r="K674" s="171">
        <f t="shared" si="16"/>
        <v>156</v>
      </c>
    </row>
    <row r="675" spans="1:11" x14ac:dyDescent="0.2">
      <c r="B675" s="121"/>
      <c r="I675" s="145"/>
      <c r="J675" s="172" t="str">
        <f t="shared" si="17"/>
        <v/>
      </c>
      <c r="K675" s="171">
        <f t="shared" si="16"/>
        <v>156</v>
      </c>
    </row>
    <row r="676" spans="1:11" x14ac:dyDescent="0.2">
      <c r="A676" s="109">
        <v>20</v>
      </c>
      <c r="B676" s="121" t="s">
        <v>891</v>
      </c>
      <c r="F676" s="317" t="s">
        <v>772</v>
      </c>
      <c r="G676" s="110">
        <v>30</v>
      </c>
      <c r="I676" s="145" t="s">
        <v>892</v>
      </c>
      <c r="J676" s="172">
        <f t="shared" si="17"/>
        <v>156</v>
      </c>
      <c r="K676" s="171">
        <f t="shared" si="16"/>
        <v>156</v>
      </c>
    </row>
    <row r="677" spans="1:11" x14ac:dyDescent="0.2">
      <c r="B677" s="121"/>
      <c r="I677" s="145" t="s">
        <v>893</v>
      </c>
      <c r="J677" s="172" t="str">
        <f t="shared" si="17"/>
        <v/>
      </c>
      <c r="K677" s="171">
        <f t="shared" si="16"/>
        <v>186</v>
      </c>
    </row>
    <row r="678" spans="1:11" x14ac:dyDescent="0.2">
      <c r="I678" s="145" t="s">
        <v>894</v>
      </c>
      <c r="J678" s="172" t="str">
        <f t="shared" si="17"/>
        <v/>
      </c>
      <c r="K678" s="171">
        <f t="shared" si="16"/>
        <v>186</v>
      </c>
    </row>
    <row r="679" spans="1:11" x14ac:dyDescent="0.2">
      <c r="J679" s="172" t="str">
        <f t="shared" si="17"/>
        <v/>
      </c>
      <c r="K679" s="171">
        <f t="shared" si="16"/>
        <v>186</v>
      </c>
    </row>
    <row r="680" spans="1:11" x14ac:dyDescent="0.2">
      <c r="A680" s="109">
        <v>21</v>
      </c>
      <c r="B680" s="121" t="s">
        <v>895</v>
      </c>
      <c r="F680" s="317" t="s">
        <v>772</v>
      </c>
      <c r="G680" s="110">
        <v>30</v>
      </c>
      <c r="I680" s="145" t="s">
        <v>896</v>
      </c>
      <c r="J680" s="172">
        <f t="shared" si="17"/>
        <v>186</v>
      </c>
      <c r="K680" s="171">
        <f t="shared" ref="K680:K743" si="18">IF(A680=1,1,+K679+G679)</f>
        <v>186</v>
      </c>
    </row>
    <row r="681" spans="1:11" x14ac:dyDescent="0.2">
      <c r="I681" s="145" t="s">
        <v>894</v>
      </c>
      <c r="J681" s="172" t="str">
        <f t="shared" si="17"/>
        <v/>
      </c>
      <c r="K681" s="171">
        <f t="shared" si="18"/>
        <v>216</v>
      </c>
    </row>
    <row r="682" spans="1:11" x14ac:dyDescent="0.2">
      <c r="I682" s="145"/>
      <c r="J682" s="172" t="str">
        <f t="shared" si="17"/>
        <v/>
      </c>
      <c r="K682" s="171">
        <f t="shared" si="18"/>
        <v>216</v>
      </c>
    </row>
    <row r="683" spans="1:11" x14ac:dyDescent="0.2">
      <c r="A683" s="109">
        <v>22</v>
      </c>
      <c r="B683" s="121" t="s">
        <v>897</v>
      </c>
      <c r="F683" s="317" t="s">
        <v>772</v>
      </c>
      <c r="G683" s="110">
        <v>9</v>
      </c>
      <c r="I683" s="145" t="s">
        <v>898</v>
      </c>
      <c r="J683" s="172">
        <f t="shared" si="17"/>
        <v>216</v>
      </c>
      <c r="K683" s="171">
        <f t="shared" si="18"/>
        <v>216</v>
      </c>
    </row>
    <row r="684" spans="1:11" x14ac:dyDescent="0.2">
      <c r="I684" s="145" t="s">
        <v>971</v>
      </c>
      <c r="J684" s="172" t="str">
        <f t="shared" si="17"/>
        <v/>
      </c>
      <c r="K684" s="171">
        <f t="shared" si="18"/>
        <v>225</v>
      </c>
    </row>
    <row r="685" spans="1:11" x14ac:dyDescent="0.2">
      <c r="I685" s="145" t="s">
        <v>972</v>
      </c>
      <c r="J685" s="172" t="str">
        <f t="shared" si="17"/>
        <v/>
      </c>
      <c r="K685" s="171">
        <f t="shared" si="18"/>
        <v>225</v>
      </c>
    </row>
    <row r="686" spans="1:11" x14ac:dyDescent="0.2">
      <c r="I686" s="145" t="s">
        <v>973</v>
      </c>
      <c r="J686" s="172" t="str">
        <f t="shared" si="17"/>
        <v/>
      </c>
      <c r="K686" s="171">
        <f t="shared" si="18"/>
        <v>225</v>
      </c>
    </row>
    <row r="687" spans="1:11" x14ac:dyDescent="0.2">
      <c r="I687" s="145" t="s">
        <v>899</v>
      </c>
      <c r="J687" s="172" t="str">
        <f t="shared" si="17"/>
        <v/>
      </c>
      <c r="K687" s="171">
        <f t="shared" si="18"/>
        <v>225</v>
      </c>
    </row>
    <row r="688" spans="1:11" x14ac:dyDescent="0.2">
      <c r="J688" s="172" t="str">
        <f t="shared" si="17"/>
        <v/>
      </c>
      <c r="K688" s="171">
        <f t="shared" si="18"/>
        <v>225</v>
      </c>
    </row>
    <row r="689" spans="1:12" x14ac:dyDescent="0.2">
      <c r="A689" s="109">
        <v>23</v>
      </c>
      <c r="B689" s="121" t="s">
        <v>823</v>
      </c>
      <c r="F689" s="317" t="s">
        <v>772</v>
      </c>
      <c r="G689" s="110">
        <v>22</v>
      </c>
      <c r="I689" s="145" t="s">
        <v>900</v>
      </c>
      <c r="J689" s="172">
        <f t="shared" si="17"/>
        <v>225</v>
      </c>
      <c r="K689" s="171">
        <f t="shared" si="18"/>
        <v>225</v>
      </c>
    </row>
    <row r="690" spans="1:12" x14ac:dyDescent="0.2">
      <c r="I690" s="145" t="s">
        <v>899</v>
      </c>
      <c r="J690" s="172" t="str">
        <f t="shared" si="17"/>
        <v/>
      </c>
      <c r="K690" s="171">
        <f t="shared" si="18"/>
        <v>247</v>
      </c>
    </row>
    <row r="691" spans="1:12" x14ac:dyDescent="0.2">
      <c r="I691" s="145"/>
      <c r="J691" s="172" t="str">
        <f t="shared" si="17"/>
        <v/>
      </c>
      <c r="K691" s="171">
        <f t="shared" si="18"/>
        <v>247</v>
      </c>
    </row>
    <row r="692" spans="1:12" x14ac:dyDescent="0.2">
      <c r="A692" s="109">
        <v>24</v>
      </c>
      <c r="B692" s="121" t="s">
        <v>782</v>
      </c>
      <c r="F692" s="317" t="s">
        <v>772</v>
      </c>
      <c r="G692" s="110">
        <v>30</v>
      </c>
      <c r="I692" s="145" t="s">
        <v>965</v>
      </c>
      <c r="J692" s="172">
        <f t="shared" si="17"/>
        <v>247</v>
      </c>
      <c r="K692" s="171">
        <f t="shared" si="18"/>
        <v>247</v>
      </c>
    </row>
    <row r="693" spans="1:12" x14ac:dyDescent="0.2">
      <c r="A693" s="117" t="s">
        <v>1</v>
      </c>
      <c r="B693" s="117"/>
      <c r="C693" s="117"/>
      <c r="D693" s="321"/>
      <c r="E693" s="118"/>
      <c r="F693" s="321"/>
      <c r="G693" s="118"/>
      <c r="H693" s="117"/>
      <c r="I693" s="144"/>
      <c r="J693" s="172" t="str">
        <f t="shared" si="17"/>
        <v/>
      </c>
      <c r="K693" s="171">
        <f t="shared" si="18"/>
        <v>277</v>
      </c>
    </row>
    <row r="694" spans="1:12" x14ac:dyDescent="0.2">
      <c r="A694" s="109">
        <v>25</v>
      </c>
      <c r="B694" s="109" t="s">
        <v>982</v>
      </c>
      <c r="F694" s="317" t="s">
        <v>701</v>
      </c>
      <c r="G694" s="110">
        <v>19</v>
      </c>
      <c r="I694" s="111" t="s">
        <v>783</v>
      </c>
      <c r="J694" s="172">
        <f t="shared" si="17"/>
        <v>277</v>
      </c>
      <c r="K694" s="171">
        <f t="shared" si="18"/>
        <v>277</v>
      </c>
    </row>
    <row r="695" spans="1:12" x14ac:dyDescent="0.2">
      <c r="I695" s="145"/>
      <c r="J695" s="172" t="str">
        <f t="shared" si="17"/>
        <v/>
      </c>
      <c r="K695" s="171">
        <f t="shared" si="18"/>
        <v>296</v>
      </c>
    </row>
    <row r="696" spans="1:12" x14ac:dyDescent="0.2">
      <c r="B696" s="121"/>
      <c r="I696" s="145"/>
      <c r="J696" s="172" t="str">
        <f t="shared" si="17"/>
        <v/>
      </c>
      <c r="K696" s="171">
        <f t="shared" si="18"/>
        <v>296</v>
      </c>
    </row>
    <row r="697" spans="1:12" ht="30" x14ac:dyDescent="0.2">
      <c r="A697" s="109">
        <v>26</v>
      </c>
      <c r="B697" s="121" t="s">
        <v>901</v>
      </c>
      <c r="F697" s="317" t="s">
        <v>772</v>
      </c>
      <c r="G697" s="110">
        <v>1</v>
      </c>
      <c r="I697" s="145" t="s">
        <v>974</v>
      </c>
      <c r="J697" s="172">
        <f t="shared" si="17"/>
        <v>296</v>
      </c>
      <c r="K697" s="171">
        <f t="shared" si="18"/>
        <v>296</v>
      </c>
      <c r="L697" s="109" t="s">
        <v>1</v>
      </c>
    </row>
    <row r="698" spans="1:12" x14ac:dyDescent="0.2">
      <c r="I698" s="145" t="s">
        <v>903</v>
      </c>
      <c r="J698" s="172" t="str">
        <f t="shared" si="17"/>
        <v/>
      </c>
      <c r="K698" s="171">
        <f t="shared" si="18"/>
        <v>297</v>
      </c>
    </row>
    <row r="699" spans="1:12" x14ac:dyDescent="0.2">
      <c r="I699" s="145" t="s">
        <v>904</v>
      </c>
      <c r="J699" s="172" t="str">
        <f t="shared" si="17"/>
        <v/>
      </c>
      <c r="K699" s="171">
        <f t="shared" si="18"/>
        <v>297</v>
      </c>
    </row>
    <row r="700" spans="1:12" x14ac:dyDescent="0.2">
      <c r="I700" s="145"/>
      <c r="J700" s="172" t="str">
        <f t="shared" si="17"/>
        <v/>
      </c>
      <c r="K700" s="171">
        <f t="shared" si="18"/>
        <v>297</v>
      </c>
    </row>
    <row r="701" spans="1:12" x14ac:dyDescent="0.2">
      <c r="A701" s="109">
        <v>29</v>
      </c>
      <c r="B701" s="121" t="s">
        <v>782</v>
      </c>
      <c r="F701" s="317" t="s">
        <v>772</v>
      </c>
      <c r="G701" s="110">
        <f>D611-J697-G697+1</f>
        <v>4</v>
      </c>
      <c r="I701" s="145" t="s">
        <v>965</v>
      </c>
      <c r="J701" s="172">
        <f t="shared" si="17"/>
        <v>297</v>
      </c>
      <c r="K701" s="171">
        <f t="shared" si="18"/>
        <v>297</v>
      </c>
    </row>
    <row r="702" spans="1:12" x14ac:dyDescent="0.2">
      <c r="B702" s="121"/>
      <c r="I702" s="145"/>
      <c r="J702" s="172"/>
      <c r="K702" s="171"/>
    </row>
    <row r="703" spans="1:12" ht="15.75" thickBot="1" x14ac:dyDescent="0.25">
      <c r="B703" s="121"/>
      <c r="I703" s="145"/>
      <c r="J703" s="172"/>
      <c r="K703" s="171"/>
    </row>
    <row r="704" spans="1:12" ht="16.5" thickTop="1" thickBot="1" x14ac:dyDescent="0.25">
      <c r="B704" s="181" t="s">
        <v>755</v>
      </c>
      <c r="C704" s="139"/>
      <c r="D704" s="323" t="s">
        <v>706</v>
      </c>
      <c r="E704" s="118"/>
      <c r="F704" s="321"/>
      <c r="G704" s="118"/>
      <c r="H704" s="117"/>
      <c r="I704" s="152"/>
      <c r="J704" s="172" t="str">
        <f t="shared" si="17"/>
        <v/>
      </c>
      <c r="K704" s="171"/>
    </row>
    <row r="705" spans="1:11" ht="15.75" thickTop="1" x14ac:dyDescent="0.2">
      <c r="B705" s="138"/>
      <c r="D705" s="321"/>
      <c r="E705" s="118"/>
      <c r="F705" s="321"/>
      <c r="G705" s="118"/>
      <c r="H705" s="117"/>
      <c r="J705" s="172" t="str">
        <f t="shared" si="17"/>
        <v/>
      </c>
      <c r="K705" s="171"/>
    </row>
    <row r="706" spans="1:11" x14ac:dyDescent="0.2">
      <c r="A706" s="182" t="s">
        <v>1</v>
      </c>
      <c r="B706" s="183" t="s">
        <v>756</v>
      </c>
      <c r="C706" s="184"/>
      <c r="D706" s="330" t="s">
        <v>675</v>
      </c>
      <c r="E706" s="182"/>
      <c r="F706" s="330"/>
      <c r="G706" s="182"/>
      <c r="H706" s="184"/>
      <c r="I706" s="185"/>
      <c r="J706" s="172" t="str">
        <f t="shared" si="17"/>
        <v/>
      </c>
      <c r="K706" s="174"/>
    </row>
    <row r="707" spans="1:11" x14ac:dyDescent="0.2">
      <c r="A707" s="184"/>
      <c r="B707" s="183" t="s">
        <v>757</v>
      </c>
      <c r="C707" s="123"/>
      <c r="D707" s="330">
        <f>+F10</f>
        <v>350</v>
      </c>
      <c r="E707" s="182" t="s">
        <v>758</v>
      </c>
      <c r="F707" s="330"/>
      <c r="G707" s="182"/>
      <c r="H707" s="184"/>
      <c r="I707" s="186"/>
      <c r="J707" s="172" t="str">
        <f t="shared" ref="J707:J770" si="19">IF(A707=1, 4,IF(G707="", "",+K707))</f>
        <v/>
      </c>
      <c r="K707" s="174"/>
    </row>
    <row r="708" spans="1:11" x14ac:dyDescent="0.2">
      <c r="A708" s="184"/>
      <c r="B708" s="184"/>
      <c r="C708" s="184"/>
      <c r="D708" s="330"/>
      <c r="E708" s="182"/>
      <c r="F708" s="330"/>
      <c r="G708" s="182"/>
      <c r="H708" s="184"/>
      <c r="I708" s="186"/>
      <c r="J708" s="172" t="str">
        <f t="shared" si="19"/>
        <v/>
      </c>
      <c r="K708" s="174"/>
    </row>
    <row r="709" spans="1:11" s="108" customFormat="1" x14ac:dyDescent="0.2">
      <c r="A709" s="165" t="s">
        <v>759</v>
      </c>
      <c r="B709" s="166" t="s">
        <v>712</v>
      </c>
      <c r="C709" s="167"/>
      <c r="D709" s="327" t="s">
        <v>713</v>
      </c>
      <c r="E709" s="168"/>
      <c r="F709" s="327" t="s">
        <v>760</v>
      </c>
      <c r="G709" s="156" t="s">
        <v>715</v>
      </c>
      <c r="H709" s="167"/>
      <c r="I709" s="169" t="s">
        <v>716</v>
      </c>
      <c r="J709" s="172">
        <f t="shared" si="19"/>
        <v>0</v>
      </c>
      <c r="K709" s="171"/>
    </row>
    <row r="710" spans="1:11" x14ac:dyDescent="0.2">
      <c r="A710" s="117" t="s">
        <v>1</v>
      </c>
      <c r="B710" s="117"/>
      <c r="C710" s="117"/>
      <c r="D710" s="321"/>
      <c r="E710" s="118"/>
      <c r="F710" s="321"/>
      <c r="G710" s="118"/>
      <c r="H710" s="117"/>
      <c r="I710" s="144"/>
      <c r="J710" s="172" t="str">
        <f t="shared" si="19"/>
        <v/>
      </c>
      <c r="K710" s="171"/>
    </row>
    <row r="711" spans="1:11" x14ac:dyDescent="0.2">
      <c r="A711" s="121" t="s">
        <v>1</v>
      </c>
      <c r="B711" s="121"/>
      <c r="G711" s="110" t="s">
        <v>1</v>
      </c>
      <c r="J711" s="172">
        <f t="shared" si="19"/>
        <v>0</v>
      </c>
      <c r="K711" s="171"/>
    </row>
    <row r="712" spans="1:11" x14ac:dyDescent="0.2">
      <c r="A712" s="109">
        <v>1</v>
      </c>
      <c r="B712" s="121" t="s">
        <v>763</v>
      </c>
      <c r="D712" s="317" t="s">
        <v>983</v>
      </c>
      <c r="F712" s="317" t="s">
        <v>701</v>
      </c>
      <c r="G712" s="110">
        <v>4</v>
      </c>
      <c r="I712" s="145" t="s">
        <v>765</v>
      </c>
      <c r="J712" s="172">
        <f t="shared" si="19"/>
        <v>4</v>
      </c>
      <c r="K712" s="171">
        <f t="shared" si="18"/>
        <v>1</v>
      </c>
    </row>
    <row r="713" spans="1:11" x14ac:dyDescent="0.2">
      <c r="J713" s="172" t="str">
        <f t="shared" si="19"/>
        <v/>
      </c>
      <c r="K713" s="171">
        <f t="shared" si="18"/>
        <v>5</v>
      </c>
    </row>
    <row r="714" spans="1:11" x14ac:dyDescent="0.2">
      <c r="A714" s="109">
        <v>2</v>
      </c>
      <c r="B714" s="121" t="s">
        <v>766</v>
      </c>
      <c r="D714" s="317" t="s">
        <v>767</v>
      </c>
      <c r="F714" s="317" t="s">
        <v>701</v>
      </c>
      <c r="G714" s="110">
        <v>1</v>
      </c>
      <c r="I714" s="145" t="s">
        <v>768</v>
      </c>
      <c r="J714" s="172">
        <f t="shared" si="19"/>
        <v>5</v>
      </c>
      <c r="K714" s="171">
        <f t="shared" si="18"/>
        <v>5</v>
      </c>
    </row>
    <row r="715" spans="1:11" x14ac:dyDescent="0.2">
      <c r="J715" s="172" t="str">
        <f t="shared" si="19"/>
        <v/>
      </c>
      <c r="K715" s="171">
        <f t="shared" si="18"/>
        <v>6</v>
      </c>
    </row>
    <row r="716" spans="1:11" x14ac:dyDescent="0.2">
      <c r="A716" s="109">
        <v>3</v>
      </c>
      <c r="B716" s="121" t="s">
        <v>769</v>
      </c>
      <c r="D716" s="317" t="s">
        <v>770</v>
      </c>
      <c r="F716" s="317" t="s">
        <v>701</v>
      </c>
      <c r="G716" s="110">
        <v>4</v>
      </c>
      <c r="I716" s="145" t="s">
        <v>768</v>
      </c>
      <c r="J716" s="172">
        <f t="shared" si="19"/>
        <v>6</v>
      </c>
      <c r="K716" s="171">
        <f t="shared" si="18"/>
        <v>6</v>
      </c>
    </row>
    <row r="717" spans="1:11" x14ac:dyDescent="0.2">
      <c r="J717" s="172" t="str">
        <f t="shared" si="19"/>
        <v/>
      </c>
      <c r="K717" s="171">
        <f t="shared" si="18"/>
        <v>10</v>
      </c>
    </row>
    <row r="718" spans="1:11" x14ac:dyDescent="0.2">
      <c r="A718" s="109">
        <v>4</v>
      </c>
      <c r="B718" s="121" t="s">
        <v>771</v>
      </c>
      <c r="F718" s="317" t="s">
        <v>772</v>
      </c>
      <c r="G718" s="110">
        <v>1</v>
      </c>
      <c r="I718" s="145" t="s">
        <v>773</v>
      </c>
      <c r="J718" s="172">
        <f t="shared" si="19"/>
        <v>10</v>
      </c>
      <c r="K718" s="171">
        <f t="shared" si="18"/>
        <v>10</v>
      </c>
    </row>
    <row r="719" spans="1:11" x14ac:dyDescent="0.2">
      <c r="J719" s="172" t="str">
        <f t="shared" si="19"/>
        <v/>
      </c>
      <c r="K719" s="171">
        <f t="shared" si="18"/>
        <v>11</v>
      </c>
    </row>
    <row r="720" spans="1:11" x14ac:dyDescent="0.2">
      <c r="B720" s="173" t="s">
        <v>774</v>
      </c>
      <c r="J720" s="172" t="str">
        <f t="shared" si="19"/>
        <v/>
      </c>
      <c r="K720" s="171">
        <f t="shared" si="18"/>
        <v>11</v>
      </c>
    </row>
    <row r="721" spans="1:11" x14ac:dyDescent="0.2">
      <c r="J721" s="172" t="str">
        <f t="shared" si="19"/>
        <v/>
      </c>
      <c r="K721" s="171">
        <f t="shared" si="18"/>
        <v>11</v>
      </c>
    </row>
    <row r="722" spans="1:11" x14ac:dyDescent="0.2">
      <c r="A722" s="109">
        <v>5</v>
      </c>
      <c r="B722" s="109" t="s">
        <v>775</v>
      </c>
      <c r="F722" s="317" t="s">
        <v>701</v>
      </c>
      <c r="G722" s="110">
        <v>3</v>
      </c>
      <c r="I722" s="111" t="s">
        <v>984</v>
      </c>
      <c r="J722" s="172">
        <f t="shared" si="19"/>
        <v>11</v>
      </c>
      <c r="K722" s="171">
        <f t="shared" si="18"/>
        <v>11</v>
      </c>
    </row>
    <row r="723" spans="1:11" x14ac:dyDescent="0.2">
      <c r="I723" s="145" t="s">
        <v>777</v>
      </c>
      <c r="J723" s="172" t="str">
        <f t="shared" si="19"/>
        <v/>
      </c>
      <c r="K723" s="171">
        <f t="shared" si="18"/>
        <v>14</v>
      </c>
    </row>
    <row r="724" spans="1:11" x14ac:dyDescent="0.2">
      <c r="I724" s="145" t="s">
        <v>778</v>
      </c>
      <c r="J724" s="172" t="str">
        <f t="shared" si="19"/>
        <v/>
      </c>
      <c r="K724" s="171">
        <f t="shared" si="18"/>
        <v>14</v>
      </c>
    </row>
    <row r="725" spans="1:11" x14ac:dyDescent="0.2">
      <c r="I725" s="145"/>
      <c r="J725" s="172" t="str">
        <f t="shared" si="19"/>
        <v/>
      </c>
      <c r="K725" s="171">
        <f t="shared" si="18"/>
        <v>14</v>
      </c>
    </row>
    <row r="726" spans="1:11" x14ac:dyDescent="0.2">
      <c r="A726" s="109">
        <v>6</v>
      </c>
      <c r="B726" s="121" t="s">
        <v>779</v>
      </c>
      <c r="F726" s="317" t="s">
        <v>701</v>
      </c>
      <c r="G726" s="110">
        <v>8</v>
      </c>
      <c r="I726" s="145" t="s">
        <v>780</v>
      </c>
      <c r="J726" s="172">
        <f t="shared" si="19"/>
        <v>14</v>
      </c>
      <c r="K726" s="171">
        <f t="shared" si="18"/>
        <v>14</v>
      </c>
    </row>
    <row r="727" spans="1:11" x14ac:dyDescent="0.2">
      <c r="B727" s="121"/>
      <c r="I727" s="145" t="s">
        <v>781</v>
      </c>
      <c r="J727" s="172" t="str">
        <f t="shared" si="19"/>
        <v/>
      </c>
      <c r="K727" s="171">
        <f t="shared" si="18"/>
        <v>22</v>
      </c>
    </row>
    <row r="728" spans="1:11" x14ac:dyDescent="0.2">
      <c r="B728" s="121"/>
      <c r="I728" s="145"/>
      <c r="J728" s="172" t="str">
        <f t="shared" si="19"/>
        <v/>
      </c>
      <c r="K728" s="171">
        <f t="shared" si="18"/>
        <v>22</v>
      </c>
    </row>
    <row r="729" spans="1:11" x14ac:dyDescent="0.2">
      <c r="A729" s="109">
        <v>7</v>
      </c>
      <c r="B729" s="109" t="s">
        <v>985</v>
      </c>
      <c r="F729" s="317" t="s">
        <v>701</v>
      </c>
      <c r="G729" s="110">
        <v>16</v>
      </c>
      <c r="I729" s="145" t="s">
        <v>986</v>
      </c>
      <c r="J729" s="172">
        <f t="shared" si="19"/>
        <v>22</v>
      </c>
      <c r="K729" s="171">
        <f t="shared" si="18"/>
        <v>22</v>
      </c>
    </row>
    <row r="730" spans="1:11" x14ac:dyDescent="0.2">
      <c r="B730" s="121"/>
      <c r="I730" s="145"/>
      <c r="J730" s="172" t="str">
        <f t="shared" si="19"/>
        <v/>
      </c>
      <c r="K730" s="171">
        <f t="shared" si="18"/>
        <v>38</v>
      </c>
    </row>
    <row r="731" spans="1:11" x14ac:dyDescent="0.2">
      <c r="A731" s="109">
        <v>8</v>
      </c>
      <c r="B731" s="109" t="s">
        <v>782</v>
      </c>
      <c r="F731" s="317" t="s">
        <v>772</v>
      </c>
      <c r="G731" s="110">
        <v>13</v>
      </c>
      <c r="I731" s="111" t="s">
        <v>783</v>
      </c>
      <c r="J731" s="172">
        <f t="shared" si="19"/>
        <v>38</v>
      </c>
      <c r="K731" s="171">
        <f t="shared" si="18"/>
        <v>38</v>
      </c>
    </row>
    <row r="732" spans="1:11" x14ac:dyDescent="0.2">
      <c r="J732" s="172" t="str">
        <f t="shared" si="19"/>
        <v/>
      </c>
      <c r="K732" s="171">
        <f t="shared" si="18"/>
        <v>51</v>
      </c>
    </row>
    <row r="733" spans="1:11" x14ac:dyDescent="0.2">
      <c r="B733" s="173" t="s">
        <v>987</v>
      </c>
      <c r="J733" s="172" t="str">
        <f t="shared" si="19"/>
        <v/>
      </c>
      <c r="K733" s="171">
        <f>IF(A733=1,1,+K732+G732)</f>
        <v>51</v>
      </c>
    </row>
    <row r="734" spans="1:11" x14ac:dyDescent="0.2">
      <c r="A734" s="157"/>
      <c r="J734" s="172" t="str">
        <f t="shared" si="19"/>
        <v/>
      </c>
      <c r="K734" s="171">
        <f t="shared" si="18"/>
        <v>51</v>
      </c>
    </row>
    <row r="735" spans="1:11" x14ac:dyDescent="0.2">
      <c r="A735" s="109">
        <v>9</v>
      </c>
      <c r="B735" s="121" t="s">
        <v>988</v>
      </c>
      <c r="F735" s="317" t="s">
        <v>701</v>
      </c>
      <c r="G735" s="110">
        <v>9</v>
      </c>
      <c r="I735" s="145" t="s">
        <v>989</v>
      </c>
      <c r="J735" s="172">
        <f t="shared" si="19"/>
        <v>51</v>
      </c>
      <c r="K735" s="171">
        <f t="shared" si="18"/>
        <v>51</v>
      </c>
    </row>
    <row r="736" spans="1:11" x14ac:dyDescent="0.2">
      <c r="B736" s="121"/>
      <c r="I736" s="145" t="s">
        <v>990</v>
      </c>
      <c r="J736" s="172" t="str">
        <f t="shared" si="19"/>
        <v/>
      </c>
      <c r="K736" s="171">
        <f t="shared" si="18"/>
        <v>60</v>
      </c>
    </row>
    <row r="737" spans="1:11" x14ac:dyDescent="0.2">
      <c r="B737" s="121"/>
      <c r="I737" s="145"/>
      <c r="J737" s="172" t="str">
        <f t="shared" si="19"/>
        <v/>
      </c>
      <c r="K737" s="171">
        <f t="shared" si="18"/>
        <v>60</v>
      </c>
    </row>
    <row r="738" spans="1:11" x14ac:dyDescent="0.2">
      <c r="A738" s="109">
        <v>10</v>
      </c>
      <c r="B738" s="121" t="s">
        <v>847</v>
      </c>
      <c r="F738" s="317" t="s">
        <v>701</v>
      </c>
      <c r="G738" s="110">
        <v>2</v>
      </c>
      <c r="I738" s="145" t="s">
        <v>848</v>
      </c>
      <c r="J738" s="172">
        <f t="shared" si="19"/>
        <v>60</v>
      </c>
      <c r="K738" s="171">
        <f t="shared" si="18"/>
        <v>60</v>
      </c>
    </row>
    <row r="739" spans="1:11" ht="30" x14ac:dyDescent="0.2">
      <c r="B739" s="121"/>
      <c r="I739" s="145" t="s">
        <v>991</v>
      </c>
      <c r="J739" s="172" t="str">
        <f t="shared" si="19"/>
        <v/>
      </c>
      <c r="K739" s="171">
        <f t="shared" si="18"/>
        <v>62</v>
      </c>
    </row>
    <row r="740" spans="1:11" x14ac:dyDescent="0.2">
      <c r="B740" s="121"/>
      <c r="I740" s="145"/>
      <c r="J740" s="172" t="str">
        <f t="shared" si="19"/>
        <v/>
      </c>
      <c r="K740" s="171">
        <f t="shared" si="18"/>
        <v>62</v>
      </c>
    </row>
    <row r="741" spans="1:11" x14ac:dyDescent="0.2">
      <c r="A741" s="109">
        <v>11</v>
      </c>
      <c r="B741" s="109" t="s">
        <v>782</v>
      </c>
      <c r="F741" s="317" t="s">
        <v>701</v>
      </c>
      <c r="G741" s="110">
        <v>16</v>
      </c>
      <c r="I741" s="145" t="s">
        <v>783</v>
      </c>
      <c r="J741" s="172">
        <f t="shared" si="19"/>
        <v>62</v>
      </c>
      <c r="K741" s="171">
        <f t="shared" si="18"/>
        <v>62</v>
      </c>
    </row>
    <row r="742" spans="1:11" x14ac:dyDescent="0.2">
      <c r="I742" s="145" t="s">
        <v>992</v>
      </c>
      <c r="J742" s="172" t="str">
        <f t="shared" si="19"/>
        <v/>
      </c>
      <c r="K742" s="171">
        <f t="shared" si="18"/>
        <v>78</v>
      </c>
    </row>
    <row r="743" spans="1:11" x14ac:dyDescent="0.2">
      <c r="I743" s="145"/>
      <c r="J743" s="172" t="str">
        <f t="shared" si="19"/>
        <v/>
      </c>
      <c r="K743" s="171">
        <f t="shared" si="18"/>
        <v>78</v>
      </c>
    </row>
    <row r="744" spans="1:11" ht="30" x14ac:dyDescent="0.2">
      <c r="A744" s="109">
        <v>12</v>
      </c>
      <c r="B744" s="109" t="s">
        <v>854</v>
      </c>
      <c r="F744" s="317" t="s">
        <v>772</v>
      </c>
      <c r="G744" s="110">
        <v>1</v>
      </c>
      <c r="I744" s="145" t="s">
        <v>855</v>
      </c>
      <c r="J744" s="172">
        <f t="shared" si="19"/>
        <v>78</v>
      </c>
      <c r="K744" s="171">
        <f t="shared" ref="K744:K807" si="20">IF(A744=1,1,+K743+G743)</f>
        <v>78</v>
      </c>
    </row>
    <row r="745" spans="1:11" ht="30" x14ac:dyDescent="0.2">
      <c r="I745" s="145" t="s">
        <v>993</v>
      </c>
      <c r="J745" s="172" t="str">
        <f t="shared" si="19"/>
        <v/>
      </c>
      <c r="K745" s="171">
        <f t="shared" si="20"/>
        <v>79</v>
      </c>
    </row>
    <row r="746" spans="1:11" x14ac:dyDescent="0.2">
      <c r="I746" s="145"/>
      <c r="J746" s="172" t="str">
        <f t="shared" si="19"/>
        <v/>
      </c>
      <c r="K746" s="171">
        <f t="shared" si="20"/>
        <v>79</v>
      </c>
    </row>
    <row r="747" spans="1:11" x14ac:dyDescent="0.2">
      <c r="A747" s="109">
        <v>13</v>
      </c>
      <c r="B747" s="109" t="s">
        <v>858</v>
      </c>
      <c r="F747" s="317" t="s">
        <v>772</v>
      </c>
      <c r="G747" s="110">
        <v>1</v>
      </c>
      <c r="I747" s="145" t="s">
        <v>859</v>
      </c>
      <c r="J747" s="172">
        <f t="shared" si="19"/>
        <v>79</v>
      </c>
      <c r="K747" s="171">
        <f t="shared" si="20"/>
        <v>79</v>
      </c>
    </row>
    <row r="748" spans="1:11" x14ac:dyDescent="0.2">
      <c r="I748" s="145" t="s">
        <v>860</v>
      </c>
      <c r="J748" s="172" t="str">
        <f t="shared" si="19"/>
        <v/>
      </c>
      <c r="K748" s="171">
        <f t="shared" si="20"/>
        <v>80</v>
      </c>
    </row>
    <row r="749" spans="1:11" x14ac:dyDescent="0.2">
      <c r="I749" s="145" t="s">
        <v>861</v>
      </c>
      <c r="J749" s="172" t="str">
        <f t="shared" si="19"/>
        <v/>
      </c>
      <c r="K749" s="171">
        <f t="shared" si="20"/>
        <v>80</v>
      </c>
    </row>
    <row r="750" spans="1:11" x14ac:dyDescent="0.2">
      <c r="I750" s="145"/>
      <c r="J750" s="172" t="str">
        <f t="shared" si="19"/>
        <v/>
      </c>
      <c r="K750" s="171">
        <f t="shared" si="20"/>
        <v>80</v>
      </c>
    </row>
    <row r="751" spans="1:11" x14ac:dyDescent="0.2">
      <c r="A751" s="109">
        <v>14</v>
      </c>
      <c r="B751" s="109" t="s">
        <v>862</v>
      </c>
      <c r="F751" s="317" t="s">
        <v>772</v>
      </c>
      <c r="G751" s="110">
        <v>17</v>
      </c>
      <c r="I751" s="145" t="s">
        <v>863</v>
      </c>
      <c r="J751" s="172">
        <f t="shared" si="19"/>
        <v>80</v>
      </c>
      <c r="K751" s="171">
        <f t="shared" si="20"/>
        <v>80</v>
      </c>
    </row>
    <row r="752" spans="1:11" x14ac:dyDescent="0.2">
      <c r="I752" s="145"/>
      <c r="J752" s="172" t="str">
        <f t="shared" si="19"/>
        <v/>
      </c>
      <c r="K752" s="171">
        <f t="shared" si="20"/>
        <v>97</v>
      </c>
    </row>
    <row r="753" spans="1:11" x14ac:dyDescent="0.2">
      <c r="A753" s="109">
        <v>15</v>
      </c>
      <c r="B753" s="121" t="s">
        <v>868</v>
      </c>
      <c r="F753" s="317" t="s">
        <v>772</v>
      </c>
      <c r="G753" s="110">
        <v>3</v>
      </c>
      <c r="I753" s="145" t="s">
        <v>869</v>
      </c>
      <c r="J753" s="172">
        <f t="shared" si="19"/>
        <v>97</v>
      </c>
      <c r="K753" s="171">
        <f t="shared" si="20"/>
        <v>97</v>
      </c>
    </row>
    <row r="754" spans="1:11" ht="30" x14ac:dyDescent="0.2">
      <c r="B754" s="121"/>
      <c r="I754" s="145" t="s">
        <v>870</v>
      </c>
      <c r="J754" s="172" t="str">
        <f t="shared" si="19"/>
        <v/>
      </c>
      <c r="K754" s="171">
        <f t="shared" si="20"/>
        <v>100</v>
      </c>
    </row>
    <row r="755" spans="1:11" x14ac:dyDescent="0.2">
      <c r="B755" s="121"/>
      <c r="I755" s="145" t="s">
        <v>871</v>
      </c>
      <c r="J755" s="172" t="str">
        <f t="shared" si="19"/>
        <v/>
      </c>
      <c r="K755" s="171">
        <f t="shared" si="20"/>
        <v>100</v>
      </c>
    </row>
    <row r="756" spans="1:11" x14ac:dyDescent="0.2">
      <c r="B756" s="121"/>
      <c r="I756" s="145"/>
      <c r="J756" s="172" t="str">
        <f t="shared" si="19"/>
        <v/>
      </c>
      <c r="K756" s="171">
        <f t="shared" si="20"/>
        <v>100</v>
      </c>
    </row>
    <row r="757" spans="1:11" ht="15.75" thickBot="1" x14ac:dyDescent="0.25">
      <c r="A757" s="109">
        <v>16</v>
      </c>
      <c r="B757" s="121" t="s">
        <v>782</v>
      </c>
      <c r="F757" s="317" t="s">
        <v>772</v>
      </c>
      <c r="G757" s="110">
        <f>D707-J753-G753+1</f>
        <v>251</v>
      </c>
      <c r="I757" s="145" t="s">
        <v>965</v>
      </c>
      <c r="J757" s="172">
        <f t="shared" si="19"/>
        <v>100</v>
      </c>
      <c r="K757" s="171">
        <f t="shared" si="20"/>
        <v>100</v>
      </c>
    </row>
    <row r="758" spans="1:11" ht="16.5" thickTop="1" thickBot="1" x14ac:dyDescent="0.25">
      <c r="B758" s="181" t="s">
        <v>755</v>
      </c>
      <c r="C758" s="139"/>
      <c r="D758" s="323" t="s">
        <v>911</v>
      </c>
      <c r="E758" s="118"/>
      <c r="F758" s="321"/>
      <c r="G758" s="118"/>
      <c r="H758" s="117"/>
      <c r="I758" s="152"/>
      <c r="J758" s="172" t="str">
        <f t="shared" si="19"/>
        <v/>
      </c>
      <c r="K758" s="171"/>
    </row>
    <row r="759" spans="1:11" ht="15.75" thickTop="1" x14ac:dyDescent="0.2">
      <c r="B759" s="138"/>
      <c r="D759" s="321"/>
      <c r="E759" s="118"/>
      <c r="F759" s="321"/>
      <c r="G759" s="118"/>
      <c r="H759" s="117"/>
      <c r="J759" s="172" t="str">
        <f t="shared" si="19"/>
        <v/>
      </c>
      <c r="K759" s="171"/>
    </row>
    <row r="760" spans="1:11" x14ac:dyDescent="0.2">
      <c r="A760" s="182" t="s">
        <v>1</v>
      </c>
      <c r="B760" s="183" t="s">
        <v>912</v>
      </c>
      <c r="C760" s="184"/>
      <c r="D760" s="330" t="s">
        <v>675</v>
      </c>
      <c r="E760" s="182"/>
      <c r="F760" s="330"/>
      <c r="G760" s="182"/>
      <c r="H760" s="184"/>
      <c r="I760" s="185"/>
      <c r="J760" s="172" t="str">
        <f t="shared" si="19"/>
        <v/>
      </c>
      <c r="K760" s="174"/>
    </row>
    <row r="761" spans="1:11" x14ac:dyDescent="0.2">
      <c r="A761" s="184"/>
      <c r="B761" s="183" t="s">
        <v>757</v>
      </c>
      <c r="C761" s="123"/>
      <c r="D761" s="330">
        <f>+G10</f>
        <v>450</v>
      </c>
      <c r="E761" s="182" t="s">
        <v>758</v>
      </c>
      <c r="F761" s="330"/>
      <c r="G761" s="182"/>
      <c r="H761" s="184"/>
      <c r="I761" s="186"/>
      <c r="J761" s="172" t="str">
        <f t="shared" si="19"/>
        <v/>
      </c>
      <c r="K761" s="174"/>
    </row>
    <row r="762" spans="1:11" x14ac:dyDescent="0.2">
      <c r="A762" s="184"/>
      <c r="B762" s="184"/>
      <c r="C762" s="184"/>
      <c r="D762" s="330"/>
      <c r="E762" s="182"/>
      <c r="F762" s="330"/>
      <c r="G762" s="182"/>
      <c r="H762" s="184"/>
      <c r="I762" s="186"/>
      <c r="J762" s="172" t="str">
        <f t="shared" si="19"/>
        <v/>
      </c>
      <c r="K762" s="174"/>
    </row>
    <row r="763" spans="1:11" s="108" customFormat="1" x14ac:dyDescent="0.2">
      <c r="A763" s="165" t="s">
        <v>759</v>
      </c>
      <c r="B763" s="166" t="s">
        <v>712</v>
      </c>
      <c r="C763" s="167"/>
      <c r="D763" s="327" t="s">
        <v>713</v>
      </c>
      <c r="E763" s="168"/>
      <c r="F763" s="327" t="s">
        <v>760</v>
      </c>
      <c r="G763" s="156" t="s">
        <v>715</v>
      </c>
      <c r="H763" s="167"/>
      <c r="I763" s="169" t="s">
        <v>716</v>
      </c>
      <c r="J763" s="172">
        <f t="shared" si="19"/>
        <v>0</v>
      </c>
      <c r="K763" s="171"/>
    </row>
    <row r="764" spans="1:11" x14ac:dyDescent="0.2">
      <c r="A764" s="117" t="s">
        <v>1</v>
      </c>
      <c r="B764" s="117"/>
      <c r="C764" s="117"/>
      <c r="D764" s="321"/>
      <c r="E764" s="118"/>
      <c r="F764" s="321"/>
      <c r="G764" s="118"/>
      <c r="H764" s="117"/>
      <c r="I764" s="144"/>
      <c r="J764" s="172" t="str">
        <f t="shared" si="19"/>
        <v/>
      </c>
      <c r="K764" s="171"/>
    </row>
    <row r="765" spans="1:11" x14ac:dyDescent="0.2">
      <c r="A765" s="121" t="s">
        <v>1</v>
      </c>
      <c r="B765" s="121" t="s">
        <v>762</v>
      </c>
      <c r="J765" s="172" t="str">
        <f t="shared" si="19"/>
        <v/>
      </c>
      <c r="K765" s="171"/>
    </row>
    <row r="766" spans="1:11" x14ac:dyDescent="0.2">
      <c r="A766" s="109">
        <v>1</v>
      </c>
      <c r="B766" s="121" t="s">
        <v>763</v>
      </c>
      <c r="D766" s="317" t="s">
        <v>983</v>
      </c>
      <c r="F766" s="317" t="s">
        <v>701</v>
      </c>
      <c r="G766" s="110">
        <v>4</v>
      </c>
      <c r="I766" s="145" t="s">
        <v>765</v>
      </c>
      <c r="J766" s="172">
        <f t="shared" si="19"/>
        <v>4</v>
      </c>
      <c r="K766" s="171">
        <f t="shared" si="20"/>
        <v>1</v>
      </c>
    </row>
    <row r="767" spans="1:11" x14ac:dyDescent="0.2">
      <c r="J767" s="172" t="str">
        <f t="shared" si="19"/>
        <v/>
      </c>
      <c r="K767" s="171">
        <f t="shared" si="20"/>
        <v>5</v>
      </c>
    </row>
    <row r="768" spans="1:11" x14ac:dyDescent="0.2">
      <c r="A768" s="109">
        <v>2</v>
      </c>
      <c r="B768" s="121" t="s">
        <v>766</v>
      </c>
      <c r="D768" s="317" t="s">
        <v>767</v>
      </c>
      <c r="F768" s="317" t="s">
        <v>701</v>
      </c>
      <c r="G768" s="110">
        <v>1</v>
      </c>
      <c r="I768" s="145" t="s">
        <v>768</v>
      </c>
      <c r="J768" s="172">
        <f t="shared" si="19"/>
        <v>5</v>
      </c>
      <c r="K768" s="171">
        <f t="shared" si="20"/>
        <v>5</v>
      </c>
    </row>
    <row r="769" spans="1:11" x14ac:dyDescent="0.2">
      <c r="J769" s="172" t="str">
        <f t="shared" si="19"/>
        <v/>
      </c>
      <c r="K769" s="171">
        <f t="shared" si="20"/>
        <v>6</v>
      </c>
    </row>
    <row r="770" spans="1:11" x14ac:dyDescent="0.2">
      <c r="A770" s="109">
        <v>3</v>
      </c>
      <c r="B770" s="121" t="s">
        <v>769</v>
      </c>
      <c r="D770" s="317" t="s">
        <v>770</v>
      </c>
      <c r="F770" s="317" t="s">
        <v>701</v>
      </c>
      <c r="G770" s="110">
        <v>4</v>
      </c>
      <c r="I770" s="145" t="s">
        <v>768</v>
      </c>
      <c r="J770" s="172">
        <f t="shared" si="19"/>
        <v>6</v>
      </c>
      <c r="K770" s="171">
        <f t="shared" si="20"/>
        <v>6</v>
      </c>
    </row>
    <row r="771" spans="1:11" x14ac:dyDescent="0.2">
      <c r="J771" s="172" t="str">
        <f t="shared" ref="J771:J834" si="21">IF(A771=1, 4,IF(G771="", "",+K771))</f>
        <v/>
      </c>
      <c r="K771" s="171">
        <f t="shared" si="20"/>
        <v>10</v>
      </c>
    </row>
    <row r="772" spans="1:11" x14ac:dyDescent="0.2">
      <c r="A772" s="109">
        <v>4</v>
      </c>
      <c r="B772" s="121" t="s">
        <v>771</v>
      </c>
      <c r="F772" s="317" t="s">
        <v>772</v>
      </c>
      <c r="G772" s="110">
        <v>1</v>
      </c>
      <c r="I772" s="145" t="s">
        <v>773</v>
      </c>
      <c r="J772" s="172">
        <f t="shared" si="21"/>
        <v>10</v>
      </c>
      <c r="K772" s="171">
        <f t="shared" si="20"/>
        <v>10</v>
      </c>
    </row>
    <row r="773" spans="1:11" x14ac:dyDescent="0.2">
      <c r="J773" s="172" t="str">
        <f t="shared" si="21"/>
        <v/>
      </c>
      <c r="K773" s="171">
        <f t="shared" si="20"/>
        <v>11</v>
      </c>
    </row>
    <row r="774" spans="1:11" x14ac:dyDescent="0.2">
      <c r="B774" s="173" t="s">
        <v>774</v>
      </c>
      <c r="J774" s="172" t="str">
        <f t="shared" si="21"/>
        <v/>
      </c>
      <c r="K774" s="171">
        <f t="shared" si="20"/>
        <v>11</v>
      </c>
    </row>
    <row r="775" spans="1:11" x14ac:dyDescent="0.2">
      <c r="J775" s="172" t="str">
        <f t="shared" si="21"/>
        <v/>
      </c>
      <c r="K775" s="171">
        <f t="shared" si="20"/>
        <v>11</v>
      </c>
    </row>
    <row r="776" spans="1:11" x14ac:dyDescent="0.2">
      <c r="A776" s="109">
        <v>5</v>
      </c>
      <c r="B776" s="109" t="s">
        <v>994</v>
      </c>
      <c r="F776" s="317" t="s">
        <v>701</v>
      </c>
      <c r="G776" s="110">
        <v>3</v>
      </c>
      <c r="I776" s="111" t="s">
        <v>984</v>
      </c>
      <c r="J776" s="172">
        <f t="shared" si="21"/>
        <v>11</v>
      </c>
      <c r="K776" s="171">
        <f t="shared" si="20"/>
        <v>11</v>
      </c>
    </row>
    <row r="777" spans="1:11" x14ac:dyDescent="0.2">
      <c r="I777" s="145" t="s">
        <v>777</v>
      </c>
      <c r="J777" s="172" t="str">
        <f t="shared" si="21"/>
        <v/>
      </c>
      <c r="K777" s="171">
        <f t="shared" si="20"/>
        <v>14</v>
      </c>
    </row>
    <row r="778" spans="1:11" x14ac:dyDescent="0.2">
      <c r="I778" s="145" t="s">
        <v>778</v>
      </c>
      <c r="J778" s="172" t="str">
        <f t="shared" si="21"/>
        <v/>
      </c>
      <c r="K778" s="171">
        <f t="shared" si="20"/>
        <v>14</v>
      </c>
    </row>
    <row r="779" spans="1:11" x14ac:dyDescent="0.2">
      <c r="I779" s="145"/>
      <c r="J779" s="172" t="str">
        <f t="shared" si="21"/>
        <v/>
      </c>
      <c r="K779" s="171">
        <f t="shared" si="20"/>
        <v>14</v>
      </c>
    </row>
    <row r="780" spans="1:11" x14ac:dyDescent="0.2">
      <c r="A780" s="109">
        <v>6</v>
      </c>
      <c r="B780" s="121" t="s">
        <v>779</v>
      </c>
      <c r="F780" s="317" t="s">
        <v>701</v>
      </c>
      <c r="G780" s="110">
        <v>8</v>
      </c>
      <c r="I780" s="145" t="s">
        <v>780</v>
      </c>
      <c r="J780" s="172">
        <f t="shared" si="21"/>
        <v>14</v>
      </c>
      <c r="K780" s="171">
        <f t="shared" si="20"/>
        <v>14</v>
      </c>
    </row>
    <row r="781" spans="1:11" x14ac:dyDescent="0.2">
      <c r="B781" s="121"/>
      <c r="I781" s="145" t="s">
        <v>781</v>
      </c>
      <c r="J781" s="172" t="str">
        <f t="shared" si="21"/>
        <v/>
      </c>
      <c r="K781" s="171">
        <f t="shared" si="20"/>
        <v>22</v>
      </c>
    </row>
    <row r="782" spans="1:11" x14ac:dyDescent="0.2">
      <c r="B782" s="121"/>
      <c r="I782" s="145"/>
      <c r="J782" s="172" t="str">
        <f t="shared" si="21"/>
        <v/>
      </c>
      <c r="K782" s="171">
        <f t="shared" si="20"/>
        <v>22</v>
      </c>
    </row>
    <row r="783" spans="1:11" x14ac:dyDescent="0.2">
      <c r="A783" s="109">
        <v>7</v>
      </c>
      <c r="B783" s="109" t="s">
        <v>985</v>
      </c>
      <c r="F783" s="317" t="s">
        <v>701</v>
      </c>
      <c r="G783" s="110">
        <v>16</v>
      </c>
      <c r="I783" s="145" t="s">
        <v>986</v>
      </c>
      <c r="J783" s="172">
        <f t="shared" si="21"/>
        <v>22</v>
      </c>
      <c r="K783" s="171">
        <f t="shared" si="20"/>
        <v>22</v>
      </c>
    </row>
    <row r="784" spans="1:11" x14ac:dyDescent="0.2">
      <c r="B784" s="121"/>
      <c r="I784" s="145"/>
      <c r="J784" s="172" t="str">
        <f t="shared" si="21"/>
        <v/>
      </c>
      <c r="K784" s="171">
        <f t="shared" si="20"/>
        <v>38</v>
      </c>
    </row>
    <row r="785" spans="1:11" x14ac:dyDescent="0.2">
      <c r="A785" s="109">
        <v>8</v>
      </c>
      <c r="B785" s="109" t="s">
        <v>782</v>
      </c>
      <c r="F785" s="317" t="s">
        <v>772</v>
      </c>
      <c r="G785" s="110">
        <v>13</v>
      </c>
      <c r="I785" s="111" t="s">
        <v>783</v>
      </c>
      <c r="J785" s="172">
        <f t="shared" si="21"/>
        <v>38</v>
      </c>
      <c r="K785" s="171">
        <f t="shared" si="20"/>
        <v>38</v>
      </c>
    </row>
    <row r="786" spans="1:11" x14ac:dyDescent="0.2">
      <c r="J786" s="172" t="str">
        <f t="shared" si="21"/>
        <v/>
      </c>
      <c r="K786" s="171">
        <f t="shared" si="20"/>
        <v>51</v>
      </c>
    </row>
    <row r="787" spans="1:11" x14ac:dyDescent="0.2">
      <c r="J787" s="172" t="str">
        <f t="shared" si="21"/>
        <v/>
      </c>
      <c r="K787" s="171">
        <f t="shared" si="20"/>
        <v>51</v>
      </c>
    </row>
    <row r="788" spans="1:11" x14ac:dyDescent="0.2">
      <c r="J788" s="172" t="str">
        <f t="shared" si="21"/>
        <v/>
      </c>
      <c r="K788" s="171">
        <f t="shared" si="20"/>
        <v>51</v>
      </c>
    </row>
    <row r="789" spans="1:11" x14ac:dyDescent="0.2">
      <c r="J789" s="172" t="str">
        <f t="shared" si="21"/>
        <v/>
      </c>
      <c r="K789" s="171">
        <f t="shared" si="20"/>
        <v>51</v>
      </c>
    </row>
    <row r="790" spans="1:11" x14ac:dyDescent="0.2">
      <c r="J790" s="172" t="str">
        <f t="shared" si="21"/>
        <v/>
      </c>
      <c r="K790" s="171">
        <f t="shared" si="20"/>
        <v>51</v>
      </c>
    </row>
    <row r="791" spans="1:11" x14ac:dyDescent="0.2">
      <c r="J791" s="172" t="str">
        <f t="shared" si="21"/>
        <v/>
      </c>
      <c r="K791" s="171">
        <f t="shared" si="20"/>
        <v>51</v>
      </c>
    </row>
    <row r="792" spans="1:11" x14ac:dyDescent="0.2">
      <c r="J792" s="172" t="str">
        <f t="shared" si="21"/>
        <v/>
      </c>
      <c r="K792" s="171">
        <f t="shared" si="20"/>
        <v>51</v>
      </c>
    </row>
    <row r="793" spans="1:11" x14ac:dyDescent="0.2">
      <c r="J793" s="172" t="str">
        <f t="shared" si="21"/>
        <v/>
      </c>
      <c r="K793" s="171">
        <f t="shared" si="20"/>
        <v>51</v>
      </c>
    </row>
    <row r="794" spans="1:11" x14ac:dyDescent="0.2">
      <c r="J794" s="172" t="str">
        <f t="shared" si="21"/>
        <v/>
      </c>
      <c r="K794" s="171">
        <f t="shared" si="20"/>
        <v>51</v>
      </c>
    </row>
    <row r="795" spans="1:11" x14ac:dyDescent="0.2">
      <c r="J795" s="172" t="str">
        <f t="shared" si="21"/>
        <v/>
      </c>
      <c r="K795" s="171">
        <f t="shared" si="20"/>
        <v>51</v>
      </c>
    </row>
    <row r="796" spans="1:11" x14ac:dyDescent="0.2">
      <c r="J796" s="172" t="str">
        <f t="shared" si="21"/>
        <v/>
      </c>
      <c r="K796" s="171">
        <f t="shared" si="20"/>
        <v>51</v>
      </c>
    </row>
    <row r="797" spans="1:11" x14ac:dyDescent="0.2">
      <c r="B797" s="173" t="s">
        <v>987</v>
      </c>
      <c r="J797" s="172" t="str">
        <f t="shared" si="21"/>
        <v/>
      </c>
      <c r="K797" s="171">
        <f t="shared" si="20"/>
        <v>51</v>
      </c>
    </row>
    <row r="798" spans="1:11" x14ac:dyDescent="0.2">
      <c r="A798" s="157"/>
      <c r="J798" s="172" t="str">
        <f t="shared" si="21"/>
        <v/>
      </c>
      <c r="K798" s="171">
        <f t="shared" si="20"/>
        <v>51</v>
      </c>
    </row>
    <row r="799" spans="1:11" x14ac:dyDescent="0.2">
      <c r="A799" s="109">
        <v>9</v>
      </c>
      <c r="B799" s="121" t="s">
        <v>988</v>
      </c>
      <c r="F799" s="317" t="s">
        <v>701</v>
      </c>
      <c r="G799" s="110">
        <v>9</v>
      </c>
      <c r="I799" s="145" t="s">
        <v>989</v>
      </c>
      <c r="J799" s="172">
        <f t="shared" si="21"/>
        <v>51</v>
      </c>
      <c r="K799" s="171">
        <f t="shared" si="20"/>
        <v>51</v>
      </c>
    </row>
    <row r="800" spans="1:11" x14ac:dyDescent="0.2">
      <c r="B800" s="121"/>
      <c r="I800" s="145" t="s">
        <v>990</v>
      </c>
      <c r="J800" s="172" t="str">
        <f t="shared" si="21"/>
        <v/>
      </c>
      <c r="K800" s="171">
        <f t="shared" si="20"/>
        <v>60</v>
      </c>
    </row>
    <row r="801" spans="1:11" x14ac:dyDescent="0.2">
      <c r="B801" s="121"/>
      <c r="I801" s="145"/>
      <c r="J801" s="172" t="str">
        <f t="shared" si="21"/>
        <v/>
      </c>
      <c r="K801" s="171">
        <f t="shared" si="20"/>
        <v>60</v>
      </c>
    </row>
    <row r="802" spans="1:11" x14ac:dyDescent="0.2">
      <c r="A802" s="109">
        <v>10</v>
      </c>
      <c r="B802" s="121" t="s">
        <v>847</v>
      </c>
      <c r="F802" s="317" t="s">
        <v>701</v>
      </c>
      <c r="G802" s="110">
        <v>2</v>
      </c>
      <c r="I802" s="145" t="s">
        <v>848</v>
      </c>
      <c r="J802" s="172">
        <f t="shared" si="21"/>
        <v>60</v>
      </c>
      <c r="K802" s="171">
        <f t="shared" si="20"/>
        <v>60</v>
      </c>
    </row>
    <row r="803" spans="1:11" ht="30" x14ac:dyDescent="0.2">
      <c r="B803" s="121"/>
      <c r="I803" s="145" t="s">
        <v>991</v>
      </c>
      <c r="J803" s="172" t="str">
        <f t="shared" si="21"/>
        <v/>
      </c>
      <c r="K803" s="171">
        <f t="shared" si="20"/>
        <v>62</v>
      </c>
    </row>
    <row r="804" spans="1:11" x14ac:dyDescent="0.2">
      <c r="B804" s="121"/>
      <c r="I804" s="145"/>
      <c r="J804" s="172" t="str">
        <f t="shared" si="21"/>
        <v/>
      </c>
      <c r="K804" s="171">
        <f t="shared" si="20"/>
        <v>62</v>
      </c>
    </row>
    <row r="805" spans="1:11" x14ac:dyDescent="0.2">
      <c r="A805" s="109">
        <v>11</v>
      </c>
      <c r="B805" s="109" t="s">
        <v>982</v>
      </c>
      <c r="F805" s="317" t="s">
        <v>701</v>
      </c>
      <c r="G805" s="110">
        <v>16</v>
      </c>
      <c r="I805" s="145" t="s">
        <v>783</v>
      </c>
      <c r="J805" s="172">
        <f t="shared" si="21"/>
        <v>62</v>
      </c>
      <c r="K805" s="171">
        <f t="shared" si="20"/>
        <v>62</v>
      </c>
    </row>
    <row r="806" spans="1:11" x14ac:dyDescent="0.2">
      <c r="I806" s="145"/>
      <c r="J806" s="172" t="str">
        <f t="shared" si="21"/>
        <v/>
      </c>
      <c r="K806" s="171">
        <f t="shared" si="20"/>
        <v>78</v>
      </c>
    </row>
    <row r="807" spans="1:11" x14ac:dyDescent="0.2">
      <c r="I807" s="145"/>
      <c r="J807" s="172" t="str">
        <f t="shared" si="21"/>
        <v/>
      </c>
      <c r="K807" s="171">
        <f t="shared" si="20"/>
        <v>78</v>
      </c>
    </row>
    <row r="808" spans="1:11" ht="30" x14ac:dyDescent="0.2">
      <c r="A808" s="109">
        <v>12</v>
      </c>
      <c r="B808" s="109" t="s">
        <v>854</v>
      </c>
      <c r="F808" s="317" t="s">
        <v>772</v>
      </c>
      <c r="G808" s="110">
        <v>1</v>
      </c>
      <c r="I808" s="145" t="s">
        <v>855</v>
      </c>
      <c r="J808" s="172">
        <f t="shared" si="21"/>
        <v>78</v>
      </c>
      <c r="K808" s="171">
        <f t="shared" ref="K808:K852" si="22">IF(A808=1,1,+K807+G807)</f>
        <v>78</v>
      </c>
    </row>
    <row r="809" spans="1:11" x14ac:dyDescent="0.2">
      <c r="I809" s="145" t="s">
        <v>856</v>
      </c>
      <c r="J809" s="172" t="str">
        <f t="shared" si="21"/>
        <v/>
      </c>
      <c r="K809" s="171">
        <f t="shared" si="22"/>
        <v>79</v>
      </c>
    </row>
    <row r="810" spans="1:11" x14ac:dyDescent="0.2">
      <c r="I810" s="145" t="s">
        <v>857</v>
      </c>
      <c r="J810" s="172" t="str">
        <f t="shared" si="21"/>
        <v/>
      </c>
      <c r="K810" s="171">
        <f t="shared" si="22"/>
        <v>79</v>
      </c>
    </row>
    <row r="811" spans="1:11" x14ac:dyDescent="0.2">
      <c r="I811" s="145"/>
      <c r="J811" s="172" t="str">
        <f t="shared" si="21"/>
        <v/>
      </c>
      <c r="K811" s="171">
        <f t="shared" si="22"/>
        <v>79</v>
      </c>
    </row>
    <row r="812" spans="1:11" x14ac:dyDescent="0.2">
      <c r="A812" s="109">
        <v>13</v>
      </c>
      <c r="B812" s="109" t="s">
        <v>858</v>
      </c>
      <c r="F812" s="317" t="s">
        <v>772</v>
      </c>
      <c r="G812" s="110">
        <v>1</v>
      </c>
      <c r="I812" s="145" t="s">
        <v>859</v>
      </c>
      <c r="J812" s="172">
        <f t="shared" si="21"/>
        <v>79</v>
      </c>
      <c r="K812" s="171">
        <f t="shared" si="22"/>
        <v>79</v>
      </c>
    </row>
    <row r="813" spans="1:11" x14ac:dyDescent="0.2">
      <c r="I813" s="145" t="s">
        <v>860</v>
      </c>
      <c r="J813" s="172" t="str">
        <f t="shared" si="21"/>
        <v/>
      </c>
      <c r="K813" s="171">
        <f t="shared" si="22"/>
        <v>80</v>
      </c>
    </row>
    <row r="814" spans="1:11" x14ac:dyDescent="0.2">
      <c r="I814" s="145" t="s">
        <v>861</v>
      </c>
      <c r="J814" s="172" t="str">
        <f t="shared" si="21"/>
        <v/>
      </c>
      <c r="K814" s="171">
        <f t="shared" si="22"/>
        <v>80</v>
      </c>
    </row>
    <row r="815" spans="1:11" s="108" customFormat="1" x14ac:dyDescent="0.2">
      <c r="A815" s="187"/>
      <c r="B815" s="187"/>
      <c r="C815" s="188"/>
      <c r="D815" s="331"/>
      <c r="E815" s="189"/>
      <c r="F815" s="331"/>
      <c r="G815" s="189"/>
      <c r="H815" s="188"/>
      <c r="I815" s="190"/>
      <c r="J815" s="172" t="str">
        <f t="shared" si="21"/>
        <v/>
      </c>
      <c r="K815" s="171">
        <f t="shared" si="22"/>
        <v>80</v>
      </c>
    </row>
    <row r="816" spans="1:11" x14ac:dyDescent="0.2">
      <c r="A816" s="109">
        <v>14</v>
      </c>
      <c r="B816" s="109" t="s">
        <v>862</v>
      </c>
      <c r="F816" s="317" t="s">
        <v>772</v>
      </c>
      <c r="G816" s="110">
        <v>17</v>
      </c>
      <c r="I816" s="145" t="s">
        <v>863</v>
      </c>
      <c r="J816" s="172">
        <f t="shared" si="21"/>
        <v>80</v>
      </c>
      <c r="K816" s="171">
        <f t="shared" si="22"/>
        <v>80</v>
      </c>
    </row>
    <row r="817" spans="1:11" x14ac:dyDescent="0.2">
      <c r="I817" s="145"/>
      <c r="J817" s="172" t="str">
        <f t="shared" si="21"/>
        <v/>
      </c>
      <c r="K817" s="171">
        <f t="shared" si="22"/>
        <v>97</v>
      </c>
    </row>
    <row r="818" spans="1:11" x14ac:dyDescent="0.2">
      <c r="A818" s="109">
        <v>15</v>
      </c>
      <c r="B818" s="121" t="s">
        <v>868</v>
      </c>
      <c r="F818" s="317" t="s">
        <v>772</v>
      </c>
      <c r="G818" s="110">
        <v>3</v>
      </c>
      <c r="I818" s="145" t="s">
        <v>869</v>
      </c>
      <c r="J818" s="172">
        <f t="shared" si="21"/>
        <v>97</v>
      </c>
      <c r="K818" s="171">
        <f t="shared" si="22"/>
        <v>97</v>
      </c>
    </row>
    <row r="819" spans="1:11" ht="30" x14ac:dyDescent="0.2">
      <c r="B819" s="121"/>
      <c r="I819" s="145" t="s">
        <v>870</v>
      </c>
      <c r="J819" s="172" t="str">
        <f t="shared" si="21"/>
        <v/>
      </c>
      <c r="K819" s="171">
        <f t="shared" si="22"/>
        <v>100</v>
      </c>
    </row>
    <row r="820" spans="1:11" x14ac:dyDescent="0.2">
      <c r="B820" s="121"/>
      <c r="I820" s="145" t="s">
        <v>871</v>
      </c>
      <c r="J820" s="172" t="str">
        <f t="shared" si="21"/>
        <v/>
      </c>
      <c r="K820" s="171">
        <f t="shared" si="22"/>
        <v>100</v>
      </c>
    </row>
    <row r="821" spans="1:11" x14ac:dyDescent="0.2">
      <c r="B821" s="121"/>
      <c r="I821" s="145"/>
      <c r="J821" s="172" t="str">
        <f t="shared" si="21"/>
        <v/>
      </c>
      <c r="K821" s="171">
        <f t="shared" si="22"/>
        <v>100</v>
      </c>
    </row>
    <row r="822" spans="1:11" x14ac:dyDescent="0.2">
      <c r="B822" s="173" t="s">
        <v>995</v>
      </c>
      <c r="J822" s="172" t="str">
        <f t="shared" si="21"/>
        <v/>
      </c>
      <c r="K822" s="171">
        <f t="shared" si="22"/>
        <v>100</v>
      </c>
    </row>
    <row r="823" spans="1:11" x14ac:dyDescent="0.2">
      <c r="B823" s="121"/>
      <c r="I823" s="145"/>
      <c r="J823" s="172" t="str">
        <f t="shared" si="21"/>
        <v/>
      </c>
      <c r="K823" s="171">
        <f t="shared" si="22"/>
        <v>100</v>
      </c>
    </row>
    <row r="824" spans="1:11" x14ac:dyDescent="0.2">
      <c r="A824" s="109">
        <v>16</v>
      </c>
      <c r="B824" s="121" t="s">
        <v>782</v>
      </c>
      <c r="F824" s="317" t="s">
        <v>701</v>
      </c>
      <c r="G824" s="110">
        <v>7</v>
      </c>
      <c r="I824" s="145" t="s">
        <v>783</v>
      </c>
      <c r="J824" s="172">
        <f t="shared" si="21"/>
        <v>100</v>
      </c>
      <c r="K824" s="171">
        <f t="shared" si="22"/>
        <v>100</v>
      </c>
    </row>
    <row r="825" spans="1:11" x14ac:dyDescent="0.2">
      <c r="J825" s="172" t="str">
        <f t="shared" si="21"/>
        <v/>
      </c>
      <c r="K825" s="171">
        <f t="shared" si="22"/>
        <v>107</v>
      </c>
    </row>
    <row r="826" spans="1:11" x14ac:dyDescent="0.2">
      <c r="A826" s="109">
        <v>17</v>
      </c>
      <c r="B826" s="121" t="s">
        <v>782</v>
      </c>
      <c r="F826" s="317" t="s">
        <v>772</v>
      </c>
      <c r="G826" s="110">
        <v>30</v>
      </c>
      <c r="I826" s="145" t="s">
        <v>787</v>
      </c>
      <c r="J826" s="172">
        <f t="shared" si="21"/>
        <v>107</v>
      </c>
      <c r="K826" s="171">
        <f t="shared" si="22"/>
        <v>107</v>
      </c>
    </row>
    <row r="827" spans="1:11" x14ac:dyDescent="0.2">
      <c r="B827" s="121"/>
      <c r="I827" s="145"/>
      <c r="J827" s="172" t="str">
        <f t="shared" si="21"/>
        <v/>
      </c>
      <c r="K827" s="171">
        <f t="shared" si="22"/>
        <v>137</v>
      </c>
    </row>
    <row r="828" spans="1:11" x14ac:dyDescent="0.2">
      <c r="A828" s="109">
        <v>18</v>
      </c>
      <c r="B828" s="109" t="s">
        <v>782</v>
      </c>
      <c r="F828" s="317" t="s">
        <v>701</v>
      </c>
      <c r="G828" s="110">
        <v>8</v>
      </c>
      <c r="I828" s="111" t="s">
        <v>783</v>
      </c>
      <c r="J828" s="172">
        <f t="shared" si="21"/>
        <v>137</v>
      </c>
      <c r="K828" s="171">
        <f t="shared" si="22"/>
        <v>137</v>
      </c>
    </row>
    <row r="829" spans="1:11" x14ac:dyDescent="0.2">
      <c r="J829" s="172" t="str">
        <f t="shared" si="21"/>
        <v/>
      </c>
      <c r="K829" s="171">
        <f t="shared" si="22"/>
        <v>145</v>
      </c>
    </row>
    <row r="830" spans="1:11" x14ac:dyDescent="0.2">
      <c r="B830" s="173" t="s">
        <v>919</v>
      </c>
      <c r="J830" s="172" t="str">
        <f t="shared" si="21"/>
        <v/>
      </c>
      <c r="K830" s="171">
        <f t="shared" si="22"/>
        <v>145</v>
      </c>
    </row>
    <row r="831" spans="1:11" x14ac:dyDescent="0.2">
      <c r="B831" s="121"/>
      <c r="I831" s="145"/>
      <c r="J831" s="172" t="str">
        <f t="shared" si="21"/>
        <v/>
      </c>
      <c r="K831" s="171">
        <f t="shared" si="22"/>
        <v>145</v>
      </c>
    </row>
    <row r="832" spans="1:11" x14ac:dyDescent="0.2">
      <c r="A832" s="109">
        <v>19</v>
      </c>
      <c r="B832" s="121" t="s">
        <v>996</v>
      </c>
      <c r="F832" s="317" t="s">
        <v>701</v>
      </c>
      <c r="G832" s="110">
        <v>16</v>
      </c>
      <c r="I832" s="145" t="s">
        <v>997</v>
      </c>
      <c r="J832" s="172">
        <f t="shared" si="21"/>
        <v>145</v>
      </c>
      <c r="K832" s="171">
        <f t="shared" si="22"/>
        <v>145</v>
      </c>
    </row>
    <row r="833" spans="1:11" x14ac:dyDescent="0.2">
      <c r="B833" s="121"/>
      <c r="I833" s="145"/>
      <c r="J833" s="172" t="str">
        <f t="shared" si="21"/>
        <v/>
      </c>
      <c r="K833" s="171">
        <f t="shared" si="22"/>
        <v>161</v>
      </c>
    </row>
    <row r="834" spans="1:11" x14ac:dyDescent="0.2">
      <c r="A834" s="109">
        <v>20</v>
      </c>
      <c r="B834" s="121" t="s">
        <v>922</v>
      </c>
      <c r="D834" s="317" t="s">
        <v>792</v>
      </c>
      <c r="F834" s="317" t="s">
        <v>701</v>
      </c>
      <c r="G834" s="110">
        <v>8</v>
      </c>
      <c r="I834" s="145" t="s">
        <v>998</v>
      </c>
      <c r="J834" s="172">
        <f t="shared" si="21"/>
        <v>161</v>
      </c>
      <c r="K834" s="171">
        <f t="shared" si="22"/>
        <v>161</v>
      </c>
    </row>
    <row r="835" spans="1:11" x14ac:dyDescent="0.2">
      <c r="B835" s="121"/>
      <c r="I835" s="145"/>
      <c r="J835" s="172" t="str">
        <f t="shared" ref="J835:J898" si="23">IF(A835=1, 4,IF(G835="", "",+K835))</f>
        <v/>
      </c>
      <c r="K835" s="171">
        <f t="shared" si="22"/>
        <v>169</v>
      </c>
    </row>
    <row r="836" spans="1:11" x14ac:dyDescent="0.2">
      <c r="A836" s="109">
        <v>21</v>
      </c>
      <c r="B836" s="121" t="s">
        <v>924</v>
      </c>
      <c r="D836" s="317" t="s">
        <v>792</v>
      </c>
      <c r="F836" s="317" t="s">
        <v>701</v>
      </c>
      <c r="G836" s="110">
        <v>8</v>
      </c>
      <c r="I836" s="145" t="s">
        <v>999</v>
      </c>
      <c r="J836" s="172">
        <f t="shared" si="23"/>
        <v>169</v>
      </c>
      <c r="K836" s="171">
        <f t="shared" si="22"/>
        <v>169</v>
      </c>
    </row>
    <row r="837" spans="1:11" x14ac:dyDescent="0.2">
      <c r="B837" s="121"/>
      <c r="I837" s="145"/>
      <c r="J837" s="172" t="str">
        <f t="shared" si="23"/>
        <v/>
      </c>
      <c r="K837" s="171">
        <f t="shared" si="22"/>
        <v>177</v>
      </c>
    </row>
    <row r="838" spans="1:11" x14ac:dyDescent="0.2">
      <c r="A838" s="109">
        <v>22</v>
      </c>
      <c r="B838" s="121" t="s">
        <v>926</v>
      </c>
      <c r="F838" s="317" t="s">
        <v>772</v>
      </c>
      <c r="G838" s="110">
        <v>1</v>
      </c>
      <c r="I838" s="145" t="s">
        <v>927</v>
      </c>
      <c r="J838" s="172">
        <f t="shared" si="23"/>
        <v>177</v>
      </c>
      <c r="K838" s="171">
        <f t="shared" si="22"/>
        <v>177</v>
      </c>
    </row>
    <row r="839" spans="1:11" x14ac:dyDescent="0.2">
      <c r="B839" s="121"/>
      <c r="I839" s="145"/>
      <c r="J839" s="172" t="str">
        <f t="shared" si="23"/>
        <v/>
      </c>
      <c r="K839" s="171">
        <f t="shared" si="22"/>
        <v>178</v>
      </c>
    </row>
    <row r="840" spans="1:11" x14ac:dyDescent="0.2">
      <c r="A840" s="109">
        <v>23</v>
      </c>
      <c r="B840" s="121" t="s">
        <v>928</v>
      </c>
      <c r="D840" s="317" t="s">
        <v>792</v>
      </c>
      <c r="F840" s="317" t="s">
        <v>701</v>
      </c>
      <c r="G840" s="110">
        <v>8</v>
      </c>
      <c r="I840" s="145" t="s">
        <v>929</v>
      </c>
      <c r="J840" s="172">
        <f t="shared" si="23"/>
        <v>178</v>
      </c>
      <c r="K840" s="171">
        <f t="shared" si="22"/>
        <v>178</v>
      </c>
    </row>
    <row r="841" spans="1:11" x14ac:dyDescent="0.2">
      <c r="B841" s="121"/>
      <c r="I841" s="145"/>
      <c r="J841" s="172" t="str">
        <f t="shared" si="23"/>
        <v/>
      </c>
      <c r="K841" s="171">
        <f t="shared" si="22"/>
        <v>186</v>
      </c>
    </row>
    <row r="842" spans="1:11" ht="30" x14ac:dyDescent="0.2">
      <c r="A842" s="109">
        <v>24</v>
      </c>
      <c r="B842" s="121" t="s">
        <v>1000</v>
      </c>
      <c r="F842" s="317" t="s">
        <v>701</v>
      </c>
      <c r="G842" s="110">
        <v>16</v>
      </c>
      <c r="I842" s="145" t="s">
        <v>1001</v>
      </c>
      <c r="J842" s="172">
        <f t="shared" si="23"/>
        <v>186</v>
      </c>
      <c r="K842" s="171">
        <f t="shared" si="22"/>
        <v>186</v>
      </c>
    </row>
    <row r="843" spans="1:11" x14ac:dyDescent="0.2">
      <c r="B843" s="121"/>
      <c r="I843" s="145"/>
      <c r="J843" s="172" t="str">
        <f t="shared" si="23"/>
        <v/>
      </c>
      <c r="K843" s="171">
        <f t="shared" si="22"/>
        <v>202</v>
      </c>
    </row>
    <row r="844" spans="1:11" x14ac:dyDescent="0.2">
      <c r="A844" s="109">
        <v>25</v>
      </c>
      <c r="B844" s="121" t="s">
        <v>931</v>
      </c>
      <c r="D844" s="317" t="s">
        <v>792</v>
      </c>
      <c r="F844" s="317" t="s">
        <v>701</v>
      </c>
      <c r="G844" s="110">
        <v>8</v>
      </c>
      <c r="I844" s="145" t="s">
        <v>932</v>
      </c>
      <c r="J844" s="172">
        <f t="shared" si="23"/>
        <v>202</v>
      </c>
      <c r="K844" s="171">
        <f t="shared" si="22"/>
        <v>202</v>
      </c>
    </row>
    <row r="845" spans="1:11" x14ac:dyDescent="0.2">
      <c r="B845" s="121"/>
      <c r="I845" s="145"/>
      <c r="J845" s="172" t="str">
        <f t="shared" si="23"/>
        <v/>
      </c>
      <c r="K845" s="171">
        <f t="shared" si="22"/>
        <v>210</v>
      </c>
    </row>
    <row r="846" spans="1:11" x14ac:dyDescent="0.2">
      <c r="A846" s="109">
        <v>26</v>
      </c>
      <c r="B846" s="121" t="s">
        <v>933</v>
      </c>
      <c r="F846" s="317" t="s">
        <v>772</v>
      </c>
      <c r="G846" s="110">
        <v>1</v>
      </c>
      <c r="I846" s="145" t="s">
        <v>934</v>
      </c>
      <c r="J846" s="172">
        <f t="shared" si="23"/>
        <v>210</v>
      </c>
      <c r="K846" s="171">
        <f t="shared" si="22"/>
        <v>210</v>
      </c>
    </row>
    <row r="847" spans="1:11" x14ac:dyDescent="0.2">
      <c r="B847" s="121"/>
      <c r="I847" s="145"/>
      <c r="J847" s="172" t="str">
        <f t="shared" si="23"/>
        <v/>
      </c>
      <c r="K847" s="171">
        <f t="shared" si="22"/>
        <v>211</v>
      </c>
    </row>
    <row r="848" spans="1:11" x14ac:dyDescent="0.2">
      <c r="A848" s="109">
        <v>27</v>
      </c>
      <c r="B848" s="121" t="s">
        <v>935</v>
      </c>
      <c r="D848" s="317" t="s">
        <v>792</v>
      </c>
      <c r="F848" s="317" t="s">
        <v>701</v>
      </c>
      <c r="G848" s="110">
        <v>8</v>
      </c>
      <c r="I848" s="145" t="s">
        <v>936</v>
      </c>
      <c r="J848" s="172">
        <f t="shared" si="23"/>
        <v>211</v>
      </c>
      <c r="K848" s="171">
        <f t="shared" si="22"/>
        <v>211</v>
      </c>
    </row>
    <row r="849" spans="1:13" x14ac:dyDescent="0.2">
      <c r="B849" s="121"/>
      <c r="I849" s="145"/>
      <c r="J849" s="172" t="str">
        <f t="shared" si="23"/>
        <v/>
      </c>
      <c r="K849" s="171">
        <f t="shared" si="22"/>
        <v>219</v>
      </c>
    </row>
    <row r="850" spans="1:13" x14ac:dyDescent="0.2">
      <c r="A850" s="109">
        <v>28</v>
      </c>
      <c r="B850" s="109" t="s">
        <v>937</v>
      </c>
      <c r="D850" s="317" t="s">
        <v>792</v>
      </c>
      <c r="F850" s="317" t="s">
        <v>701</v>
      </c>
      <c r="G850" s="110">
        <v>8</v>
      </c>
      <c r="I850" s="145" t="s">
        <v>938</v>
      </c>
      <c r="J850" s="172">
        <f t="shared" si="23"/>
        <v>219</v>
      </c>
      <c r="K850" s="171">
        <f t="shared" si="22"/>
        <v>219</v>
      </c>
    </row>
    <row r="851" spans="1:13" x14ac:dyDescent="0.2">
      <c r="B851" s="121"/>
      <c r="I851" s="145"/>
      <c r="J851" s="172" t="str">
        <f t="shared" si="23"/>
        <v/>
      </c>
      <c r="K851" s="171">
        <f t="shared" si="22"/>
        <v>227</v>
      </c>
    </row>
    <row r="852" spans="1:13" x14ac:dyDescent="0.2">
      <c r="A852" s="109">
        <v>29</v>
      </c>
      <c r="B852" s="121" t="s">
        <v>782</v>
      </c>
      <c r="F852" s="317" t="s">
        <v>772</v>
      </c>
      <c r="G852" s="110">
        <f>D761-J850-G850+1</f>
        <v>224</v>
      </c>
      <c r="I852" s="145" t="s">
        <v>965</v>
      </c>
      <c r="J852" s="172">
        <f t="shared" si="23"/>
        <v>227</v>
      </c>
      <c r="K852" s="171">
        <f t="shared" si="22"/>
        <v>227</v>
      </c>
    </row>
    <row r="853" spans="1:13" ht="15.75" thickBot="1" x14ac:dyDescent="0.25">
      <c r="B853" s="121"/>
      <c r="I853" s="145"/>
      <c r="J853" s="172" t="str">
        <f t="shared" si="23"/>
        <v/>
      </c>
      <c r="K853" s="171"/>
    </row>
    <row r="854" spans="1:13" ht="16.5" thickTop="1" thickBot="1" x14ac:dyDescent="0.25">
      <c r="A854" s="191"/>
      <c r="B854" s="192" t="s">
        <v>755</v>
      </c>
      <c r="C854" s="139"/>
      <c r="D854" s="323" t="s">
        <v>706</v>
      </c>
      <c r="E854" s="118"/>
      <c r="F854" s="321"/>
      <c r="G854" s="193"/>
      <c r="H854" s="117"/>
      <c r="I854" s="152"/>
      <c r="J854" s="172" t="str">
        <f t="shared" si="23"/>
        <v/>
      </c>
      <c r="K854" s="171"/>
    </row>
    <row r="855" spans="1:13" ht="15.75" thickTop="1" x14ac:dyDescent="0.2">
      <c r="A855" s="191"/>
      <c r="B855" s="138"/>
      <c r="D855" s="321"/>
      <c r="E855" s="118"/>
      <c r="F855" s="321"/>
      <c r="G855" s="193"/>
      <c r="H855" s="117"/>
      <c r="J855" s="172" t="str">
        <f t="shared" si="23"/>
        <v/>
      </c>
      <c r="K855" s="171"/>
    </row>
    <row r="856" spans="1:13" x14ac:dyDescent="0.2">
      <c r="A856" s="194" t="s">
        <v>1</v>
      </c>
      <c r="B856" s="195" t="s">
        <v>756</v>
      </c>
      <c r="C856" s="196"/>
      <c r="D856" s="332" t="s">
        <v>677</v>
      </c>
      <c r="E856" s="197"/>
      <c r="F856" s="332"/>
      <c r="G856" s="194"/>
      <c r="H856" s="196"/>
      <c r="I856" s="198"/>
      <c r="J856" s="172" t="str">
        <f t="shared" si="23"/>
        <v/>
      </c>
      <c r="K856" s="171"/>
    </row>
    <row r="857" spans="1:13" x14ac:dyDescent="0.2">
      <c r="A857" s="199"/>
      <c r="B857" s="195" t="s">
        <v>757</v>
      </c>
      <c r="C857" s="124"/>
      <c r="D857" s="332">
        <f>+F11</f>
        <v>850</v>
      </c>
      <c r="E857" s="197" t="s">
        <v>758</v>
      </c>
      <c r="F857" s="332"/>
      <c r="G857" s="194"/>
      <c r="H857" s="196"/>
      <c r="I857" s="200"/>
      <c r="J857" s="172" t="str">
        <f t="shared" si="23"/>
        <v/>
      </c>
      <c r="K857" s="171"/>
    </row>
    <row r="858" spans="1:13" x14ac:dyDescent="0.2">
      <c r="A858" s="199"/>
      <c r="B858" s="196"/>
      <c r="C858" s="196"/>
      <c r="D858" s="332"/>
      <c r="E858" s="197"/>
      <c r="F858" s="332"/>
      <c r="G858" s="194"/>
      <c r="H858" s="196"/>
      <c r="I858" s="200"/>
      <c r="J858" s="172" t="str">
        <f t="shared" si="23"/>
        <v/>
      </c>
      <c r="K858" s="171"/>
    </row>
    <row r="859" spans="1:13" s="108" customFormat="1" x14ac:dyDescent="0.2">
      <c r="A859" s="201" t="s">
        <v>759</v>
      </c>
      <c r="B859" s="166" t="s">
        <v>712</v>
      </c>
      <c r="C859" s="167"/>
      <c r="D859" s="327" t="s">
        <v>713</v>
      </c>
      <c r="E859" s="168"/>
      <c r="F859" s="327" t="s">
        <v>760</v>
      </c>
      <c r="G859" s="156" t="s">
        <v>715</v>
      </c>
      <c r="H859" s="167"/>
      <c r="I859" s="169" t="s">
        <v>716</v>
      </c>
      <c r="J859" s="172">
        <f t="shared" si="23"/>
        <v>0</v>
      </c>
      <c r="K859" s="171"/>
    </row>
    <row r="860" spans="1:13" x14ac:dyDescent="0.2">
      <c r="A860" s="202" t="s">
        <v>1</v>
      </c>
      <c r="B860" s="117"/>
      <c r="C860" s="117"/>
      <c r="D860" s="321"/>
      <c r="E860" s="118"/>
      <c r="F860" s="321"/>
      <c r="G860" s="193"/>
      <c r="H860" s="117"/>
      <c r="I860" s="144"/>
      <c r="J860" s="172" t="str">
        <f t="shared" si="23"/>
        <v/>
      </c>
      <c r="K860" s="171"/>
    </row>
    <row r="861" spans="1:13" x14ac:dyDescent="0.2">
      <c r="A861" s="203" t="s">
        <v>1</v>
      </c>
      <c r="B861" s="121" t="s">
        <v>762</v>
      </c>
      <c r="G861" s="204" t="s">
        <v>1</v>
      </c>
      <c r="J861" s="172">
        <f t="shared" si="23"/>
        <v>0</v>
      </c>
      <c r="K861" s="171"/>
    </row>
    <row r="862" spans="1:13" x14ac:dyDescent="0.2">
      <c r="A862" s="191">
        <v>1</v>
      </c>
      <c r="B862" s="121" t="s">
        <v>763</v>
      </c>
      <c r="D862" s="317" t="s">
        <v>1002</v>
      </c>
      <c r="F862" s="317" t="s">
        <v>701</v>
      </c>
      <c r="G862" s="204">
        <v>4</v>
      </c>
      <c r="I862" s="145" t="s">
        <v>765</v>
      </c>
      <c r="J862" s="172">
        <f t="shared" si="23"/>
        <v>4</v>
      </c>
      <c r="K862" s="171">
        <f t="shared" ref="K862:K925" si="24">IF(A862=1,1,+K861+G861)</f>
        <v>1</v>
      </c>
      <c r="L862" s="205"/>
      <c r="M862" s="205"/>
    </row>
    <row r="863" spans="1:13" x14ac:dyDescent="0.2">
      <c r="A863" s="191"/>
      <c r="G863" s="204"/>
      <c r="J863" s="172" t="str">
        <f t="shared" si="23"/>
        <v/>
      </c>
      <c r="K863" s="171">
        <f t="shared" si="24"/>
        <v>5</v>
      </c>
      <c r="L863" s="205"/>
    </row>
    <row r="864" spans="1:13" x14ac:dyDescent="0.2">
      <c r="A864" s="191">
        <v>2</v>
      </c>
      <c r="B864" s="121" t="s">
        <v>766</v>
      </c>
      <c r="D864" s="317" t="s">
        <v>767</v>
      </c>
      <c r="F864" s="317" t="s">
        <v>701</v>
      </c>
      <c r="G864" s="204">
        <v>1</v>
      </c>
      <c r="I864" s="145" t="s">
        <v>768</v>
      </c>
      <c r="J864" s="172">
        <f t="shared" si="23"/>
        <v>5</v>
      </c>
      <c r="K864" s="171">
        <f t="shared" si="24"/>
        <v>5</v>
      </c>
      <c r="L864" s="205"/>
    </row>
    <row r="865" spans="1:12" x14ac:dyDescent="0.2">
      <c r="A865" s="191"/>
      <c r="G865" s="204"/>
      <c r="J865" s="172" t="str">
        <f t="shared" si="23"/>
        <v/>
      </c>
      <c r="K865" s="171">
        <f t="shared" si="24"/>
        <v>6</v>
      </c>
      <c r="L865" s="205"/>
    </row>
    <row r="866" spans="1:12" x14ac:dyDescent="0.2">
      <c r="A866" s="191">
        <v>3</v>
      </c>
      <c r="B866" s="121" t="s">
        <v>769</v>
      </c>
      <c r="D866" s="317" t="s">
        <v>770</v>
      </c>
      <c r="F866" s="317" t="s">
        <v>701</v>
      </c>
      <c r="G866" s="204">
        <v>4</v>
      </c>
      <c r="I866" s="145" t="s">
        <v>768</v>
      </c>
      <c r="J866" s="172">
        <f t="shared" si="23"/>
        <v>6</v>
      </c>
      <c r="K866" s="171">
        <f t="shared" si="24"/>
        <v>6</v>
      </c>
      <c r="L866" s="205"/>
    </row>
    <row r="867" spans="1:12" x14ac:dyDescent="0.2">
      <c r="A867" s="191"/>
      <c r="G867" s="204"/>
      <c r="J867" s="172" t="str">
        <f t="shared" si="23"/>
        <v/>
      </c>
      <c r="K867" s="171">
        <f t="shared" si="24"/>
        <v>10</v>
      </c>
      <c r="L867" s="205"/>
    </row>
    <row r="868" spans="1:12" x14ac:dyDescent="0.2">
      <c r="A868" s="191">
        <v>4</v>
      </c>
      <c r="B868" s="121" t="s">
        <v>771</v>
      </c>
      <c r="F868" s="317" t="s">
        <v>772</v>
      </c>
      <c r="G868" s="204">
        <v>1</v>
      </c>
      <c r="I868" s="145" t="s">
        <v>773</v>
      </c>
      <c r="J868" s="172">
        <f t="shared" si="23"/>
        <v>10</v>
      </c>
      <c r="K868" s="171">
        <f t="shared" si="24"/>
        <v>10</v>
      </c>
      <c r="L868" s="205"/>
    </row>
    <row r="869" spans="1:12" x14ac:dyDescent="0.2">
      <c r="A869" s="191"/>
      <c r="G869" s="204"/>
      <c r="J869" s="172" t="str">
        <f t="shared" si="23"/>
        <v/>
      </c>
      <c r="K869" s="171">
        <f t="shared" si="24"/>
        <v>11</v>
      </c>
      <c r="L869" s="205"/>
    </row>
    <row r="870" spans="1:12" x14ac:dyDescent="0.2">
      <c r="A870" s="191"/>
      <c r="B870" s="173" t="s">
        <v>774</v>
      </c>
      <c r="G870" s="204"/>
      <c r="J870" s="172" t="str">
        <f t="shared" si="23"/>
        <v/>
      </c>
      <c r="K870" s="171">
        <f t="shared" si="24"/>
        <v>11</v>
      </c>
      <c r="L870" s="205"/>
    </row>
    <row r="871" spans="1:12" x14ac:dyDescent="0.2">
      <c r="A871" s="191"/>
      <c r="G871" s="204"/>
      <c r="J871" s="172" t="str">
        <f t="shared" si="23"/>
        <v/>
      </c>
      <c r="K871" s="171">
        <f t="shared" si="24"/>
        <v>11</v>
      </c>
      <c r="L871" s="205"/>
    </row>
    <row r="872" spans="1:12" x14ac:dyDescent="0.2">
      <c r="A872" s="109">
        <v>5</v>
      </c>
      <c r="B872" s="109" t="s">
        <v>775</v>
      </c>
      <c r="F872" s="317" t="s">
        <v>701</v>
      </c>
      <c r="G872" s="110">
        <v>3</v>
      </c>
      <c r="I872" s="111" t="s">
        <v>968</v>
      </c>
      <c r="J872" s="172">
        <f t="shared" si="23"/>
        <v>11</v>
      </c>
      <c r="K872" s="171">
        <f t="shared" si="24"/>
        <v>11</v>
      </c>
      <c r="L872" s="205"/>
    </row>
    <row r="873" spans="1:12" x14ac:dyDescent="0.2">
      <c r="I873" s="145" t="s">
        <v>777</v>
      </c>
      <c r="J873" s="172" t="str">
        <f t="shared" si="23"/>
        <v/>
      </c>
      <c r="K873" s="171">
        <f t="shared" si="24"/>
        <v>14</v>
      </c>
      <c r="L873" s="205"/>
    </row>
    <row r="874" spans="1:12" x14ac:dyDescent="0.2">
      <c r="J874" s="172" t="str">
        <f t="shared" si="23"/>
        <v/>
      </c>
      <c r="K874" s="171">
        <f t="shared" si="24"/>
        <v>14</v>
      </c>
      <c r="L874" s="205"/>
    </row>
    <row r="875" spans="1:12" ht="30" x14ac:dyDescent="0.2">
      <c r="A875" s="191">
        <v>6</v>
      </c>
      <c r="B875" s="121" t="s">
        <v>1003</v>
      </c>
      <c r="F875" s="317" t="s">
        <v>701</v>
      </c>
      <c r="G875" s="204">
        <v>6</v>
      </c>
      <c r="I875" s="145" t="s">
        <v>1004</v>
      </c>
      <c r="J875" s="172">
        <f t="shared" si="23"/>
        <v>14</v>
      </c>
      <c r="K875" s="171">
        <f t="shared" si="24"/>
        <v>14</v>
      </c>
      <c r="L875" s="205"/>
    </row>
    <row r="876" spans="1:12" ht="30" x14ac:dyDescent="0.2">
      <c r="A876" s="191"/>
      <c r="B876" s="121"/>
      <c r="G876" s="204"/>
      <c r="I876" s="145" t="s">
        <v>1005</v>
      </c>
      <c r="J876" s="172" t="str">
        <f t="shared" si="23"/>
        <v/>
      </c>
      <c r="K876" s="171">
        <f t="shared" si="24"/>
        <v>20</v>
      </c>
      <c r="L876" s="205"/>
    </row>
    <row r="877" spans="1:12" x14ac:dyDescent="0.2">
      <c r="A877" s="191"/>
      <c r="B877" s="121"/>
      <c r="G877" s="204"/>
      <c r="I877" s="145" t="s">
        <v>1006</v>
      </c>
      <c r="J877" s="172" t="str">
        <f t="shared" si="23"/>
        <v/>
      </c>
      <c r="K877" s="171">
        <f t="shared" si="24"/>
        <v>20</v>
      </c>
      <c r="L877" s="205"/>
    </row>
    <row r="878" spans="1:12" x14ac:dyDescent="0.2">
      <c r="A878" s="191"/>
      <c r="B878" s="121"/>
      <c r="G878" s="204"/>
      <c r="I878" s="145"/>
      <c r="J878" s="172" t="str">
        <f t="shared" si="23"/>
        <v/>
      </c>
      <c r="K878" s="171">
        <f t="shared" si="24"/>
        <v>20</v>
      </c>
      <c r="L878" s="205"/>
    </row>
    <row r="879" spans="1:12" x14ac:dyDescent="0.2">
      <c r="A879" s="191"/>
      <c r="B879" s="173" t="s">
        <v>1007</v>
      </c>
      <c r="G879" s="204"/>
      <c r="J879" s="172" t="str">
        <f t="shared" si="23"/>
        <v/>
      </c>
      <c r="K879" s="171">
        <f t="shared" si="24"/>
        <v>20</v>
      </c>
      <c r="L879" s="205"/>
    </row>
    <row r="880" spans="1:12" x14ac:dyDescent="0.2">
      <c r="A880" s="191"/>
      <c r="G880" s="204"/>
      <c r="J880" s="172" t="str">
        <f t="shared" si="23"/>
        <v/>
      </c>
      <c r="K880" s="171">
        <f t="shared" si="24"/>
        <v>20</v>
      </c>
      <c r="L880" s="205"/>
    </row>
    <row r="881" spans="1:12" x14ac:dyDescent="0.2">
      <c r="A881" s="191">
        <v>7</v>
      </c>
      <c r="B881" s="121" t="s">
        <v>1008</v>
      </c>
      <c r="F881" s="317" t="s">
        <v>772</v>
      </c>
      <c r="G881" s="204">
        <v>5</v>
      </c>
      <c r="I881" s="145" t="s">
        <v>1009</v>
      </c>
      <c r="J881" s="172">
        <f t="shared" si="23"/>
        <v>20</v>
      </c>
      <c r="K881" s="171">
        <f t="shared" si="24"/>
        <v>20</v>
      </c>
      <c r="L881" s="205"/>
    </row>
    <row r="882" spans="1:12" x14ac:dyDescent="0.2">
      <c r="A882" s="191"/>
      <c r="G882" s="204"/>
      <c r="I882" s="145" t="s">
        <v>1010</v>
      </c>
      <c r="J882" s="172" t="str">
        <f t="shared" si="23"/>
        <v/>
      </c>
      <c r="K882" s="171">
        <f t="shared" si="24"/>
        <v>25</v>
      </c>
      <c r="L882" s="205"/>
    </row>
    <row r="883" spans="1:12" x14ac:dyDescent="0.2">
      <c r="A883" s="191"/>
      <c r="G883" s="204"/>
      <c r="J883" s="172" t="str">
        <f t="shared" si="23"/>
        <v/>
      </c>
      <c r="K883" s="171">
        <f t="shared" si="24"/>
        <v>25</v>
      </c>
      <c r="L883" s="205"/>
    </row>
    <row r="884" spans="1:12" x14ac:dyDescent="0.2">
      <c r="A884" s="191">
        <v>8</v>
      </c>
      <c r="B884" s="121" t="s">
        <v>1011</v>
      </c>
      <c r="F884" s="317" t="s">
        <v>772</v>
      </c>
      <c r="G884" s="204">
        <v>30</v>
      </c>
      <c r="I884" s="145" t="s">
        <v>1012</v>
      </c>
      <c r="J884" s="172">
        <f t="shared" si="23"/>
        <v>25</v>
      </c>
      <c r="K884" s="171">
        <f t="shared" si="24"/>
        <v>25</v>
      </c>
      <c r="L884" s="205"/>
    </row>
    <row r="885" spans="1:12" x14ac:dyDescent="0.2">
      <c r="A885" s="191"/>
      <c r="B885" s="121"/>
      <c r="G885" s="204"/>
      <c r="I885" s="145" t="s">
        <v>894</v>
      </c>
      <c r="J885" s="172" t="str">
        <f t="shared" si="23"/>
        <v/>
      </c>
      <c r="K885" s="171">
        <f t="shared" si="24"/>
        <v>55</v>
      </c>
      <c r="L885" s="205"/>
    </row>
    <row r="886" spans="1:12" x14ac:dyDescent="0.2">
      <c r="A886" s="191"/>
      <c r="G886" s="204"/>
      <c r="J886" s="172" t="str">
        <f t="shared" si="23"/>
        <v/>
      </c>
      <c r="K886" s="171">
        <f t="shared" si="24"/>
        <v>55</v>
      </c>
      <c r="L886" s="205"/>
    </row>
    <row r="887" spans="1:12" x14ac:dyDescent="0.2">
      <c r="A887" s="191">
        <v>9</v>
      </c>
      <c r="B887" s="121" t="s">
        <v>1013</v>
      </c>
      <c r="F887" s="317" t="s">
        <v>772</v>
      </c>
      <c r="G887" s="204">
        <v>6</v>
      </c>
      <c r="I887" s="145" t="s">
        <v>1014</v>
      </c>
      <c r="J887" s="172">
        <f t="shared" si="23"/>
        <v>55</v>
      </c>
      <c r="K887" s="171">
        <f t="shared" si="24"/>
        <v>55</v>
      </c>
      <c r="L887" s="205"/>
    </row>
    <row r="888" spans="1:12" x14ac:dyDescent="0.2">
      <c r="A888" s="191"/>
      <c r="G888" s="204"/>
      <c r="I888" s="145" t="s">
        <v>894</v>
      </c>
      <c r="J888" s="172" t="str">
        <f t="shared" si="23"/>
        <v/>
      </c>
      <c r="K888" s="171">
        <f t="shared" si="24"/>
        <v>61</v>
      </c>
      <c r="L888" s="205"/>
    </row>
    <row r="889" spans="1:12" x14ac:dyDescent="0.2">
      <c r="A889" s="191"/>
      <c r="G889" s="204"/>
      <c r="J889" s="172" t="str">
        <f t="shared" si="23"/>
        <v/>
      </c>
      <c r="K889" s="171">
        <f t="shared" si="24"/>
        <v>61</v>
      </c>
      <c r="L889" s="205"/>
    </row>
    <row r="890" spans="1:12" x14ac:dyDescent="0.2">
      <c r="A890" s="191">
        <v>10</v>
      </c>
      <c r="B890" s="121" t="s">
        <v>71</v>
      </c>
      <c r="F890" s="317" t="s">
        <v>772</v>
      </c>
      <c r="G890" s="204">
        <v>6</v>
      </c>
      <c r="I890" s="145" t="s">
        <v>1015</v>
      </c>
      <c r="J890" s="172">
        <f t="shared" si="23"/>
        <v>61</v>
      </c>
      <c r="K890" s="171">
        <f t="shared" si="24"/>
        <v>61</v>
      </c>
      <c r="L890" s="205"/>
    </row>
    <row r="891" spans="1:12" x14ac:dyDescent="0.2">
      <c r="A891" s="191"/>
      <c r="G891" s="204"/>
      <c r="I891" s="145" t="s">
        <v>894</v>
      </c>
      <c r="J891" s="172" t="str">
        <f t="shared" si="23"/>
        <v/>
      </c>
      <c r="K891" s="171">
        <f t="shared" si="24"/>
        <v>67</v>
      </c>
      <c r="L891" s="205"/>
    </row>
    <row r="892" spans="1:12" x14ac:dyDescent="0.2">
      <c r="A892" s="191"/>
      <c r="G892" s="204"/>
      <c r="I892" s="145"/>
      <c r="J892" s="172" t="str">
        <f t="shared" si="23"/>
        <v/>
      </c>
      <c r="K892" s="171">
        <f t="shared" si="24"/>
        <v>67</v>
      </c>
      <c r="L892" s="205"/>
    </row>
    <row r="893" spans="1:12" x14ac:dyDescent="0.2">
      <c r="A893" s="191">
        <v>11</v>
      </c>
      <c r="B893" s="121" t="s">
        <v>72</v>
      </c>
      <c r="F893" s="317" t="s">
        <v>772</v>
      </c>
      <c r="G893" s="204">
        <v>5</v>
      </c>
      <c r="I893" s="145" t="s">
        <v>1016</v>
      </c>
      <c r="J893" s="172">
        <f t="shared" si="23"/>
        <v>67</v>
      </c>
      <c r="K893" s="171">
        <f t="shared" si="24"/>
        <v>67</v>
      </c>
      <c r="L893" s="205"/>
    </row>
    <row r="894" spans="1:12" x14ac:dyDescent="0.2">
      <c r="A894" s="191"/>
      <c r="G894" s="204"/>
      <c r="I894" s="145" t="s">
        <v>894</v>
      </c>
      <c r="J894" s="172" t="str">
        <f t="shared" si="23"/>
        <v/>
      </c>
      <c r="K894" s="171">
        <f t="shared" si="24"/>
        <v>72</v>
      </c>
      <c r="L894" s="205"/>
    </row>
    <row r="895" spans="1:12" x14ac:dyDescent="0.2">
      <c r="A895" s="191"/>
      <c r="G895" s="204"/>
      <c r="J895" s="172" t="str">
        <f t="shared" si="23"/>
        <v/>
      </c>
      <c r="K895" s="171">
        <f t="shared" si="24"/>
        <v>72</v>
      </c>
      <c r="L895" s="205"/>
    </row>
    <row r="896" spans="1:12" x14ac:dyDescent="0.2">
      <c r="A896" s="191">
        <v>12</v>
      </c>
      <c r="B896" s="121" t="s">
        <v>73</v>
      </c>
      <c r="F896" s="317" t="s">
        <v>772</v>
      </c>
      <c r="G896" s="204">
        <v>3</v>
      </c>
      <c r="I896" s="145" t="s">
        <v>1017</v>
      </c>
      <c r="J896" s="172">
        <f t="shared" si="23"/>
        <v>72</v>
      </c>
      <c r="K896" s="171">
        <f t="shared" si="24"/>
        <v>72</v>
      </c>
      <c r="L896" s="205"/>
    </row>
    <row r="897" spans="1:12" x14ac:dyDescent="0.2">
      <c r="A897" s="191"/>
      <c r="G897" s="204"/>
      <c r="I897" s="145" t="s">
        <v>894</v>
      </c>
      <c r="J897" s="172" t="str">
        <f t="shared" si="23"/>
        <v/>
      </c>
      <c r="K897" s="171">
        <f t="shared" si="24"/>
        <v>75</v>
      </c>
      <c r="L897" s="205"/>
    </row>
    <row r="898" spans="1:12" x14ac:dyDescent="0.2">
      <c r="A898" s="191"/>
      <c r="G898" s="204"/>
      <c r="I898" s="145"/>
      <c r="J898" s="172" t="str">
        <f t="shared" si="23"/>
        <v/>
      </c>
      <c r="K898" s="171">
        <f t="shared" si="24"/>
        <v>75</v>
      </c>
      <c r="L898" s="205"/>
    </row>
    <row r="899" spans="1:12" x14ac:dyDescent="0.2">
      <c r="A899" s="191">
        <v>13</v>
      </c>
      <c r="B899" s="121" t="s">
        <v>1018</v>
      </c>
      <c r="F899" s="317" t="s">
        <v>772</v>
      </c>
      <c r="G899" s="204">
        <v>3</v>
      </c>
      <c r="I899" s="145" t="s">
        <v>1019</v>
      </c>
      <c r="J899" s="172">
        <f t="shared" ref="J899:J962" si="25">IF(A899=1, 4,IF(G899="", "",+K899))</f>
        <v>75</v>
      </c>
      <c r="K899" s="171">
        <f t="shared" si="24"/>
        <v>75</v>
      </c>
      <c r="L899" s="205"/>
    </row>
    <row r="900" spans="1:12" x14ac:dyDescent="0.2">
      <c r="A900" s="191"/>
      <c r="G900" s="204"/>
      <c r="I900" s="145" t="s">
        <v>894</v>
      </c>
      <c r="J900" s="172" t="str">
        <f t="shared" si="25"/>
        <v/>
      </c>
      <c r="K900" s="171">
        <f t="shared" si="24"/>
        <v>78</v>
      </c>
      <c r="L900" s="205"/>
    </row>
    <row r="901" spans="1:12" x14ac:dyDescent="0.2">
      <c r="A901" s="191"/>
      <c r="G901" s="204"/>
      <c r="I901" s="145"/>
      <c r="J901" s="172" t="str">
        <f t="shared" si="25"/>
        <v/>
      </c>
      <c r="K901" s="171">
        <f t="shared" si="24"/>
        <v>78</v>
      </c>
      <c r="L901" s="205"/>
    </row>
    <row r="902" spans="1:12" x14ac:dyDescent="0.2">
      <c r="A902" s="191">
        <v>14</v>
      </c>
      <c r="B902" s="121" t="s">
        <v>1020</v>
      </c>
      <c r="F902" s="317" t="s">
        <v>772</v>
      </c>
      <c r="G902" s="204">
        <v>3</v>
      </c>
      <c r="I902" s="145" t="s">
        <v>1021</v>
      </c>
      <c r="J902" s="172">
        <f t="shared" si="25"/>
        <v>78</v>
      </c>
      <c r="K902" s="171">
        <f t="shared" si="24"/>
        <v>78</v>
      </c>
      <c r="L902" s="205"/>
    </row>
    <row r="903" spans="1:12" x14ac:dyDescent="0.2">
      <c r="A903" s="191"/>
      <c r="G903" s="204"/>
      <c r="I903" s="145" t="s">
        <v>894</v>
      </c>
      <c r="J903" s="172" t="str">
        <f t="shared" si="25"/>
        <v/>
      </c>
      <c r="K903" s="171">
        <f t="shared" si="24"/>
        <v>81</v>
      </c>
      <c r="L903" s="205"/>
    </row>
    <row r="904" spans="1:12" x14ac:dyDescent="0.2">
      <c r="A904" s="191"/>
      <c r="G904" s="204"/>
      <c r="J904" s="172" t="str">
        <f t="shared" si="25"/>
        <v/>
      </c>
      <c r="K904" s="171">
        <f t="shared" si="24"/>
        <v>81</v>
      </c>
      <c r="L904" s="205"/>
    </row>
    <row r="905" spans="1:12" x14ac:dyDescent="0.2">
      <c r="A905" s="191">
        <v>15</v>
      </c>
      <c r="B905" s="121" t="s">
        <v>74</v>
      </c>
      <c r="F905" s="317" t="s">
        <v>772</v>
      </c>
      <c r="G905" s="204">
        <v>3</v>
      </c>
      <c r="I905" s="145" t="s">
        <v>1022</v>
      </c>
      <c r="J905" s="172">
        <f t="shared" si="25"/>
        <v>81</v>
      </c>
      <c r="K905" s="171">
        <f t="shared" si="24"/>
        <v>81</v>
      </c>
      <c r="L905" s="205"/>
    </row>
    <row r="906" spans="1:12" x14ac:dyDescent="0.2">
      <c r="A906" s="191"/>
      <c r="G906" s="204"/>
      <c r="I906" s="145" t="s">
        <v>894</v>
      </c>
      <c r="J906" s="172" t="str">
        <f t="shared" si="25"/>
        <v/>
      </c>
      <c r="K906" s="171">
        <f t="shared" si="24"/>
        <v>84</v>
      </c>
      <c r="L906" s="205"/>
    </row>
    <row r="907" spans="1:12" x14ac:dyDescent="0.2">
      <c r="A907" s="191"/>
      <c r="G907" s="204"/>
      <c r="I907" s="145"/>
      <c r="J907" s="172" t="str">
        <f t="shared" si="25"/>
        <v/>
      </c>
      <c r="K907" s="171">
        <f t="shared" si="24"/>
        <v>84</v>
      </c>
      <c r="L907" s="205"/>
    </row>
    <row r="908" spans="1:12" x14ac:dyDescent="0.2">
      <c r="A908" s="191">
        <v>16</v>
      </c>
      <c r="B908" s="121" t="s">
        <v>75</v>
      </c>
      <c r="F908" s="317" t="s">
        <v>772</v>
      </c>
      <c r="G908" s="204">
        <v>3</v>
      </c>
      <c r="I908" s="145" t="s">
        <v>1023</v>
      </c>
      <c r="J908" s="172">
        <f t="shared" si="25"/>
        <v>84</v>
      </c>
      <c r="K908" s="171">
        <f t="shared" si="24"/>
        <v>84</v>
      </c>
      <c r="L908" s="205"/>
    </row>
    <row r="909" spans="1:12" x14ac:dyDescent="0.2">
      <c r="A909" s="191"/>
      <c r="G909" s="204"/>
      <c r="I909" s="145" t="s">
        <v>894</v>
      </c>
      <c r="J909" s="172" t="str">
        <f t="shared" si="25"/>
        <v/>
      </c>
      <c r="K909" s="171">
        <f t="shared" si="24"/>
        <v>87</v>
      </c>
      <c r="L909" s="205"/>
    </row>
    <row r="910" spans="1:12" x14ac:dyDescent="0.2">
      <c r="A910" s="191"/>
      <c r="G910" s="204"/>
      <c r="I910" s="145"/>
      <c r="J910" s="172" t="str">
        <f t="shared" si="25"/>
        <v/>
      </c>
      <c r="K910" s="171">
        <f t="shared" si="24"/>
        <v>87</v>
      </c>
      <c r="L910" s="205"/>
    </row>
    <row r="911" spans="1:12" x14ac:dyDescent="0.2">
      <c r="A911" s="191">
        <v>17</v>
      </c>
      <c r="B911" s="121" t="s">
        <v>1024</v>
      </c>
      <c r="F911" s="317" t="s">
        <v>772</v>
      </c>
      <c r="G911" s="204">
        <v>5</v>
      </c>
      <c r="I911" s="145" t="s">
        <v>1025</v>
      </c>
      <c r="J911" s="172">
        <f t="shared" si="25"/>
        <v>87</v>
      </c>
      <c r="K911" s="171">
        <f t="shared" si="24"/>
        <v>87</v>
      </c>
      <c r="L911" s="205"/>
    </row>
    <row r="912" spans="1:12" x14ac:dyDescent="0.2">
      <c r="A912" s="191"/>
      <c r="G912" s="204"/>
      <c r="I912" s="145" t="s">
        <v>894</v>
      </c>
      <c r="J912" s="172" t="str">
        <f t="shared" si="25"/>
        <v/>
      </c>
      <c r="K912" s="171">
        <f t="shared" si="24"/>
        <v>92</v>
      </c>
      <c r="L912" s="205"/>
    </row>
    <row r="913" spans="1:12" x14ac:dyDescent="0.2">
      <c r="A913" s="191"/>
      <c r="G913" s="204"/>
      <c r="J913" s="172" t="str">
        <f t="shared" si="25"/>
        <v/>
      </c>
      <c r="K913" s="171">
        <f t="shared" si="24"/>
        <v>92</v>
      </c>
      <c r="L913" s="205"/>
    </row>
    <row r="914" spans="1:12" x14ac:dyDescent="0.2">
      <c r="A914" s="191">
        <v>18</v>
      </c>
      <c r="B914" s="121" t="s">
        <v>76</v>
      </c>
      <c r="F914" s="317" t="s">
        <v>772</v>
      </c>
      <c r="G914" s="204">
        <v>5</v>
      </c>
      <c r="I914" s="145" t="s">
        <v>1026</v>
      </c>
      <c r="J914" s="172">
        <f t="shared" si="25"/>
        <v>92</v>
      </c>
      <c r="K914" s="171">
        <f t="shared" si="24"/>
        <v>92</v>
      </c>
      <c r="L914" s="205"/>
    </row>
    <row r="915" spans="1:12" x14ac:dyDescent="0.2">
      <c r="A915" s="191"/>
      <c r="G915" s="204"/>
      <c r="I915" s="145" t="s">
        <v>1010</v>
      </c>
      <c r="J915" s="172" t="str">
        <f t="shared" si="25"/>
        <v/>
      </c>
      <c r="K915" s="171">
        <f t="shared" si="24"/>
        <v>97</v>
      </c>
      <c r="L915" s="205"/>
    </row>
    <row r="916" spans="1:12" x14ac:dyDescent="0.2">
      <c r="A916" s="191"/>
      <c r="G916" s="204"/>
      <c r="I916" s="145"/>
      <c r="J916" s="172" t="str">
        <f t="shared" si="25"/>
        <v/>
      </c>
      <c r="K916" s="171">
        <f t="shared" si="24"/>
        <v>97</v>
      </c>
      <c r="L916" s="205"/>
    </row>
    <row r="917" spans="1:12" x14ac:dyDescent="0.2">
      <c r="A917" s="191">
        <v>19</v>
      </c>
      <c r="B917" s="121" t="s">
        <v>77</v>
      </c>
      <c r="F917" s="317" t="s">
        <v>772</v>
      </c>
      <c r="G917" s="204">
        <v>30</v>
      </c>
      <c r="I917" s="145" t="s">
        <v>1027</v>
      </c>
      <c r="J917" s="172">
        <f t="shared" si="25"/>
        <v>97</v>
      </c>
      <c r="K917" s="171">
        <f t="shared" si="24"/>
        <v>97</v>
      </c>
      <c r="L917" s="205"/>
    </row>
    <row r="918" spans="1:12" x14ac:dyDescent="0.2">
      <c r="A918" s="191"/>
      <c r="G918" s="204"/>
      <c r="I918" s="145" t="s">
        <v>894</v>
      </c>
      <c r="J918" s="172" t="str">
        <f t="shared" si="25"/>
        <v/>
      </c>
      <c r="K918" s="171">
        <f t="shared" si="24"/>
        <v>127</v>
      </c>
      <c r="L918" s="205"/>
    </row>
    <row r="919" spans="1:12" x14ac:dyDescent="0.2">
      <c r="A919" s="191"/>
      <c r="G919" s="204"/>
      <c r="I919" s="145"/>
      <c r="J919" s="172" t="str">
        <f t="shared" si="25"/>
        <v/>
      </c>
      <c r="K919" s="171">
        <f t="shared" si="24"/>
        <v>127</v>
      </c>
      <c r="L919" s="205"/>
    </row>
    <row r="920" spans="1:12" ht="30" x14ac:dyDescent="0.2">
      <c r="A920" s="191">
        <v>20</v>
      </c>
      <c r="B920" s="109" t="s">
        <v>1028</v>
      </c>
      <c r="F920" s="317" t="s">
        <v>772</v>
      </c>
      <c r="G920" s="204">
        <v>120</v>
      </c>
      <c r="I920" s="145" t="s">
        <v>1029</v>
      </c>
      <c r="J920" s="172">
        <f t="shared" si="25"/>
        <v>127</v>
      </c>
      <c r="K920" s="171">
        <f t="shared" si="24"/>
        <v>127</v>
      </c>
      <c r="L920" s="205"/>
    </row>
    <row r="921" spans="1:12" x14ac:dyDescent="0.2">
      <c r="A921" s="191"/>
      <c r="G921" s="204"/>
      <c r="I921" s="145"/>
      <c r="J921" s="172" t="str">
        <f t="shared" si="25"/>
        <v/>
      </c>
      <c r="K921" s="171">
        <f t="shared" si="24"/>
        <v>247</v>
      </c>
      <c r="L921" s="205"/>
    </row>
    <row r="922" spans="1:12" x14ac:dyDescent="0.2">
      <c r="A922" s="191">
        <v>21</v>
      </c>
      <c r="B922" s="121" t="s">
        <v>78</v>
      </c>
      <c r="F922" s="317" t="s">
        <v>772</v>
      </c>
      <c r="G922" s="204">
        <v>55</v>
      </c>
      <c r="I922" s="145" t="s">
        <v>1030</v>
      </c>
      <c r="J922" s="172">
        <f t="shared" si="25"/>
        <v>247</v>
      </c>
      <c r="K922" s="171">
        <f t="shared" si="24"/>
        <v>247</v>
      </c>
      <c r="L922" s="205"/>
    </row>
    <row r="923" spans="1:12" x14ac:dyDescent="0.2">
      <c r="A923" s="191"/>
      <c r="G923" s="204"/>
      <c r="I923" s="145" t="s">
        <v>894</v>
      </c>
      <c r="J923" s="172" t="str">
        <f t="shared" si="25"/>
        <v/>
      </c>
      <c r="K923" s="171">
        <f t="shared" si="24"/>
        <v>302</v>
      </c>
      <c r="L923" s="205"/>
    </row>
    <row r="924" spans="1:12" x14ac:dyDescent="0.2">
      <c r="A924" s="191"/>
      <c r="G924" s="204"/>
      <c r="J924" s="172" t="str">
        <f t="shared" si="25"/>
        <v/>
      </c>
      <c r="K924" s="171">
        <f t="shared" si="24"/>
        <v>302</v>
      </c>
      <c r="L924" s="205"/>
    </row>
    <row r="925" spans="1:12" x14ac:dyDescent="0.2">
      <c r="A925" s="191">
        <v>22</v>
      </c>
      <c r="B925" s="109" t="s">
        <v>954</v>
      </c>
      <c r="F925" s="317" t="s">
        <v>701</v>
      </c>
      <c r="G925" s="204">
        <v>6</v>
      </c>
      <c r="I925" s="145" t="s">
        <v>1031</v>
      </c>
      <c r="J925" s="172">
        <f t="shared" si="25"/>
        <v>302</v>
      </c>
      <c r="K925" s="171">
        <f t="shared" si="24"/>
        <v>302</v>
      </c>
      <c r="L925" s="205"/>
    </row>
    <row r="926" spans="1:12" x14ac:dyDescent="0.2">
      <c r="A926" s="191"/>
      <c r="G926" s="204"/>
      <c r="I926" s="111" t="s">
        <v>1032</v>
      </c>
      <c r="J926" s="172" t="str">
        <f t="shared" si="25"/>
        <v/>
      </c>
      <c r="K926" s="171">
        <f t="shared" ref="K926:K989" si="26">IF(A926=1,1,+K925+G925)</f>
        <v>308</v>
      </c>
      <c r="L926" s="205"/>
    </row>
    <row r="927" spans="1:12" x14ac:dyDescent="0.2">
      <c r="A927" s="191"/>
      <c r="G927" s="204"/>
      <c r="I927" s="145"/>
      <c r="J927" s="172" t="str">
        <f t="shared" si="25"/>
        <v/>
      </c>
      <c r="K927" s="171">
        <f t="shared" si="26"/>
        <v>308</v>
      </c>
      <c r="L927" s="205"/>
    </row>
    <row r="928" spans="1:12" x14ac:dyDescent="0.2">
      <c r="A928" s="191">
        <v>23</v>
      </c>
      <c r="B928" s="109" t="s">
        <v>819</v>
      </c>
      <c r="F928" s="317" t="s">
        <v>772</v>
      </c>
      <c r="G928" s="204">
        <v>9</v>
      </c>
      <c r="I928" s="145" t="s">
        <v>1033</v>
      </c>
      <c r="J928" s="172">
        <f t="shared" si="25"/>
        <v>308</v>
      </c>
      <c r="K928" s="171">
        <f t="shared" si="26"/>
        <v>308</v>
      </c>
      <c r="L928" s="205"/>
    </row>
    <row r="929" spans="1:12" x14ac:dyDescent="0.2">
      <c r="A929" s="191"/>
      <c r="G929" s="204"/>
      <c r="I929" s="145" t="s">
        <v>971</v>
      </c>
      <c r="J929" s="172" t="str">
        <f t="shared" si="25"/>
        <v/>
      </c>
      <c r="K929" s="171">
        <f t="shared" si="26"/>
        <v>317</v>
      </c>
      <c r="L929" s="205"/>
    </row>
    <row r="930" spans="1:12" x14ac:dyDescent="0.2">
      <c r="A930" s="191"/>
      <c r="G930" s="204"/>
      <c r="I930" s="145" t="s">
        <v>972</v>
      </c>
      <c r="J930" s="172" t="str">
        <f t="shared" si="25"/>
        <v/>
      </c>
      <c r="K930" s="171">
        <f t="shared" si="26"/>
        <v>317</v>
      </c>
      <c r="L930" s="205"/>
    </row>
    <row r="931" spans="1:12" x14ac:dyDescent="0.2">
      <c r="A931" s="191"/>
      <c r="G931" s="204"/>
      <c r="I931" s="145" t="s">
        <v>973</v>
      </c>
      <c r="J931" s="172" t="str">
        <f t="shared" si="25"/>
        <v/>
      </c>
      <c r="K931" s="171">
        <f t="shared" si="26"/>
        <v>317</v>
      </c>
      <c r="L931" s="205"/>
    </row>
    <row r="932" spans="1:12" x14ac:dyDescent="0.2">
      <c r="A932" s="191"/>
      <c r="G932" s="204"/>
      <c r="I932" s="145" t="s">
        <v>894</v>
      </c>
      <c r="J932" s="172" t="str">
        <f t="shared" si="25"/>
        <v/>
      </c>
      <c r="K932" s="171">
        <f t="shared" si="26"/>
        <v>317</v>
      </c>
      <c r="L932" s="205"/>
    </row>
    <row r="933" spans="1:12" x14ac:dyDescent="0.2">
      <c r="A933" s="191"/>
      <c r="B933" s="173" t="s">
        <v>1034</v>
      </c>
      <c r="G933" s="204"/>
      <c r="I933" s="145"/>
      <c r="J933" s="172" t="str">
        <f t="shared" si="25"/>
        <v/>
      </c>
      <c r="K933" s="171">
        <f t="shared" si="26"/>
        <v>317</v>
      </c>
      <c r="L933" s="205"/>
    </row>
    <row r="934" spans="1:12" x14ac:dyDescent="0.2">
      <c r="A934" s="191"/>
      <c r="G934" s="204"/>
      <c r="I934" s="145"/>
      <c r="J934" s="172" t="str">
        <f t="shared" si="25"/>
        <v/>
      </c>
      <c r="K934" s="171">
        <f t="shared" si="26"/>
        <v>317</v>
      </c>
      <c r="L934" s="205"/>
    </row>
    <row r="935" spans="1:12" x14ac:dyDescent="0.2">
      <c r="A935" s="191">
        <v>24</v>
      </c>
      <c r="B935" s="121" t="s">
        <v>1008</v>
      </c>
      <c r="F935" s="317" t="s">
        <v>772</v>
      </c>
      <c r="G935" s="204">
        <v>5</v>
      </c>
      <c r="I935" s="145" t="s">
        <v>1009</v>
      </c>
      <c r="J935" s="172">
        <f t="shared" si="25"/>
        <v>317</v>
      </c>
      <c r="K935" s="171">
        <f t="shared" si="26"/>
        <v>317</v>
      </c>
      <c r="L935" s="205"/>
    </row>
    <row r="936" spans="1:12" x14ac:dyDescent="0.2">
      <c r="A936" s="191"/>
      <c r="G936" s="204"/>
      <c r="I936" s="145" t="s">
        <v>1010</v>
      </c>
      <c r="J936" s="172" t="str">
        <f t="shared" si="25"/>
        <v/>
      </c>
      <c r="K936" s="171">
        <f t="shared" si="26"/>
        <v>322</v>
      </c>
      <c r="L936" s="205"/>
    </row>
    <row r="937" spans="1:12" x14ac:dyDescent="0.2">
      <c r="A937" s="191"/>
      <c r="G937" s="204"/>
      <c r="J937" s="172" t="str">
        <f t="shared" si="25"/>
        <v/>
      </c>
      <c r="K937" s="171">
        <f t="shared" si="26"/>
        <v>322</v>
      </c>
      <c r="L937" s="205"/>
    </row>
    <row r="938" spans="1:12" x14ac:dyDescent="0.2">
      <c r="A938" s="191">
        <v>25</v>
      </c>
      <c r="B938" s="121" t="s">
        <v>1011</v>
      </c>
      <c r="F938" s="317" t="s">
        <v>772</v>
      </c>
      <c r="G938" s="204">
        <v>30</v>
      </c>
      <c r="I938" s="145" t="s">
        <v>1012</v>
      </c>
      <c r="J938" s="172">
        <f t="shared" si="25"/>
        <v>322</v>
      </c>
      <c r="K938" s="171">
        <f t="shared" si="26"/>
        <v>322</v>
      </c>
      <c r="L938" s="205"/>
    </row>
    <row r="939" spans="1:12" x14ac:dyDescent="0.2">
      <c r="A939" s="191"/>
      <c r="B939" s="121"/>
      <c r="G939" s="204"/>
      <c r="I939" s="145" t="s">
        <v>894</v>
      </c>
      <c r="J939" s="172" t="str">
        <f t="shared" si="25"/>
        <v/>
      </c>
      <c r="K939" s="171">
        <f t="shared" si="26"/>
        <v>352</v>
      </c>
      <c r="L939" s="205"/>
    </row>
    <row r="940" spans="1:12" x14ac:dyDescent="0.2">
      <c r="A940" s="191"/>
      <c r="G940" s="204"/>
      <c r="J940" s="172" t="str">
        <f t="shared" si="25"/>
        <v/>
      </c>
      <c r="K940" s="171">
        <f t="shared" si="26"/>
        <v>352</v>
      </c>
      <c r="L940" s="205"/>
    </row>
    <row r="941" spans="1:12" x14ac:dyDescent="0.2">
      <c r="A941" s="191">
        <v>26</v>
      </c>
      <c r="B941" s="121" t="s">
        <v>1013</v>
      </c>
      <c r="F941" s="317" t="s">
        <v>772</v>
      </c>
      <c r="G941" s="204">
        <v>6</v>
      </c>
      <c r="I941" s="145" t="s">
        <v>1014</v>
      </c>
      <c r="J941" s="172">
        <f t="shared" si="25"/>
        <v>352</v>
      </c>
      <c r="K941" s="171">
        <f t="shared" si="26"/>
        <v>352</v>
      </c>
      <c r="L941" s="205"/>
    </row>
    <row r="942" spans="1:12" x14ac:dyDescent="0.2">
      <c r="A942" s="191"/>
      <c r="G942" s="204"/>
      <c r="I942" s="145" t="s">
        <v>894</v>
      </c>
      <c r="J942" s="172" t="str">
        <f t="shared" si="25"/>
        <v/>
      </c>
      <c r="K942" s="171">
        <f t="shared" si="26"/>
        <v>358</v>
      </c>
      <c r="L942" s="205"/>
    </row>
    <row r="943" spans="1:12" x14ac:dyDescent="0.2">
      <c r="A943" s="191"/>
      <c r="G943" s="204"/>
      <c r="J943" s="172" t="str">
        <f t="shared" si="25"/>
        <v/>
      </c>
      <c r="K943" s="171">
        <f t="shared" si="26"/>
        <v>358</v>
      </c>
      <c r="L943" s="205"/>
    </row>
    <row r="944" spans="1:12" x14ac:dyDescent="0.2">
      <c r="A944" s="191">
        <v>27</v>
      </c>
      <c r="B944" s="121" t="s">
        <v>71</v>
      </c>
      <c r="F944" s="317" t="s">
        <v>772</v>
      </c>
      <c r="G944" s="204">
        <v>6</v>
      </c>
      <c r="I944" s="145" t="s">
        <v>1015</v>
      </c>
      <c r="J944" s="172">
        <f t="shared" si="25"/>
        <v>358</v>
      </c>
      <c r="K944" s="171">
        <f t="shared" si="26"/>
        <v>358</v>
      </c>
      <c r="L944" s="205"/>
    </row>
    <row r="945" spans="1:12" x14ac:dyDescent="0.2">
      <c r="A945" s="191"/>
      <c r="G945" s="204"/>
      <c r="I945" s="145" t="s">
        <v>894</v>
      </c>
      <c r="J945" s="172" t="str">
        <f t="shared" si="25"/>
        <v/>
      </c>
      <c r="K945" s="171">
        <f t="shared" si="26"/>
        <v>364</v>
      </c>
      <c r="L945" s="205"/>
    </row>
    <row r="946" spans="1:12" x14ac:dyDescent="0.2">
      <c r="A946" s="191"/>
      <c r="G946" s="204"/>
      <c r="I946" s="145"/>
      <c r="J946" s="172" t="str">
        <f t="shared" si="25"/>
        <v/>
      </c>
      <c r="K946" s="171">
        <f t="shared" si="26"/>
        <v>364</v>
      </c>
      <c r="L946" s="205"/>
    </row>
    <row r="947" spans="1:12" x14ac:dyDescent="0.2">
      <c r="A947" s="191">
        <v>28</v>
      </c>
      <c r="B947" s="121" t="s">
        <v>72</v>
      </c>
      <c r="F947" s="317" t="s">
        <v>772</v>
      </c>
      <c r="G947" s="204">
        <v>5</v>
      </c>
      <c r="I947" s="145" t="s">
        <v>1016</v>
      </c>
      <c r="J947" s="172">
        <f t="shared" si="25"/>
        <v>364</v>
      </c>
      <c r="K947" s="171">
        <f t="shared" si="26"/>
        <v>364</v>
      </c>
      <c r="L947" s="205"/>
    </row>
    <row r="948" spans="1:12" x14ac:dyDescent="0.2">
      <c r="A948" s="191"/>
      <c r="G948" s="204"/>
      <c r="I948" s="145" t="s">
        <v>894</v>
      </c>
      <c r="J948" s="172" t="str">
        <f t="shared" si="25"/>
        <v/>
      </c>
      <c r="K948" s="171">
        <f t="shared" si="26"/>
        <v>369</v>
      </c>
      <c r="L948" s="205"/>
    </row>
    <row r="949" spans="1:12" x14ac:dyDescent="0.2">
      <c r="A949" s="191"/>
      <c r="G949" s="204"/>
      <c r="J949" s="172" t="str">
        <f t="shared" si="25"/>
        <v/>
      </c>
      <c r="K949" s="171">
        <f t="shared" si="26"/>
        <v>369</v>
      </c>
      <c r="L949" s="205"/>
    </row>
    <row r="950" spans="1:12" x14ac:dyDescent="0.2">
      <c r="A950" s="191">
        <v>29</v>
      </c>
      <c r="B950" s="121" t="s">
        <v>73</v>
      </c>
      <c r="F950" s="317" t="s">
        <v>772</v>
      </c>
      <c r="G950" s="204">
        <v>3</v>
      </c>
      <c r="I950" s="145" t="s">
        <v>1017</v>
      </c>
      <c r="J950" s="172">
        <f t="shared" si="25"/>
        <v>369</v>
      </c>
      <c r="K950" s="171">
        <f t="shared" si="26"/>
        <v>369</v>
      </c>
      <c r="L950" s="205"/>
    </row>
    <row r="951" spans="1:12" x14ac:dyDescent="0.2">
      <c r="A951" s="191"/>
      <c r="G951" s="204"/>
      <c r="I951" s="145" t="s">
        <v>894</v>
      </c>
      <c r="J951" s="172" t="str">
        <f t="shared" si="25"/>
        <v/>
      </c>
      <c r="K951" s="171">
        <f t="shared" si="26"/>
        <v>372</v>
      </c>
      <c r="L951" s="205"/>
    </row>
    <row r="952" spans="1:12" x14ac:dyDescent="0.2">
      <c r="A952" s="191"/>
      <c r="G952" s="204"/>
      <c r="I952" s="145"/>
      <c r="J952" s="172" t="str">
        <f t="shared" si="25"/>
        <v/>
      </c>
      <c r="K952" s="171">
        <f t="shared" si="26"/>
        <v>372</v>
      </c>
      <c r="L952" s="205"/>
    </row>
    <row r="953" spans="1:12" x14ac:dyDescent="0.2">
      <c r="A953" s="191">
        <v>30</v>
      </c>
      <c r="B953" s="121" t="s">
        <v>1018</v>
      </c>
      <c r="F953" s="317" t="s">
        <v>772</v>
      </c>
      <c r="G953" s="204">
        <v>3</v>
      </c>
      <c r="I953" s="145" t="s">
        <v>1019</v>
      </c>
      <c r="J953" s="172">
        <f t="shared" si="25"/>
        <v>372</v>
      </c>
      <c r="K953" s="171">
        <f t="shared" si="26"/>
        <v>372</v>
      </c>
      <c r="L953" s="205"/>
    </row>
    <row r="954" spans="1:12" x14ac:dyDescent="0.2">
      <c r="A954" s="191"/>
      <c r="G954" s="204"/>
      <c r="I954" s="145" t="s">
        <v>894</v>
      </c>
      <c r="J954" s="172" t="str">
        <f t="shared" si="25"/>
        <v/>
      </c>
      <c r="K954" s="171">
        <f t="shared" si="26"/>
        <v>375</v>
      </c>
      <c r="L954" s="205"/>
    </row>
    <row r="955" spans="1:12" x14ac:dyDescent="0.2">
      <c r="A955" s="191"/>
      <c r="G955" s="204"/>
      <c r="I955" s="145"/>
      <c r="J955" s="172" t="str">
        <f t="shared" si="25"/>
        <v/>
      </c>
      <c r="K955" s="171">
        <f t="shared" si="26"/>
        <v>375</v>
      </c>
      <c r="L955" s="205"/>
    </row>
    <row r="956" spans="1:12" x14ac:dyDescent="0.2">
      <c r="A956" s="191">
        <v>31</v>
      </c>
      <c r="B956" s="121" t="s">
        <v>1020</v>
      </c>
      <c r="F956" s="317" t="s">
        <v>772</v>
      </c>
      <c r="G956" s="204">
        <v>3</v>
      </c>
      <c r="I956" s="145" t="s">
        <v>1021</v>
      </c>
      <c r="J956" s="172">
        <f t="shared" si="25"/>
        <v>375</v>
      </c>
      <c r="K956" s="171">
        <f t="shared" si="26"/>
        <v>375</v>
      </c>
      <c r="L956" s="205"/>
    </row>
    <row r="957" spans="1:12" x14ac:dyDescent="0.2">
      <c r="A957" s="191"/>
      <c r="G957" s="204"/>
      <c r="I957" s="145" t="s">
        <v>894</v>
      </c>
      <c r="J957" s="172" t="str">
        <f t="shared" si="25"/>
        <v/>
      </c>
      <c r="K957" s="171">
        <f t="shared" si="26"/>
        <v>378</v>
      </c>
      <c r="L957" s="205"/>
    </row>
    <row r="958" spans="1:12" x14ac:dyDescent="0.2">
      <c r="A958" s="191"/>
      <c r="G958" s="204"/>
      <c r="J958" s="172" t="str">
        <f t="shared" si="25"/>
        <v/>
      </c>
      <c r="K958" s="171">
        <f t="shared" si="26"/>
        <v>378</v>
      </c>
      <c r="L958" s="205"/>
    </row>
    <row r="959" spans="1:12" x14ac:dyDescent="0.2">
      <c r="A959" s="191">
        <v>32</v>
      </c>
      <c r="B959" s="121" t="s">
        <v>74</v>
      </c>
      <c r="F959" s="317" t="s">
        <v>772</v>
      </c>
      <c r="G959" s="204">
        <v>3</v>
      </c>
      <c r="I959" s="145" t="s">
        <v>1022</v>
      </c>
      <c r="J959" s="172">
        <f t="shared" si="25"/>
        <v>378</v>
      </c>
      <c r="K959" s="171">
        <f t="shared" si="26"/>
        <v>378</v>
      </c>
      <c r="L959" s="205"/>
    </row>
    <row r="960" spans="1:12" x14ac:dyDescent="0.2">
      <c r="A960" s="191"/>
      <c r="G960" s="204"/>
      <c r="I960" s="145" t="s">
        <v>894</v>
      </c>
      <c r="J960" s="172" t="str">
        <f t="shared" si="25"/>
        <v/>
      </c>
      <c r="K960" s="171">
        <f t="shared" si="26"/>
        <v>381</v>
      </c>
      <c r="L960" s="205"/>
    </row>
    <row r="961" spans="1:12" x14ac:dyDescent="0.2">
      <c r="A961" s="191"/>
      <c r="G961" s="204"/>
      <c r="I961" s="145"/>
      <c r="J961" s="172" t="str">
        <f t="shared" si="25"/>
        <v/>
      </c>
      <c r="K961" s="171">
        <f t="shared" si="26"/>
        <v>381</v>
      </c>
      <c r="L961" s="205"/>
    </row>
    <row r="962" spans="1:12" x14ac:dyDescent="0.2">
      <c r="A962" s="191">
        <v>33</v>
      </c>
      <c r="B962" s="121" t="s">
        <v>75</v>
      </c>
      <c r="F962" s="317" t="s">
        <v>772</v>
      </c>
      <c r="G962" s="204">
        <v>3</v>
      </c>
      <c r="I962" s="145" t="s">
        <v>1023</v>
      </c>
      <c r="J962" s="172">
        <f t="shared" si="25"/>
        <v>381</v>
      </c>
      <c r="K962" s="171">
        <f t="shared" si="26"/>
        <v>381</v>
      </c>
      <c r="L962" s="205"/>
    </row>
    <row r="963" spans="1:12" x14ac:dyDescent="0.2">
      <c r="A963" s="191"/>
      <c r="G963" s="204"/>
      <c r="I963" s="145" t="s">
        <v>894</v>
      </c>
      <c r="J963" s="172" t="str">
        <f t="shared" ref="J963:J1026" si="27">IF(A963=1, 4,IF(G963="", "",+K963))</f>
        <v/>
      </c>
      <c r="K963" s="171">
        <f t="shared" si="26"/>
        <v>384</v>
      </c>
      <c r="L963" s="205"/>
    </row>
    <row r="964" spans="1:12" x14ac:dyDescent="0.2">
      <c r="A964" s="191"/>
      <c r="G964" s="204"/>
      <c r="I964" s="145"/>
      <c r="J964" s="172" t="str">
        <f t="shared" si="27"/>
        <v/>
      </c>
      <c r="K964" s="171">
        <f t="shared" si="26"/>
        <v>384</v>
      </c>
      <c r="L964" s="205"/>
    </row>
    <row r="965" spans="1:12" x14ac:dyDescent="0.2">
      <c r="A965" s="191">
        <v>34</v>
      </c>
      <c r="B965" s="121" t="s">
        <v>1024</v>
      </c>
      <c r="F965" s="317" t="s">
        <v>772</v>
      </c>
      <c r="G965" s="204">
        <v>5</v>
      </c>
      <c r="I965" s="145" t="s">
        <v>1025</v>
      </c>
      <c r="J965" s="172">
        <f t="shared" si="27"/>
        <v>384</v>
      </c>
      <c r="K965" s="171">
        <f t="shared" si="26"/>
        <v>384</v>
      </c>
      <c r="L965" s="205"/>
    </row>
    <row r="966" spans="1:12" x14ac:dyDescent="0.2">
      <c r="A966" s="191"/>
      <c r="G966" s="204"/>
      <c r="I966" s="145" t="s">
        <v>894</v>
      </c>
      <c r="J966" s="172" t="str">
        <f t="shared" si="27"/>
        <v/>
      </c>
      <c r="K966" s="171">
        <f t="shared" si="26"/>
        <v>389</v>
      </c>
      <c r="L966" s="205"/>
    </row>
    <row r="967" spans="1:12" x14ac:dyDescent="0.2">
      <c r="A967" s="191"/>
      <c r="G967" s="204"/>
      <c r="J967" s="172" t="str">
        <f t="shared" si="27"/>
        <v/>
      </c>
      <c r="K967" s="171">
        <f t="shared" si="26"/>
        <v>389</v>
      </c>
      <c r="L967" s="205"/>
    </row>
    <row r="968" spans="1:12" x14ac:dyDescent="0.2">
      <c r="A968" s="191">
        <v>35</v>
      </c>
      <c r="B968" s="121" t="s">
        <v>76</v>
      </c>
      <c r="F968" s="317" t="s">
        <v>772</v>
      </c>
      <c r="G968" s="204">
        <v>5</v>
      </c>
      <c r="I968" s="145" t="s">
        <v>1026</v>
      </c>
      <c r="J968" s="172">
        <f t="shared" si="27"/>
        <v>389</v>
      </c>
      <c r="K968" s="171">
        <f t="shared" si="26"/>
        <v>389</v>
      </c>
      <c r="L968" s="205"/>
    </row>
    <row r="969" spans="1:12" x14ac:dyDescent="0.2">
      <c r="A969" s="191"/>
      <c r="G969" s="204"/>
      <c r="I969" s="145" t="s">
        <v>1010</v>
      </c>
      <c r="J969" s="172" t="str">
        <f t="shared" si="27"/>
        <v/>
      </c>
      <c r="K969" s="171">
        <f t="shared" si="26"/>
        <v>394</v>
      </c>
      <c r="L969" s="205"/>
    </row>
    <row r="970" spans="1:12" x14ac:dyDescent="0.2">
      <c r="A970" s="191"/>
      <c r="G970" s="204"/>
      <c r="I970" s="145"/>
      <c r="J970" s="172" t="str">
        <f t="shared" si="27"/>
        <v/>
      </c>
      <c r="K970" s="171">
        <f t="shared" si="26"/>
        <v>394</v>
      </c>
      <c r="L970" s="205"/>
    </row>
    <row r="971" spans="1:12" x14ac:dyDescent="0.2">
      <c r="A971" s="191">
        <v>36</v>
      </c>
      <c r="B971" s="121" t="s">
        <v>77</v>
      </c>
      <c r="F971" s="317" t="s">
        <v>772</v>
      </c>
      <c r="G971" s="204">
        <v>30</v>
      </c>
      <c r="I971" s="145" t="s">
        <v>1027</v>
      </c>
      <c r="J971" s="172">
        <f t="shared" si="27"/>
        <v>394</v>
      </c>
      <c r="K971" s="171">
        <f t="shared" si="26"/>
        <v>394</v>
      </c>
      <c r="L971" s="205"/>
    </row>
    <row r="972" spans="1:12" x14ac:dyDescent="0.2">
      <c r="A972" s="191"/>
      <c r="G972" s="204"/>
      <c r="I972" s="145" t="s">
        <v>894</v>
      </c>
      <c r="J972" s="172" t="str">
        <f t="shared" si="27"/>
        <v/>
      </c>
      <c r="K972" s="171">
        <f t="shared" si="26"/>
        <v>424</v>
      </c>
      <c r="L972" s="205"/>
    </row>
    <row r="973" spans="1:12" x14ac:dyDescent="0.2">
      <c r="A973" s="191"/>
      <c r="G973" s="204"/>
      <c r="I973" s="145"/>
      <c r="J973" s="172" t="str">
        <f t="shared" si="27"/>
        <v/>
      </c>
      <c r="K973" s="171">
        <f t="shared" si="26"/>
        <v>424</v>
      </c>
      <c r="L973" s="205"/>
    </row>
    <row r="974" spans="1:12" ht="30" x14ac:dyDescent="0.2">
      <c r="A974" s="191">
        <v>37</v>
      </c>
      <c r="B974" s="109" t="s">
        <v>1035</v>
      </c>
      <c r="F974" s="317" t="s">
        <v>772</v>
      </c>
      <c r="G974" s="204">
        <v>120</v>
      </c>
      <c r="I974" s="145" t="s">
        <v>1036</v>
      </c>
      <c r="J974" s="172">
        <f t="shared" si="27"/>
        <v>424</v>
      </c>
      <c r="K974" s="171">
        <f t="shared" si="26"/>
        <v>424</v>
      </c>
      <c r="L974" s="205"/>
    </row>
    <row r="975" spans="1:12" x14ac:dyDescent="0.2">
      <c r="A975" s="191"/>
      <c r="G975" s="204"/>
      <c r="I975" s="145"/>
      <c r="J975" s="172" t="str">
        <f t="shared" si="27"/>
        <v/>
      </c>
      <c r="K975" s="171">
        <f t="shared" si="26"/>
        <v>544</v>
      </c>
      <c r="L975" s="205"/>
    </row>
    <row r="976" spans="1:12" x14ac:dyDescent="0.2">
      <c r="A976" s="191">
        <v>38</v>
      </c>
      <c r="B976" s="121" t="s">
        <v>78</v>
      </c>
      <c r="F976" s="317" t="s">
        <v>772</v>
      </c>
      <c r="G976" s="204">
        <v>55</v>
      </c>
      <c r="I976" s="145" t="s">
        <v>1030</v>
      </c>
      <c r="J976" s="172">
        <f t="shared" si="27"/>
        <v>544</v>
      </c>
      <c r="K976" s="171">
        <f t="shared" si="26"/>
        <v>544</v>
      </c>
      <c r="L976" s="205"/>
    </row>
    <row r="977" spans="1:12" x14ac:dyDescent="0.2">
      <c r="A977" s="191"/>
      <c r="G977" s="204"/>
      <c r="I977" s="145" t="s">
        <v>894</v>
      </c>
      <c r="J977" s="172" t="str">
        <f t="shared" si="27"/>
        <v/>
      </c>
      <c r="K977" s="171">
        <f t="shared" si="26"/>
        <v>599</v>
      </c>
      <c r="L977" s="205"/>
    </row>
    <row r="978" spans="1:12" x14ac:dyDescent="0.2">
      <c r="A978" s="191"/>
      <c r="G978" s="204"/>
      <c r="J978" s="172" t="str">
        <f t="shared" si="27"/>
        <v/>
      </c>
      <c r="K978" s="171">
        <f t="shared" si="26"/>
        <v>599</v>
      </c>
      <c r="L978" s="205"/>
    </row>
    <row r="979" spans="1:12" x14ac:dyDescent="0.2">
      <c r="A979" s="191">
        <v>39</v>
      </c>
      <c r="B979" s="109" t="s">
        <v>954</v>
      </c>
      <c r="F979" s="317" t="s">
        <v>701</v>
      </c>
      <c r="G979" s="204">
        <v>6</v>
      </c>
      <c r="I979" s="145" t="s">
        <v>1031</v>
      </c>
      <c r="J979" s="172">
        <f t="shared" si="27"/>
        <v>599</v>
      </c>
      <c r="K979" s="171">
        <f t="shared" si="26"/>
        <v>599</v>
      </c>
      <c r="L979" s="205"/>
    </row>
    <row r="980" spans="1:12" x14ac:dyDescent="0.2">
      <c r="A980" s="191"/>
      <c r="G980" s="204"/>
      <c r="I980" s="111" t="s">
        <v>1032</v>
      </c>
      <c r="J980" s="172" t="str">
        <f t="shared" si="27"/>
        <v/>
      </c>
      <c r="K980" s="171">
        <f t="shared" si="26"/>
        <v>605</v>
      </c>
      <c r="L980" s="205"/>
    </row>
    <row r="981" spans="1:12" x14ac:dyDescent="0.2">
      <c r="A981" s="191"/>
      <c r="G981" s="204"/>
      <c r="I981" s="145"/>
      <c r="J981" s="172" t="str">
        <f t="shared" si="27"/>
        <v/>
      </c>
      <c r="K981" s="171">
        <f t="shared" si="26"/>
        <v>605</v>
      </c>
      <c r="L981" s="205"/>
    </row>
    <row r="982" spans="1:12" x14ac:dyDescent="0.2">
      <c r="A982" s="191">
        <v>40</v>
      </c>
      <c r="B982" s="109" t="s">
        <v>819</v>
      </c>
      <c r="F982" s="317" t="s">
        <v>772</v>
      </c>
      <c r="G982" s="204">
        <v>9</v>
      </c>
      <c r="I982" s="145" t="s">
        <v>1033</v>
      </c>
      <c r="J982" s="172">
        <f t="shared" si="27"/>
        <v>605</v>
      </c>
      <c r="K982" s="171">
        <f t="shared" si="26"/>
        <v>605</v>
      </c>
      <c r="L982" s="205"/>
    </row>
    <row r="983" spans="1:12" x14ac:dyDescent="0.2">
      <c r="A983" s="191"/>
      <c r="G983" s="204"/>
      <c r="I983" s="145" t="s">
        <v>971</v>
      </c>
      <c r="J983" s="172" t="str">
        <f t="shared" si="27"/>
        <v/>
      </c>
      <c r="K983" s="171">
        <f t="shared" si="26"/>
        <v>614</v>
      </c>
      <c r="L983" s="205"/>
    </row>
    <row r="984" spans="1:12" x14ac:dyDescent="0.2">
      <c r="A984" s="191"/>
      <c r="G984" s="204"/>
      <c r="I984" s="145" t="s">
        <v>972</v>
      </c>
      <c r="J984" s="172" t="str">
        <f t="shared" si="27"/>
        <v/>
      </c>
      <c r="K984" s="171">
        <f t="shared" si="26"/>
        <v>614</v>
      </c>
      <c r="L984" s="205"/>
    </row>
    <row r="985" spans="1:12" x14ac:dyDescent="0.2">
      <c r="A985" s="191"/>
      <c r="G985" s="204"/>
      <c r="I985" s="145" t="s">
        <v>973</v>
      </c>
      <c r="J985" s="172" t="str">
        <f t="shared" si="27"/>
        <v/>
      </c>
      <c r="K985" s="171">
        <f t="shared" si="26"/>
        <v>614</v>
      </c>
      <c r="L985" s="205"/>
    </row>
    <row r="986" spans="1:12" x14ac:dyDescent="0.2">
      <c r="A986" s="191"/>
      <c r="G986" s="204"/>
      <c r="I986" s="145" t="s">
        <v>894</v>
      </c>
      <c r="J986" s="172" t="str">
        <f t="shared" si="27"/>
        <v/>
      </c>
      <c r="K986" s="171">
        <f t="shared" si="26"/>
        <v>614</v>
      </c>
      <c r="L986" s="205"/>
    </row>
    <row r="987" spans="1:12" x14ac:dyDescent="0.2">
      <c r="A987" s="191"/>
      <c r="G987" s="204"/>
      <c r="I987" s="145"/>
      <c r="J987" s="172" t="str">
        <f t="shared" si="27"/>
        <v/>
      </c>
      <c r="K987" s="171">
        <f t="shared" si="26"/>
        <v>614</v>
      </c>
      <c r="L987" s="205"/>
    </row>
    <row r="988" spans="1:12" x14ac:dyDescent="0.2">
      <c r="A988" s="191"/>
      <c r="B988" s="173" t="s">
        <v>1037</v>
      </c>
      <c r="G988" s="204"/>
      <c r="I988" s="145"/>
      <c r="J988" s="172" t="str">
        <f t="shared" si="27"/>
        <v/>
      </c>
      <c r="K988" s="171">
        <f t="shared" si="26"/>
        <v>614</v>
      </c>
      <c r="L988" s="205"/>
    </row>
    <row r="989" spans="1:12" x14ac:dyDescent="0.2">
      <c r="A989" s="191"/>
      <c r="G989" s="204"/>
      <c r="I989" s="145"/>
      <c r="J989" s="172" t="str">
        <f t="shared" si="27"/>
        <v/>
      </c>
      <c r="K989" s="171">
        <f t="shared" si="26"/>
        <v>614</v>
      </c>
      <c r="L989" s="205"/>
    </row>
    <row r="990" spans="1:12" ht="30" x14ac:dyDescent="0.2">
      <c r="A990" s="191">
        <v>41</v>
      </c>
      <c r="B990" s="109" t="s">
        <v>1038</v>
      </c>
      <c r="F990" s="317" t="s">
        <v>701</v>
      </c>
      <c r="G990" s="204">
        <v>1</v>
      </c>
      <c r="I990" s="145" t="s">
        <v>1039</v>
      </c>
      <c r="J990" s="172">
        <f t="shared" si="27"/>
        <v>614</v>
      </c>
      <c r="K990" s="171">
        <f t="shared" ref="K990:K1053" si="28">IF(A990=1,1,+K989+G989)</f>
        <v>614</v>
      </c>
      <c r="L990" s="205"/>
    </row>
    <row r="991" spans="1:12" x14ac:dyDescent="0.2">
      <c r="A991" s="191"/>
      <c r="G991" s="204"/>
      <c r="I991" s="145" t="s">
        <v>1040</v>
      </c>
      <c r="J991" s="172" t="str">
        <f t="shared" si="27"/>
        <v/>
      </c>
      <c r="K991" s="171">
        <f t="shared" si="28"/>
        <v>615</v>
      </c>
      <c r="L991" s="205"/>
    </row>
    <row r="992" spans="1:12" x14ac:dyDescent="0.2">
      <c r="A992" s="191"/>
      <c r="G992" s="204"/>
      <c r="I992" s="145" t="s">
        <v>1041</v>
      </c>
      <c r="J992" s="172" t="str">
        <f t="shared" si="27"/>
        <v/>
      </c>
      <c r="K992" s="171">
        <f t="shared" si="28"/>
        <v>615</v>
      </c>
      <c r="L992" s="205"/>
    </row>
    <row r="993" spans="1:12" x14ac:dyDescent="0.2">
      <c r="A993" s="191"/>
      <c r="G993" s="204"/>
      <c r="I993" s="145" t="s">
        <v>1</v>
      </c>
      <c r="J993" s="172" t="str">
        <f t="shared" si="27"/>
        <v/>
      </c>
      <c r="K993" s="171">
        <f t="shared" si="28"/>
        <v>615</v>
      </c>
      <c r="L993" s="205"/>
    </row>
    <row r="994" spans="1:12" ht="15.75" thickBot="1" x14ac:dyDescent="0.25">
      <c r="A994" s="191">
        <v>42</v>
      </c>
      <c r="B994" s="121" t="s">
        <v>782</v>
      </c>
      <c r="F994" s="317" t="s">
        <v>772</v>
      </c>
      <c r="G994" s="204">
        <f>D857-J990-G990+1</f>
        <v>236</v>
      </c>
      <c r="I994" s="145" t="s">
        <v>965</v>
      </c>
      <c r="J994" s="172">
        <f t="shared" si="27"/>
        <v>615</v>
      </c>
      <c r="K994" s="171">
        <f t="shared" si="28"/>
        <v>615</v>
      </c>
      <c r="L994" s="205"/>
    </row>
    <row r="995" spans="1:12" ht="16.5" thickTop="1" thickBot="1" x14ac:dyDescent="0.25">
      <c r="A995" s="191"/>
      <c r="B995" s="192" t="s">
        <v>755</v>
      </c>
      <c r="C995" s="139"/>
      <c r="D995" s="323" t="s">
        <v>911</v>
      </c>
      <c r="E995" s="118"/>
      <c r="F995" s="321"/>
      <c r="G995" s="193"/>
      <c r="H995" s="117"/>
      <c r="I995" s="152"/>
      <c r="J995" s="172" t="str">
        <f t="shared" si="27"/>
        <v/>
      </c>
      <c r="K995" s="171"/>
      <c r="L995" s="205"/>
    </row>
    <row r="996" spans="1:12" ht="15.75" thickTop="1" x14ac:dyDescent="0.2">
      <c r="A996" s="191"/>
      <c r="B996" s="138"/>
      <c r="D996" s="321"/>
      <c r="E996" s="118"/>
      <c r="F996" s="321"/>
      <c r="G996" s="193"/>
      <c r="H996" s="117"/>
      <c r="J996" s="172" t="str">
        <f t="shared" si="27"/>
        <v/>
      </c>
      <c r="K996" s="171"/>
      <c r="L996" s="205"/>
    </row>
    <row r="997" spans="1:12" x14ac:dyDescent="0.2">
      <c r="A997" s="194" t="s">
        <v>1</v>
      </c>
      <c r="B997" s="195" t="s">
        <v>912</v>
      </c>
      <c r="C997" s="196"/>
      <c r="D997" s="332" t="s">
        <v>677</v>
      </c>
      <c r="E997" s="197"/>
      <c r="F997" s="332"/>
      <c r="G997" s="194"/>
      <c r="H997" s="196"/>
      <c r="I997" s="198"/>
      <c r="J997" s="172" t="str">
        <f t="shared" si="27"/>
        <v/>
      </c>
      <c r="K997" s="171"/>
      <c r="L997" s="205"/>
    </row>
    <row r="998" spans="1:12" x14ac:dyDescent="0.2">
      <c r="A998" s="199"/>
      <c r="B998" s="195" t="s">
        <v>757</v>
      </c>
      <c r="C998" s="124"/>
      <c r="D998" s="333">
        <f>+G11</f>
        <v>850</v>
      </c>
      <c r="E998" s="197" t="s">
        <v>758</v>
      </c>
      <c r="F998" s="332"/>
      <c r="G998" s="194"/>
      <c r="H998" s="196"/>
      <c r="I998" s="200"/>
      <c r="J998" s="172" t="str">
        <f t="shared" si="27"/>
        <v/>
      </c>
      <c r="K998" s="171"/>
      <c r="L998" s="205"/>
    </row>
    <row r="999" spans="1:12" x14ac:dyDescent="0.2">
      <c r="A999" s="199"/>
      <c r="B999" s="196"/>
      <c r="C999" s="196"/>
      <c r="D999" s="332"/>
      <c r="E999" s="197"/>
      <c r="F999" s="332"/>
      <c r="G999" s="194"/>
      <c r="H999" s="196"/>
      <c r="I999" s="200"/>
      <c r="J999" s="172" t="str">
        <f t="shared" si="27"/>
        <v/>
      </c>
      <c r="K999" s="171"/>
      <c r="L999" s="205"/>
    </row>
    <row r="1000" spans="1:12" s="108" customFormat="1" x14ac:dyDescent="0.2">
      <c r="A1000" s="201" t="s">
        <v>759</v>
      </c>
      <c r="B1000" s="166" t="s">
        <v>712</v>
      </c>
      <c r="C1000" s="167"/>
      <c r="D1000" s="327" t="s">
        <v>713</v>
      </c>
      <c r="E1000" s="168"/>
      <c r="F1000" s="327" t="s">
        <v>760</v>
      </c>
      <c r="G1000" s="156" t="s">
        <v>715</v>
      </c>
      <c r="H1000" s="167"/>
      <c r="I1000" s="169" t="s">
        <v>716</v>
      </c>
      <c r="J1000" s="172">
        <f t="shared" si="27"/>
        <v>0</v>
      </c>
      <c r="K1000" s="171"/>
    </row>
    <row r="1001" spans="1:12" x14ac:dyDescent="0.2">
      <c r="A1001" s="202" t="s">
        <v>1</v>
      </c>
      <c r="B1001" s="117"/>
      <c r="C1001" s="117"/>
      <c r="D1001" s="321"/>
      <c r="E1001" s="118"/>
      <c r="F1001" s="321"/>
      <c r="G1001" s="193"/>
      <c r="H1001" s="117"/>
      <c r="I1001" s="144"/>
      <c r="J1001" s="172" t="str">
        <f t="shared" si="27"/>
        <v/>
      </c>
      <c r="K1001" s="171"/>
      <c r="L1001" s="205"/>
    </row>
    <row r="1002" spans="1:12" x14ac:dyDescent="0.2">
      <c r="A1002" s="203" t="s">
        <v>1</v>
      </c>
      <c r="B1002" s="121" t="s">
        <v>762</v>
      </c>
      <c r="G1002" s="204"/>
      <c r="J1002" s="172" t="str">
        <f t="shared" si="27"/>
        <v/>
      </c>
      <c r="K1002" s="171"/>
      <c r="L1002" s="205"/>
    </row>
    <row r="1003" spans="1:12" x14ac:dyDescent="0.2">
      <c r="A1003" s="191">
        <v>1</v>
      </c>
      <c r="B1003" s="121" t="s">
        <v>763</v>
      </c>
      <c r="D1003" s="317" t="s">
        <v>1002</v>
      </c>
      <c r="F1003" s="317" t="s">
        <v>701</v>
      </c>
      <c r="G1003" s="204">
        <v>4</v>
      </c>
      <c r="I1003" s="145" t="s">
        <v>765</v>
      </c>
      <c r="J1003" s="172">
        <f t="shared" si="27"/>
        <v>4</v>
      </c>
      <c r="K1003" s="171">
        <f t="shared" si="28"/>
        <v>1</v>
      </c>
      <c r="L1003" s="205"/>
    </row>
    <row r="1004" spans="1:12" x14ac:dyDescent="0.2">
      <c r="A1004" s="191"/>
      <c r="G1004" s="204"/>
      <c r="J1004" s="172" t="str">
        <f t="shared" si="27"/>
        <v/>
      </c>
      <c r="K1004" s="171">
        <f t="shared" si="28"/>
        <v>5</v>
      </c>
      <c r="L1004" s="205"/>
    </row>
    <row r="1005" spans="1:12" x14ac:dyDescent="0.2">
      <c r="A1005" s="191">
        <v>2</v>
      </c>
      <c r="B1005" s="121" t="s">
        <v>766</v>
      </c>
      <c r="D1005" s="317" t="s">
        <v>767</v>
      </c>
      <c r="F1005" s="317" t="s">
        <v>701</v>
      </c>
      <c r="G1005" s="204">
        <v>1</v>
      </c>
      <c r="I1005" s="145" t="s">
        <v>768</v>
      </c>
      <c r="J1005" s="172">
        <f t="shared" si="27"/>
        <v>5</v>
      </c>
      <c r="K1005" s="171">
        <f t="shared" si="28"/>
        <v>5</v>
      </c>
      <c r="L1005" s="205"/>
    </row>
    <row r="1006" spans="1:12" x14ac:dyDescent="0.2">
      <c r="A1006" s="191"/>
      <c r="G1006" s="204"/>
      <c r="J1006" s="172" t="str">
        <f t="shared" si="27"/>
        <v/>
      </c>
      <c r="K1006" s="171">
        <f t="shared" si="28"/>
        <v>6</v>
      </c>
      <c r="L1006" s="205"/>
    </row>
    <row r="1007" spans="1:12" x14ac:dyDescent="0.2">
      <c r="A1007" s="191">
        <v>3</v>
      </c>
      <c r="B1007" s="121" t="s">
        <v>769</v>
      </c>
      <c r="D1007" s="317" t="s">
        <v>770</v>
      </c>
      <c r="F1007" s="317" t="s">
        <v>701</v>
      </c>
      <c r="G1007" s="204">
        <v>4</v>
      </c>
      <c r="I1007" s="145" t="s">
        <v>768</v>
      </c>
      <c r="J1007" s="172">
        <f t="shared" si="27"/>
        <v>6</v>
      </c>
      <c r="K1007" s="171">
        <f t="shared" si="28"/>
        <v>6</v>
      </c>
      <c r="L1007" s="205"/>
    </row>
    <row r="1008" spans="1:12" x14ac:dyDescent="0.2">
      <c r="A1008" s="191"/>
      <c r="G1008" s="204"/>
      <c r="J1008" s="172" t="str">
        <f t="shared" si="27"/>
        <v/>
      </c>
      <c r="K1008" s="171">
        <f t="shared" si="28"/>
        <v>10</v>
      </c>
      <c r="L1008" s="205"/>
    </row>
    <row r="1009" spans="1:12" x14ac:dyDescent="0.2">
      <c r="A1009" s="191">
        <v>4</v>
      </c>
      <c r="B1009" s="121" t="s">
        <v>771</v>
      </c>
      <c r="F1009" s="317" t="s">
        <v>772</v>
      </c>
      <c r="G1009" s="204">
        <v>1</v>
      </c>
      <c r="I1009" s="145" t="s">
        <v>773</v>
      </c>
      <c r="J1009" s="172">
        <f t="shared" si="27"/>
        <v>10</v>
      </c>
      <c r="K1009" s="171">
        <f t="shared" si="28"/>
        <v>10</v>
      </c>
      <c r="L1009" s="205"/>
    </row>
    <row r="1010" spans="1:12" x14ac:dyDescent="0.2">
      <c r="A1010" s="191"/>
      <c r="G1010" s="204"/>
      <c r="J1010" s="172" t="str">
        <f t="shared" si="27"/>
        <v/>
      </c>
      <c r="K1010" s="171">
        <f t="shared" si="28"/>
        <v>11</v>
      </c>
      <c r="L1010" s="205"/>
    </row>
    <row r="1011" spans="1:12" x14ac:dyDescent="0.2">
      <c r="A1011" s="191"/>
      <c r="B1011" s="173" t="s">
        <v>774</v>
      </c>
      <c r="G1011" s="204"/>
      <c r="J1011" s="172" t="str">
        <f t="shared" si="27"/>
        <v/>
      </c>
      <c r="K1011" s="171">
        <f t="shared" si="28"/>
        <v>11</v>
      </c>
      <c r="L1011" s="205"/>
    </row>
    <row r="1012" spans="1:12" x14ac:dyDescent="0.2">
      <c r="A1012" s="191"/>
      <c r="G1012" s="204"/>
      <c r="J1012" s="172" t="str">
        <f t="shared" si="27"/>
        <v/>
      </c>
      <c r="K1012" s="171">
        <f t="shared" si="28"/>
        <v>11</v>
      </c>
      <c r="L1012" s="205"/>
    </row>
    <row r="1013" spans="1:12" x14ac:dyDescent="0.2">
      <c r="A1013" s="109">
        <v>5</v>
      </c>
      <c r="B1013" s="109" t="s">
        <v>775</v>
      </c>
      <c r="F1013" s="317" t="s">
        <v>701</v>
      </c>
      <c r="G1013" s="110">
        <v>3</v>
      </c>
      <c r="I1013" s="111" t="s">
        <v>968</v>
      </c>
      <c r="J1013" s="172">
        <f t="shared" si="27"/>
        <v>11</v>
      </c>
      <c r="K1013" s="171">
        <f t="shared" si="28"/>
        <v>11</v>
      </c>
      <c r="L1013" s="205"/>
    </row>
    <row r="1014" spans="1:12" x14ac:dyDescent="0.2">
      <c r="I1014" s="145" t="s">
        <v>777</v>
      </c>
      <c r="J1014" s="172" t="str">
        <f t="shared" si="27"/>
        <v/>
      </c>
      <c r="K1014" s="171">
        <f t="shared" si="28"/>
        <v>14</v>
      </c>
      <c r="L1014" s="205"/>
    </row>
    <row r="1015" spans="1:12" x14ac:dyDescent="0.2">
      <c r="J1015" s="172" t="str">
        <f t="shared" si="27"/>
        <v/>
      </c>
      <c r="K1015" s="171">
        <f t="shared" si="28"/>
        <v>14</v>
      </c>
      <c r="L1015" s="205"/>
    </row>
    <row r="1016" spans="1:12" ht="30" x14ac:dyDescent="0.2">
      <c r="A1016" s="191">
        <v>6</v>
      </c>
      <c r="B1016" s="121" t="s">
        <v>1003</v>
      </c>
      <c r="F1016" s="317" t="s">
        <v>701</v>
      </c>
      <c r="G1016" s="204">
        <v>6</v>
      </c>
      <c r="I1016" s="145" t="s">
        <v>1004</v>
      </c>
      <c r="J1016" s="172">
        <f t="shared" si="27"/>
        <v>14</v>
      </c>
      <c r="K1016" s="171">
        <f t="shared" si="28"/>
        <v>14</v>
      </c>
      <c r="L1016" s="205"/>
    </row>
    <row r="1017" spans="1:12" ht="30" x14ac:dyDescent="0.2">
      <c r="A1017" s="191"/>
      <c r="B1017" s="121"/>
      <c r="G1017" s="204"/>
      <c r="I1017" s="145" t="s">
        <v>1005</v>
      </c>
      <c r="J1017" s="172" t="str">
        <f t="shared" si="27"/>
        <v/>
      </c>
      <c r="K1017" s="171">
        <f t="shared" si="28"/>
        <v>20</v>
      </c>
      <c r="L1017" s="205"/>
    </row>
    <row r="1018" spans="1:12" x14ac:dyDescent="0.2">
      <c r="A1018" s="191"/>
      <c r="B1018" s="121"/>
      <c r="G1018" s="204"/>
      <c r="I1018" s="145" t="s">
        <v>1006</v>
      </c>
      <c r="J1018" s="172" t="str">
        <f t="shared" si="27"/>
        <v/>
      </c>
      <c r="K1018" s="171">
        <f t="shared" si="28"/>
        <v>20</v>
      </c>
      <c r="L1018" s="205"/>
    </row>
    <row r="1019" spans="1:12" x14ac:dyDescent="0.2">
      <c r="A1019" s="191"/>
      <c r="B1019" s="121"/>
      <c r="G1019" s="204"/>
      <c r="I1019" s="145"/>
      <c r="J1019" s="172" t="str">
        <f t="shared" si="27"/>
        <v/>
      </c>
      <c r="K1019" s="171">
        <f t="shared" si="28"/>
        <v>20</v>
      </c>
      <c r="L1019" s="205"/>
    </row>
    <row r="1020" spans="1:12" x14ac:dyDescent="0.2">
      <c r="A1020" s="191"/>
      <c r="B1020" s="173" t="s">
        <v>1007</v>
      </c>
      <c r="G1020" s="204"/>
      <c r="J1020" s="172" t="str">
        <f t="shared" si="27"/>
        <v/>
      </c>
      <c r="K1020" s="171">
        <f t="shared" si="28"/>
        <v>20</v>
      </c>
      <c r="L1020" s="205"/>
    </row>
    <row r="1021" spans="1:12" x14ac:dyDescent="0.2">
      <c r="A1021" s="191"/>
      <c r="G1021" s="204"/>
      <c r="J1021" s="172" t="str">
        <f t="shared" si="27"/>
        <v/>
      </c>
      <c r="K1021" s="171">
        <f t="shared" si="28"/>
        <v>20</v>
      </c>
      <c r="L1021" s="205"/>
    </row>
    <row r="1022" spans="1:12" x14ac:dyDescent="0.2">
      <c r="A1022" s="191">
        <v>7</v>
      </c>
      <c r="B1022" s="121" t="s">
        <v>1008</v>
      </c>
      <c r="F1022" s="317" t="s">
        <v>772</v>
      </c>
      <c r="G1022" s="204">
        <v>5</v>
      </c>
      <c r="I1022" s="145" t="s">
        <v>1009</v>
      </c>
      <c r="J1022" s="172">
        <f t="shared" si="27"/>
        <v>20</v>
      </c>
      <c r="K1022" s="171">
        <f t="shared" si="28"/>
        <v>20</v>
      </c>
      <c r="L1022" s="205"/>
    </row>
    <row r="1023" spans="1:12" x14ac:dyDescent="0.2">
      <c r="A1023" s="191"/>
      <c r="G1023" s="204"/>
      <c r="I1023" s="145" t="s">
        <v>1010</v>
      </c>
      <c r="J1023" s="172" t="str">
        <f t="shared" si="27"/>
        <v/>
      </c>
      <c r="K1023" s="171">
        <f t="shared" si="28"/>
        <v>25</v>
      </c>
      <c r="L1023" s="205"/>
    </row>
    <row r="1024" spans="1:12" x14ac:dyDescent="0.2">
      <c r="A1024" s="191"/>
      <c r="G1024" s="204"/>
      <c r="J1024" s="172" t="str">
        <f t="shared" si="27"/>
        <v/>
      </c>
      <c r="K1024" s="171">
        <f t="shared" si="28"/>
        <v>25</v>
      </c>
      <c r="L1024" s="205"/>
    </row>
    <row r="1025" spans="1:12" x14ac:dyDescent="0.2">
      <c r="A1025" s="191">
        <v>8</v>
      </c>
      <c r="B1025" s="121" t="s">
        <v>1011</v>
      </c>
      <c r="F1025" s="317" t="s">
        <v>772</v>
      </c>
      <c r="G1025" s="204">
        <v>30</v>
      </c>
      <c r="I1025" s="145" t="s">
        <v>1012</v>
      </c>
      <c r="J1025" s="172">
        <f t="shared" si="27"/>
        <v>25</v>
      </c>
      <c r="K1025" s="171">
        <f t="shared" si="28"/>
        <v>25</v>
      </c>
      <c r="L1025" s="205"/>
    </row>
    <row r="1026" spans="1:12" x14ac:dyDescent="0.2">
      <c r="A1026" s="191"/>
      <c r="B1026" s="121"/>
      <c r="G1026" s="204"/>
      <c r="I1026" s="145" t="s">
        <v>894</v>
      </c>
      <c r="J1026" s="172" t="str">
        <f t="shared" si="27"/>
        <v/>
      </c>
      <c r="K1026" s="171">
        <f t="shared" si="28"/>
        <v>55</v>
      </c>
      <c r="L1026" s="205"/>
    </row>
    <row r="1027" spans="1:12" x14ac:dyDescent="0.2">
      <c r="A1027" s="191"/>
      <c r="G1027" s="204"/>
      <c r="J1027" s="172" t="str">
        <f t="shared" ref="J1027:J1090" si="29">IF(A1027=1, 4,IF(G1027="", "",+K1027))</f>
        <v/>
      </c>
      <c r="K1027" s="171">
        <f t="shared" si="28"/>
        <v>55</v>
      </c>
      <c r="L1027" s="205"/>
    </row>
    <row r="1028" spans="1:12" x14ac:dyDescent="0.2">
      <c r="A1028" s="191">
        <v>9</v>
      </c>
      <c r="B1028" s="121" t="s">
        <v>1013</v>
      </c>
      <c r="F1028" s="317" t="s">
        <v>772</v>
      </c>
      <c r="G1028" s="204">
        <v>6</v>
      </c>
      <c r="I1028" s="145" t="s">
        <v>1014</v>
      </c>
      <c r="J1028" s="172">
        <f t="shared" si="29"/>
        <v>55</v>
      </c>
      <c r="K1028" s="171">
        <f t="shared" si="28"/>
        <v>55</v>
      </c>
      <c r="L1028" s="205"/>
    </row>
    <row r="1029" spans="1:12" x14ac:dyDescent="0.2">
      <c r="A1029" s="191"/>
      <c r="G1029" s="204"/>
      <c r="I1029" s="145" t="s">
        <v>894</v>
      </c>
      <c r="J1029" s="172" t="str">
        <f t="shared" si="29"/>
        <v/>
      </c>
      <c r="K1029" s="171">
        <f t="shared" si="28"/>
        <v>61</v>
      </c>
      <c r="L1029" s="205"/>
    </row>
    <row r="1030" spans="1:12" x14ac:dyDescent="0.2">
      <c r="A1030" s="191"/>
      <c r="G1030" s="204"/>
      <c r="J1030" s="172" t="str">
        <f t="shared" si="29"/>
        <v/>
      </c>
      <c r="K1030" s="171">
        <f t="shared" si="28"/>
        <v>61</v>
      </c>
      <c r="L1030" s="205"/>
    </row>
    <row r="1031" spans="1:12" x14ac:dyDescent="0.2">
      <c r="A1031" s="191">
        <v>10</v>
      </c>
      <c r="B1031" s="121" t="s">
        <v>71</v>
      </c>
      <c r="F1031" s="317" t="s">
        <v>772</v>
      </c>
      <c r="G1031" s="204">
        <v>6</v>
      </c>
      <c r="I1031" s="145" t="s">
        <v>1015</v>
      </c>
      <c r="J1031" s="172">
        <f t="shared" si="29"/>
        <v>61</v>
      </c>
      <c r="K1031" s="171">
        <f t="shared" si="28"/>
        <v>61</v>
      </c>
      <c r="L1031" s="205"/>
    </row>
    <row r="1032" spans="1:12" x14ac:dyDescent="0.2">
      <c r="A1032" s="191"/>
      <c r="G1032" s="204"/>
      <c r="I1032" s="145" t="s">
        <v>894</v>
      </c>
      <c r="J1032" s="172" t="str">
        <f t="shared" si="29"/>
        <v/>
      </c>
      <c r="K1032" s="171">
        <f t="shared" si="28"/>
        <v>67</v>
      </c>
      <c r="L1032" s="205"/>
    </row>
    <row r="1033" spans="1:12" x14ac:dyDescent="0.2">
      <c r="A1033" s="191"/>
      <c r="G1033" s="204"/>
      <c r="I1033" s="145"/>
      <c r="J1033" s="172" t="str">
        <f t="shared" si="29"/>
        <v/>
      </c>
      <c r="K1033" s="171">
        <f t="shared" si="28"/>
        <v>67</v>
      </c>
      <c r="L1033" s="205"/>
    </row>
    <row r="1034" spans="1:12" x14ac:dyDescent="0.2">
      <c r="A1034" s="191">
        <v>11</v>
      </c>
      <c r="B1034" s="121" t="s">
        <v>72</v>
      </c>
      <c r="F1034" s="317" t="s">
        <v>772</v>
      </c>
      <c r="G1034" s="204">
        <v>5</v>
      </c>
      <c r="I1034" s="145" t="s">
        <v>1016</v>
      </c>
      <c r="J1034" s="172">
        <f t="shared" si="29"/>
        <v>67</v>
      </c>
      <c r="K1034" s="171">
        <f t="shared" si="28"/>
        <v>67</v>
      </c>
      <c r="L1034" s="205"/>
    </row>
    <row r="1035" spans="1:12" x14ac:dyDescent="0.2">
      <c r="A1035" s="191"/>
      <c r="G1035" s="204"/>
      <c r="I1035" s="145" t="s">
        <v>894</v>
      </c>
      <c r="J1035" s="172" t="str">
        <f t="shared" si="29"/>
        <v/>
      </c>
      <c r="K1035" s="171">
        <f t="shared" si="28"/>
        <v>72</v>
      </c>
      <c r="L1035" s="205"/>
    </row>
    <row r="1036" spans="1:12" x14ac:dyDescent="0.2">
      <c r="A1036" s="191"/>
      <c r="G1036" s="204"/>
      <c r="J1036" s="172" t="str">
        <f t="shared" si="29"/>
        <v/>
      </c>
      <c r="K1036" s="171">
        <f t="shared" si="28"/>
        <v>72</v>
      </c>
      <c r="L1036" s="205"/>
    </row>
    <row r="1037" spans="1:12" x14ac:dyDescent="0.2">
      <c r="A1037" s="191">
        <v>12</v>
      </c>
      <c r="B1037" s="121" t="s">
        <v>73</v>
      </c>
      <c r="F1037" s="317" t="s">
        <v>772</v>
      </c>
      <c r="G1037" s="204">
        <v>3</v>
      </c>
      <c r="I1037" s="145" t="s">
        <v>1017</v>
      </c>
      <c r="J1037" s="172">
        <f t="shared" si="29"/>
        <v>72</v>
      </c>
      <c r="K1037" s="171">
        <f t="shared" si="28"/>
        <v>72</v>
      </c>
      <c r="L1037" s="205"/>
    </row>
    <row r="1038" spans="1:12" x14ac:dyDescent="0.2">
      <c r="A1038" s="191"/>
      <c r="G1038" s="204"/>
      <c r="I1038" s="145" t="s">
        <v>894</v>
      </c>
      <c r="J1038" s="172" t="str">
        <f t="shared" si="29"/>
        <v/>
      </c>
      <c r="K1038" s="171">
        <f t="shared" si="28"/>
        <v>75</v>
      </c>
      <c r="L1038" s="205"/>
    </row>
    <row r="1039" spans="1:12" x14ac:dyDescent="0.2">
      <c r="A1039" s="191"/>
      <c r="G1039" s="204"/>
      <c r="I1039" s="145"/>
      <c r="J1039" s="172" t="str">
        <f t="shared" si="29"/>
        <v/>
      </c>
      <c r="K1039" s="171">
        <f t="shared" si="28"/>
        <v>75</v>
      </c>
      <c r="L1039" s="205"/>
    </row>
    <row r="1040" spans="1:12" x14ac:dyDescent="0.2">
      <c r="A1040" s="191">
        <v>13</v>
      </c>
      <c r="B1040" s="121" t="s">
        <v>1018</v>
      </c>
      <c r="F1040" s="317" t="s">
        <v>772</v>
      </c>
      <c r="G1040" s="204">
        <v>3</v>
      </c>
      <c r="I1040" s="145" t="s">
        <v>1019</v>
      </c>
      <c r="J1040" s="172">
        <f t="shared" si="29"/>
        <v>75</v>
      </c>
      <c r="K1040" s="171">
        <f t="shared" si="28"/>
        <v>75</v>
      </c>
      <c r="L1040" s="205"/>
    </row>
    <row r="1041" spans="1:12" x14ac:dyDescent="0.2">
      <c r="A1041" s="191"/>
      <c r="G1041" s="204"/>
      <c r="I1041" s="145" t="s">
        <v>894</v>
      </c>
      <c r="J1041" s="172" t="str">
        <f t="shared" si="29"/>
        <v/>
      </c>
      <c r="K1041" s="171">
        <f t="shared" si="28"/>
        <v>78</v>
      </c>
      <c r="L1041" s="205"/>
    </row>
    <row r="1042" spans="1:12" x14ac:dyDescent="0.2">
      <c r="A1042" s="191"/>
      <c r="G1042" s="204"/>
      <c r="I1042" s="145"/>
      <c r="J1042" s="172" t="str">
        <f t="shared" si="29"/>
        <v/>
      </c>
      <c r="K1042" s="171">
        <f t="shared" si="28"/>
        <v>78</v>
      </c>
      <c r="L1042" s="205"/>
    </row>
    <row r="1043" spans="1:12" x14ac:dyDescent="0.2">
      <c r="A1043" s="191">
        <v>14</v>
      </c>
      <c r="B1043" s="121" t="s">
        <v>1020</v>
      </c>
      <c r="F1043" s="317" t="s">
        <v>772</v>
      </c>
      <c r="G1043" s="204">
        <v>3</v>
      </c>
      <c r="I1043" s="145" t="s">
        <v>1021</v>
      </c>
      <c r="J1043" s="172">
        <f t="shared" si="29"/>
        <v>78</v>
      </c>
      <c r="K1043" s="171">
        <f t="shared" si="28"/>
        <v>78</v>
      </c>
      <c r="L1043" s="205"/>
    </row>
    <row r="1044" spans="1:12" x14ac:dyDescent="0.2">
      <c r="A1044" s="191"/>
      <c r="G1044" s="204"/>
      <c r="I1044" s="145" t="s">
        <v>894</v>
      </c>
      <c r="J1044" s="172" t="str">
        <f t="shared" si="29"/>
        <v/>
      </c>
      <c r="K1044" s="171">
        <f t="shared" si="28"/>
        <v>81</v>
      </c>
      <c r="L1044" s="205"/>
    </row>
    <row r="1045" spans="1:12" x14ac:dyDescent="0.2">
      <c r="A1045" s="191"/>
      <c r="G1045" s="204"/>
      <c r="J1045" s="172" t="str">
        <f t="shared" si="29"/>
        <v/>
      </c>
      <c r="K1045" s="171">
        <f t="shared" si="28"/>
        <v>81</v>
      </c>
      <c r="L1045" s="205"/>
    </row>
    <row r="1046" spans="1:12" x14ac:dyDescent="0.2">
      <c r="A1046" s="191">
        <v>15</v>
      </c>
      <c r="B1046" s="121" t="s">
        <v>74</v>
      </c>
      <c r="F1046" s="317" t="s">
        <v>772</v>
      </c>
      <c r="G1046" s="204">
        <v>3</v>
      </c>
      <c r="I1046" s="145" t="s">
        <v>1022</v>
      </c>
      <c r="J1046" s="172">
        <f t="shared" si="29"/>
        <v>81</v>
      </c>
      <c r="K1046" s="171">
        <f t="shared" si="28"/>
        <v>81</v>
      </c>
      <c r="L1046" s="205"/>
    </row>
    <row r="1047" spans="1:12" x14ac:dyDescent="0.2">
      <c r="A1047" s="191"/>
      <c r="G1047" s="204"/>
      <c r="I1047" s="145" t="s">
        <v>894</v>
      </c>
      <c r="J1047" s="172" t="str">
        <f t="shared" si="29"/>
        <v/>
      </c>
      <c r="K1047" s="171">
        <f t="shared" si="28"/>
        <v>84</v>
      </c>
      <c r="L1047" s="205"/>
    </row>
    <row r="1048" spans="1:12" x14ac:dyDescent="0.2">
      <c r="A1048" s="191"/>
      <c r="G1048" s="204"/>
      <c r="I1048" s="145"/>
      <c r="J1048" s="172" t="str">
        <f t="shared" si="29"/>
        <v/>
      </c>
      <c r="K1048" s="171">
        <f t="shared" si="28"/>
        <v>84</v>
      </c>
      <c r="L1048" s="205"/>
    </row>
    <row r="1049" spans="1:12" x14ac:dyDescent="0.2">
      <c r="A1049" s="191">
        <v>16</v>
      </c>
      <c r="B1049" s="121" t="s">
        <v>75</v>
      </c>
      <c r="F1049" s="317" t="s">
        <v>772</v>
      </c>
      <c r="G1049" s="204">
        <v>3</v>
      </c>
      <c r="I1049" s="145" t="s">
        <v>1023</v>
      </c>
      <c r="J1049" s="172">
        <f t="shared" si="29"/>
        <v>84</v>
      </c>
      <c r="K1049" s="171">
        <f t="shared" si="28"/>
        <v>84</v>
      </c>
      <c r="L1049" s="205"/>
    </row>
    <row r="1050" spans="1:12" x14ac:dyDescent="0.2">
      <c r="A1050" s="191"/>
      <c r="G1050" s="204"/>
      <c r="I1050" s="145" t="s">
        <v>894</v>
      </c>
      <c r="J1050" s="172" t="str">
        <f t="shared" si="29"/>
        <v/>
      </c>
      <c r="K1050" s="171">
        <f t="shared" si="28"/>
        <v>87</v>
      </c>
      <c r="L1050" s="205"/>
    </row>
    <row r="1051" spans="1:12" x14ac:dyDescent="0.2">
      <c r="A1051" s="191"/>
      <c r="G1051" s="204"/>
      <c r="I1051" s="145"/>
      <c r="J1051" s="172" t="str">
        <f t="shared" si="29"/>
        <v/>
      </c>
      <c r="K1051" s="171">
        <f t="shared" si="28"/>
        <v>87</v>
      </c>
      <c r="L1051" s="205"/>
    </row>
    <row r="1052" spans="1:12" x14ac:dyDescent="0.2">
      <c r="A1052" s="191">
        <v>17</v>
      </c>
      <c r="B1052" s="121" t="s">
        <v>1024</v>
      </c>
      <c r="F1052" s="317" t="s">
        <v>772</v>
      </c>
      <c r="G1052" s="204">
        <v>5</v>
      </c>
      <c r="I1052" s="145" t="s">
        <v>1025</v>
      </c>
      <c r="J1052" s="172">
        <f t="shared" si="29"/>
        <v>87</v>
      </c>
      <c r="K1052" s="171">
        <f t="shared" si="28"/>
        <v>87</v>
      </c>
      <c r="L1052" s="205"/>
    </row>
    <row r="1053" spans="1:12" x14ac:dyDescent="0.2">
      <c r="A1053" s="191"/>
      <c r="G1053" s="204"/>
      <c r="I1053" s="145" t="s">
        <v>894</v>
      </c>
      <c r="J1053" s="172" t="str">
        <f t="shared" si="29"/>
        <v/>
      </c>
      <c r="K1053" s="171">
        <f t="shared" si="28"/>
        <v>92</v>
      </c>
      <c r="L1053" s="205"/>
    </row>
    <row r="1054" spans="1:12" x14ac:dyDescent="0.2">
      <c r="A1054" s="191"/>
      <c r="G1054" s="204"/>
      <c r="J1054" s="172" t="str">
        <f t="shared" si="29"/>
        <v/>
      </c>
      <c r="K1054" s="171">
        <f t="shared" ref="K1054:K1117" si="30">IF(A1054=1,1,+K1053+G1053)</f>
        <v>92</v>
      </c>
      <c r="L1054" s="205"/>
    </row>
    <row r="1055" spans="1:12" x14ac:dyDescent="0.2">
      <c r="A1055" s="191">
        <v>18</v>
      </c>
      <c r="B1055" s="121" t="s">
        <v>76</v>
      </c>
      <c r="F1055" s="317" t="s">
        <v>772</v>
      </c>
      <c r="G1055" s="204">
        <v>5</v>
      </c>
      <c r="I1055" s="145" t="s">
        <v>1026</v>
      </c>
      <c r="J1055" s="172">
        <f t="shared" si="29"/>
        <v>92</v>
      </c>
      <c r="K1055" s="171">
        <f t="shared" si="30"/>
        <v>92</v>
      </c>
      <c r="L1055" s="205"/>
    </row>
    <row r="1056" spans="1:12" x14ac:dyDescent="0.2">
      <c r="A1056" s="191"/>
      <c r="G1056" s="204"/>
      <c r="I1056" s="145" t="s">
        <v>1010</v>
      </c>
      <c r="J1056" s="172" t="str">
        <f t="shared" si="29"/>
        <v/>
      </c>
      <c r="K1056" s="171">
        <f t="shared" si="30"/>
        <v>97</v>
      </c>
      <c r="L1056" s="205"/>
    </row>
    <row r="1057" spans="1:12" x14ac:dyDescent="0.2">
      <c r="A1057" s="191"/>
      <c r="G1057" s="204"/>
      <c r="I1057" s="145"/>
      <c r="J1057" s="172" t="str">
        <f t="shared" si="29"/>
        <v/>
      </c>
      <c r="K1057" s="171">
        <f t="shared" si="30"/>
        <v>97</v>
      </c>
      <c r="L1057" s="205"/>
    </row>
    <row r="1058" spans="1:12" x14ac:dyDescent="0.2">
      <c r="A1058" s="191">
        <v>19</v>
      </c>
      <c r="B1058" s="121" t="s">
        <v>77</v>
      </c>
      <c r="F1058" s="317" t="s">
        <v>772</v>
      </c>
      <c r="G1058" s="204">
        <v>30</v>
      </c>
      <c r="I1058" s="145" t="s">
        <v>1027</v>
      </c>
      <c r="J1058" s="172">
        <f t="shared" si="29"/>
        <v>97</v>
      </c>
      <c r="K1058" s="171">
        <f t="shared" si="30"/>
        <v>97</v>
      </c>
      <c r="L1058" s="205"/>
    </row>
    <row r="1059" spans="1:12" x14ac:dyDescent="0.2">
      <c r="A1059" s="191"/>
      <c r="G1059" s="204"/>
      <c r="I1059" s="145" t="s">
        <v>894</v>
      </c>
      <c r="J1059" s="172" t="str">
        <f t="shared" si="29"/>
        <v/>
      </c>
      <c r="K1059" s="171">
        <f t="shared" si="30"/>
        <v>127</v>
      </c>
      <c r="L1059" s="205"/>
    </row>
    <row r="1060" spans="1:12" x14ac:dyDescent="0.2">
      <c r="A1060" s="191"/>
      <c r="G1060" s="204"/>
      <c r="I1060" s="145"/>
      <c r="J1060" s="172" t="str">
        <f t="shared" si="29"/>
        <v/>
      </c>
      <c r="K1060" s="171">
        <f t="shared" si="30"/>
        <v>127</v>
      </c>
      <c r="L1060" s="205"/>
    </row>
    <row r="1061" spans="1:12" ht="30" x14ac:dyDescent="0.2">
      <c r="A1061" s="191">
        <v>20</v>
      </c>
      <c r="B1061" s="109" t="s">
        <v>1028</v>
      </c>
      <c r="F1061" s="317" t="s">
        <v>772</v>
      </c>
      <c r="G1061" s="204">
        <v>120</v>
      </c>
      <c r="I1061" s="145" t="s">
        <v>1029</v>
      </c>
      <c r="J1061" s="172">
        <f t="shared" si="29"/>
        <v>127</v>
      </c>
      <c r="K1061" s="171">
        <f t="shared" si="30"/>
        <v>127</v>
      </c>
      <c r="L1061" s="205"/>
    </row>
    <row r="1062" spans="1:12" x14ac:dyDescent="0.2">
      <c r="A1062" s="191"/>
      <c r="G1062" s="204"/>
      <c r="I1062" s="145"/>
      <c r="J1062" s="172" t="str">
        <f t="shared" si="29"/>
        <v/>
      </c>
      <c r="K1062" s="171">
        <f t="shared" si="30"/>
        <v>247</v>
      </c>
      <c r="L1062" s="205"/>
    </row>
    <row r="1063" spans="1:12" x14ac:dyDescent="0.2">
      <c r="A1063" s="191">
        <v>21</v>
      </c>
      <c r="B1063" s="121" t="s">
        <v>78</v>
      </c>
      <c r="F1063" s="317" t="s">
        <v>772</v>
      </c>
      <c r="G1063" s="204">
        <v>55</v>
      </c>
      <c r="I1063" s="145" t="s">
        <v>1030</v>
      </c>
      <c r="J1063" s="172">
        <f t="shared" si="29"/>
        <v>247</v>
      </c>
      <c r="K1063" s="171">
        <f t="shared" si="30"/>
        <v>247</v>
      </c>
      <c r="L1063" s="205"/>
    </row>
    <row r="1064" spans="1:12" x14ac:dyDescent="0.2">
      <c r="A1064" s="191"/>
      <c r="G1064" s="204"/>
      <c r="I1064" s="145" t="s">
        <v>894</v>
      </c>
      <c r="J1064" s="172" t="str">
        <f t="shared" si="29"/>
        <v/>
      </c>
      <c r="K1064" s="171">
        <f t="shared" si="30"/>
        <v>302</v>
      </c>
      <c r="L1064" s="205"/>
    </row>
    <row r="1065" spans="1:12" x14ac:dyDescent="0.2">
      <c r="A1065" s="191"/>
      <c r="G1065" s="204"/>
      <c r="J1065" s="172" t="str">
        <f t="shared" si="29"/>
        <v/>
      </c>
      <c r="K1065" s="171">
        <f t="shared" si="30"/>
        <v>302</v>
      </c>
      <c r="L1065" s="205"/>
    </row>
    <row r="1066" spans="1:12" x14ac:dyDescent="0.2">
      <c r="A1066" s="191">
        <v>22</v>
      </c>
      <c r="B1066" s="109" t="s">
        <v>954</v>
      </c>
      <c r="F1066" s="317" t="s">
        <v>701</v>
      </c>
      <c r="G1066" s="204">
        <v>6</v>
      </c>
      <c r="I1066" s="145" t="s">
        <v>1031</v>
      </c>
      <c r="J1066" s="172">
        <f t="shared" si="29"/>
        <v>302</v>
      </c>
      <c r="K1066" s="171">
        <f t="shared" si="30"/>
        <v>302</v>
      </c>
      <c r="L1066" s="205"/>
    </row>
    <row r="1067" spans="1:12" x14ac:dyDescent="0.2">
      <c r="A1067" s="191"/>
      <c r="G1067" s="204"/>
      <c r="I1067" s="111" t="s">
        <v>1032</v>
      </c>
      <c r="J1067" s="172" t="str">
        <f t="shared" si="29"/>
        <v/>
      </c>
      <c r="K1067" s="171">
        <f t="shared" si="30"/>
        <v>308</v>
      </c>
      <c r="L1067" s="205"/>
    </row>
    <row r="1068" spans="1:12" x14ac:dyDescent="0.2">
      <c r="A1068" s="191"/>
      <c r="G1068" s="204"/>
      <c r="I1068" s="145"/>
      <c r="J1068" s="172" t="str">
        <f t="shared" si="29"/>
        <v/>
      </c>
      <c r="K1068" s="171">
        <f t="shared" si="30"/>
        <v>308</v>
      </c>
      <c r="L1068" s="205"/>
    </row>
    <row r="1069" spans="1:12" x14ac:dyDescent="0.2">
      <c r="A1069" s="191">
        <v>23</v>
      </c>
      <c r="B1069" s="109" t="s">
        <v>819</v>
      </c>
      <c r="F1069" s="317" t="s">
        <v>772</v>
      </c>
      <c r="G1069" s="204">
        <v>9</v>
      </c>
      <c r="I1069" s="145" t="s">
        <v>1033</v>
      </c>
      <c r="J1069" s="172">
        <f t="shared" si="29"/>
        <v>308</v>
      </c>
      <c r="K1069" s="171">
        <f t="shared" si="30"/>
        <v>308</v>
      </c>
      <c r="L1069" s="205"/>
    </row>
    <row r="1070" spans="1:12" x14ac:dyDescent="0.2">
      <c r="A1070" s="191"/>
      <c r="G1070" s="204"/>
      <c r="I1070" s="145" t="s">
        <v>971</v>
      </c>
      <c r="J1070" s="172" t="str">
        <f t="shared" si="29"/>
        <v/>
      </c>
      <c r="K1070" s="171">
        <f t="shared" si="30"/>
        <v>317</v>
      </c>
      <c r="L1070" s="205"/>
    </row>
    <row r="1071" spans="1:12" x14ac:dyDescent="0.2">
      <c r="A1071" s="191"/>
      <c r="G1071" s="204"/>
      <c r="I1071" s="145" t="s">
        <v>972</v>
      </c>
      <c r="J1071" s="172" t="str">
        <f t="shared" si="29"/>
        <v/>
      </c>
      <c r="K1071" s="171">
        <f t="shared" si="30"/>
        <v>317</v>
      </c>
      <c r="L1071" s="205"/>
    </row>
    <row r="1072" spans="1:12" x14ac:dyDescent="0.2">
      <c r="A1072" s="191"/>
      <c r="G1072" s="204"/>
      <c r="I1072" s="145" t="s">
        <v>973</v>
      </c>
      <c r="J1072" s="172" t="str">
        <f t="shared" si="29"/>
        <v/>
      </c>
      <c r="K1072" s="171">
        <f t="shared" si="30"/>
        <v>317</v>
      </c>
      <c r="L1072" s="205"/>
    </row>
    <row r="1073" spans="1:12" x14ac:dyDescent="0.2">
      <c r="A1073" s="191"/>
      <c r="G1073" s="204"/>
      <c r="I1073" s="145" t="s">
        <v>894</v>
      </c>
      <c r="J1073" s="172" t="str">
        <f t="shared" si="29"/>
        <v/>
      </c>
      <c r="K1073" s="171">
        <f t="shared" si="30"/>
        <v>317</v>
      </c>
      <c r="L1073" s="205"/>
    </row>
    <row r="1074" spans="1:12" x14ac:dyDescent="0.2">
      <c r="A1074" s="191"/>
      <c r="B1074" s="173" t="s">
        <v>1034</v>
      </c>
      <c r="G1074" s="204"/>
      <c r="I1074" s="145"/>
      <c r="J1074" s="172" t="str">
        <f t="shared" si="29"/>
        <v/>
      </c>
      <c r="K1074" s="171">
        <f t="shared" si="30"/>
        <v>317</v>
      </c>
      <c r="L1074" s="205"/>
    </row>
    <row r="1075" spans="1:12" x14ac:dyDescent="0.2">
      <c r="A1075" s="191"/>
      <c r="G1075" s="204"/>
      <c r="I1075" s="145"/>
      <c r="J1075" s="172" t="str">
        <f t="shared" si="29"/>
        <v/>
      </c>
      <c r="K1075" s="171">
        <f t="shared" si="30"/>
        <v>317</v>
      </c>
      <c r="L1075" s="205"/>
    </row>
    <row r="1076" spans="1:12" x14ac:dyDescent="0.2">
      <c r="A1076" s="191">
        <v>24</v>
      </c>
      <c r="B1076" s="121" t="s">
        <v>1008</v>
      </c>
      <c r="F1076" s="317" t="s">
        <v>772</v>
      </c>
      <c r="G1076" s="204">
        <v>5</v>
      </c>
      <c r="I1076" s="145" t="s">
        <v>1009</v>
      </c>
      <c r="J1076" s="172">
        <f t="shared" si="29"/>
        <v>317</v>
      </c>
      <c r="K1076" s="171">
        <f t="shared" si="30"/>
        <v>317</v>
      </c>
      <c r="L1076" s="205"/>
    </row>
    <row r="1077" spans="1:12" x14ac:dyDescent="0.2">
      <c r="A1077" s="191"/>
      <c r="G1077" s="204"/>
      <c r="I1077" s="145" t="s">
        <v>1010</v>
      </c>
      <c r="J1077" s="172" t="str">
        <f t="shared" si="29"/>
        <v/>
      </c>
      <c r="K1077" s="171">
        <f t="shared" si="30"/>
        <v>322</v>
      </c>
      <c r="L1077" s="205"/>
    </row>
    <row r="1078" spans="1:12" x14ac:dyDescent="0.2">
      <c r="A1078" s="191"/>
      <c r="G1078" s="204"/>
      <c r="J1078" s="172" t="str">
        <f t="shared" si="29"/>
        <v/>
      </c>
      <c r="K1078" s="171">
        <f t="shared" si="30"/>
        <v>322</v>
      </c>
      <c r="L1078" s="205"/>
    </row>
    <row r="1079" spans="1:12" x14ac:dyDescent="0.2">
      <c r="A1079" s="191">
        <v>25</v>
      </c>
      <c r="B1079" s="121" t="s">
        <v>1011</v>
      </c>
      <c r="F1079" s="317" t="s">
        <v>772</v>
      </c>
      <c r="G1079" s="204">
        <v>30</v>
      </c>
      <c r="I1079" s="145" t="s">
        <v>1012</v>
      </c>
      <c r="J1079" s="172">
        <f t="shared" si="29"/>
        <v>322</v>
      </c>
      <c r="K1079" s="171">
        <f t="shared" si="30"/>
        <v>322</v>
      </c>
      <c r="L1079" s="205"/>
    </row>
    <row r="1080" spans="1:12" x14ac:dyDescent="0.2">
      <c r="A1080" s="191"/>
      <c r="B1080" s="121"/>
      <c r="G1080" s="204"/>
      <c r="I1080" s="145" t="s">
        <v>894</v>
      </c>
      <c r="J1080" s="172" t="str">
        <f t="shared" si="29"/>
        <v/>
      </c>
      <c r="K1080" s="171">
        <f t="shared" si="30"/>
        <v>352</v>
      </c>
      <c r="L1080" s="205"/>
    </row>
    <row r="1081" spans="1:12" x14ac:dyDescent="0.2">
      <c r="A1081" s="191"/>
      <c r="G1081" s="204"/>
      <c r="J1081" s="172" t="str">
        <f t="shared" si="29"/>
        <v/>
      </c>
      <c r="K1081" s="171">
        <f t="shared" si="30"/>
        <v>352</v>
      </c>
      <c r="L1081" s="205"/>
    </row>
    <row r="1082" spans="1:12" x14ac:dyDescent="0.2">
      <c r="A1082" s="191">
        <v>26</v>
      </c>
      <c r="B1082" s="121" t="s">
        <v>1013</v>
      </c>
      <c r="F1082" s="317" t="s">
        <v>772</v>
      </c>
      <c r="G1082" s="204">
        <v>6</v>
      </c>
      <c r="I1082" s="145" t="s">
        <v>1014</v>
      </c>
      <c r="J1082" s="172">
        <f t="shared" si="29"/>
        <v>352</v>
      </c>
      <c r="K1082" s="171">
        <f t="shared" si="30"/>
        <v>352</v>
      </c>
      <c r="L1082" s="205"/>
    </row>
    <row r="1083" spans="1:12" x14ac:dyDescent="0.2">
      <c r="A1083" s="191"/>
      <c r="G1083" s="204"/>
      <c r="I1083" s="145" t="s">
        <v>894</v>
      </c>
      <c r="J1083" s="172" t="str">
        <f t="shared" si="29"/>
        <v/>
      </c>
      <c r="K1083" s="171">
        <f t="shared" si="30"/>
        <v>358</v>
      </c>
      <c r="L1083" s="205"/>
    </row>
    <row r="1084" spans="1:12" x14ac:dyDescent="0.2">
      <c r="A1084" s="191"/>
      <c r="G1084" s="204"/>
      <c r="J1084" s="172" t="str">
        <f t="shared" si="29"/>
        <v/>
      </c>
      <c r="K1084" s="171">
        <f t="shared" si="30"/>
        <v>358</v>
      </c>
      <c r="L1084" s="205"/>
    </row>
    <row r="1085" spans="1:12" x14ac:dyDescent="0.2">
      <c r="A1085" s="191">
        <v>27</v>
      </c>
      <c r="B1085" s="121" t="s">
        <v>71</v>
      </c>
      <c r="F1085" s="317" t="s">
        <v>772</v>
      </c>
      <c r="G1085" s="204">
        <v>6</v>
      </c>
      <c r="I1085" s="145" t="s">
        <v>1015</v>
      </c>
      <c r="J1085" s="172">
        <f t="shared" si="29"/>
        <v>358</v>
      </c>
      <c r="K1085" s="171">
        <f t="shared" si="30"/>
        <v>358</v>
      </c>
      <c r="L1085" s="205"/>
    </row>
    <row r="1086" spans="1:12" x14ac:dyDescent="0.2">
      <c r="A1086" s="191"/>
      <c r="G1086" s="204"/>
      <c r="I1086" s="145" t="s">
        <v>894</v>
      </c>
      <c r="J1086" s="172" t="str">
        <f t="shared" si="29"/>
        <v/>
      </c>
      <c r="K1086" s="171">
        <f t="shared" si="30"/>
        <v>364</v>
      </c>
      <c r="L1086" s="205"/>
    </row>
    <row r="1087" spans="1:12" x14ac:dyDescent="0.2">
      <c r="A1087" s="191"/>
      <c r="G1087" s="204"/>
      <c r="I1087" s="145"/>
      <c r="J1087" s="172" t="str">
        <f t="shared" si="29"/>
        <v/>
      </c>
      <c r="K1087" s="171">
        <f t="shared" si="30"/>
        <v>364</v>
      </c>
      <c r="L1087" s="205"/>
    </row>
    <row r="1088" spans="1:12" x14ac:dyDescent="0.2">
      <c r="A1088" s="191">
        <v>28</v>
      </c>
      <c r="B1088" s="121" t="s">
        <v>72</v>
      </c>
      <c r="F1088" s="317" t="s">
        <v>772</v>
      </c>
      <c r="G1088" s="204">
        <v>5</v>
      </c>
      <c r="I1088" s="145" t="s">
        <v>1016</v>
      </c>
      <c r="J1088" s="172">
        <f t="shared" si="29"/>
        <v>364</v>
      </c>
      <c r="K1088" s="171">
        <f t="shared" si="30"/>
        <v>364</v>
      </c>
      <c r="L1088" s="205"/>
    </row>
    <row r="1089" spans="1:12" x14ac:dyDescent="0.2">
      <c r="A1089" s="191"/>
      <c r="G1089" s="204"/>
      <c r="I1089" s="145" t="s">
        <v>894</v>
      </c>
      <c r="J1089" s="172" t="str">
        <f t="shared" si="29"/>
        <v/>
      </c>
      <c r="K1089" s="171">
        <f t="shared" si="30"/>
        <v>369</v>
      </c>
      <c r="L1089" s="205"/>
    </row>
    <row r="1090" spans="1:12" x14ac:dyDescent="0.2">
      <c r="A1090" s="191"/>
      <c r="G1090" s="204"/>
      <c r="J1090" s="172" t="str">
        <f t="shared" si="29"/>
        <v/>
      </c>
      <c r="K1090" s="171">
        <f t="shared" si="30"/>
        <v>369</v>
      </c>
      <c r="L1090" s="205"/>
    </row>
    <row r="1091" spans="1:12" x14ac:dyDescent="0.2">
      <c r="A1091" s="191">
        <v>29</v>
      </c>
      <c r="B1091" s="121" t="s">
        <v>73</v>
      </c>
      <c r="F1091" s="317" t="s">
        <v>772</v>
      </c>
      <c r="G1091" s="204">
        <v>3</v>
      </c>
      <c r="I1091" s="145" t="s">
        <v>1017</v>
      </c>
      <c r="J1091" s="172">
        <f t="shared" ref="J1091:J1154" si="31">IF(A1091=1, 4,IF(G1091="", "",+K1091))</f>
        <v>369</v>
      </c>
      <c r="K1091" s="171">
        <f t="shared" si="30"/>
        <v>369</v>
      </c>
      <c r="L1091" s="205"/>
    </row>
    <row r="1092" spans="1:12" x14ac:dyDescent="0.2">
      <c r="A1092" s="191"/>
      <c r="G1092" s="204"/>
      <c r="I1092" s="145" t="s">
        <v>894</v>
      </c>
      <c r="J1092" s="172" t="str">
        <f t="shared" si="31"/>
        <v/>
      </c>
      <c r="K1092" s="171">
        <f t="shared" si="30"/>
        <v>372</v>
      </c>
      <c r="L1092" s="205"/>
    </row>
    <row r="1093" spans="1:12" x14ac:dyDescent="0.2">
      <c r="A1093" s="191"/>
      <c r="G1093" s="204"/>
      <c r="I1093" s="145"/>
      <c r="J1093" s="172" t="str">
        <f t="shared" si="31"/>
        <v/>
      </c>
      <c r="K1093" s="171">
        <f t="shared" si="30"/>
        <v>372</v>
      </c>
      <c r="L1093" s="205"/>
    </row>
    <row r="1094" spans="1:12" x14ac:dyDescent="0.2">
      <c r="A1094" s="191">
        <v>30</v>
      </c>
      <c r="B1094" s="121" t="s">
        <v>1018</v>
      </c>
      <c r="F1094" s="317" t="s">
        <v>772</v>
      </c>
      <c r="G1094" s="204">
        <v>3</v>
      </c>
      <c r="I1094" s="145" t="s">
        <v>1019</v>
      </c>
      <c r="J1094" s="172">
        <f t="shared" si="31"/>
        <v>372</v>
      </c>
      <c r="K1094" s="171">
        <f t="shared" si="30"/>
        <v>372</v>
      </c>
      <c r="L1094" s="205"/>
    </row>
    <row r="1095" spans="1:12" x14ac:dyDescent="0.2">
      <c r="A1095" s="191"/>
      <c r="G1095" s="204"/>
      <c r="I1095" s="145" t="s">
        <v>894</v>
      </c>
      <c r="J1095" s="172" t="str">
        <f t="shared" si="31"/>
        <v/>
      </c>
      <c r="K1095" s="171">
        <f t="shared" si="30"/>
        <v>375</v>
      </c>
      <c r="L1095" s="205"/>
    </row>
    <row r="1096" spans="1:12" x14ac:dyDescent="0.2">
      <c r="A1096" s="191"/>
      <c r="G1096" s="204"/>
      <c r="I1096" s="145"/>
      <c r="J1096" s="172" t="str">
        <f t="shared" si="31"/>
        <v/>
      </c>
      <c r="K1096" s="171">
        <f t="shared" si="30"/>
        <v>375</v>
      </c>
      <c r="L1096" s="205"/>
    </row>
    <row r="1097" spans="1:12" x14ac:dyDescent="0.2">
      <c r="A1097" s="191">
        <v>31</v>
      </c>
      <c r="B1097" s="121" t="s">
        <v>1020</v>
      </c>
      <c r="F1097" s="317" t="s">
        <v>772</v>
      </c>
      <c r="G1097" s="204">
        <v>3</v>
      </c>
      <c r="I1097" s="145" t="s">
        <v>1021</v>
      </c>
      <c r="J1097" s="172">
        <f t="shared" si="31"/>
        <v>375</v>
      </c>
      <c r="K1097" s="171">
        <f t="shared" si="30"/>
        <v>375</v>
      </c>
      <c r="L1097" s="205"/>
    </row>
    <row r="1098" spans="1:12" x14ac:dyDescent="0.2">
      <c r="A1098" s="191"/>
      <c r="G1098" s="204"/>
      <c r="I1098" s="145" t="s">
        <v>894</v>
      </c>
      <c r="J1098" s="172" t="str">
        <f t="shared" si="31"/>
        <v/>
      </c>
      <c r="K1098" s="171">
        <f t="shared" si="30"/>
        <v>378</v>
      </c>
      <c r="L1098" s="205"/>
    </row>
    <row r="1099" spans="1:12" x14ac:dyDescent="0.2">
      <c r="A1099" s="191"/>
      <c r="G1099" s="204"/>
      <c r="J1099" s="172" t="str">
        <f t="shared" si="31"/>
        <v/>
      </c>
      <c r="K1099" s="171">
        <f t="shared" si="30"/>
        <v>378</v>
      </c>
      <c r="L1099" s="205"/>
    </row>
    <row r="1100" spans="1:12" x14ac:dyDescent="0.2">
      <c r="A1100" s="191">
        <v>32</v>
      </c>
      <c r="B1100" s="121" t="s">
        <v>74</v>
      </c>
      <c r="F1100" s="317" t="s">
        <v>772</v>
      </c>
      <c r="G1100" s="204">
        <v>3</v>
      </c>
      <c r="I1100" s="145" t="s">
        <v>1022</v>
      </c>
      <c r="J1100" s="172">
        <f t="shared" si="31"/>
        <v>378</v>
      </c>
      <c r="K1100" s="171">
        <f t="shared" si="30"/>
        <v>378</v>
      </c>
      <c r="L1100" s="205"/>
    </row>
    <row r="1101" spans="1:12" x14ac:dyDescent="0.2">
      <c r="A1101" s="191"/>
      <c r="G1101" s="204"/>
      <c r="I1101" s="145" t="s">
        <v>894</v>
      </c>
      <c r="J1101" s="172" t="str">
        <f t="shared" si="31"/>
        <v/>
      </c>
      <c r="K1101" s="171">
        <f t="shared" si="30"/>
        <v>381</v>
      </c>
      <c r="L1101" s="205"/>
    </row>
    <row r="1102" spans="1:12" x14ac:dyDescent="0.2">
      <c r="A1102" s="191"/>
      <c r="G1102" s="204"/>
      <c r="I1102" s="145"/>
      <c r="J1102" s="172" t="str">
        <f t="shared" si="31"/>
        <v/>
      </c>
      <c r="K1102" s="171">
        <f t="shared" si="30"/>
        <v>381</v>
      </c>
      <c r="L1102" s="205"/>
    </row>
    <row r="1103" spans="1:12" x14ac:dyDescent="0.2">
      <c r="A1103" s="191">
        <v>33</v>
      </c>
      <c r="B1103" s="121" t="s">
        <v>75</v>
      </c>
      <c r="F1103" s="317" t="s">
        <v>772</v>
      </c>
      <c r="G1103" s="204">
        <v>3</v>
      </c>
      <c r="I1103" s="145" t="s">
        <v>1023</v>
      </c>
      <c r="J1103" s="172">
        <f t="shared" si="31"/>
        <v>381</v>
      </c>
      <c r="K1103" s="171">
        <f t="shared" si="30"/>
        <v>381</v>
      </c>
      <c r="L1103" s="205"/>
    </row>
    <row r="1104" spans="1:12" x14ac:dyDescent="0.2">
      <c r="A1104" s="191"/>
      <c r="G1104" s="204"/>
      <c r="I1104" s="145" t="s">
        <v>894</v>
      </c>
      <c r="J1104" s="172" t="str">
        <f t="shared" si="31"/>
        <v/>
      </c>
      <c r="K1104" s="171">
        <f t="shared" si="30"/>
        <v>384</v>
      </c>
      <c r="L1104" s="205"/>
    </row>
    <row r="1105" spans="1:12" x14ac:dyDescent="0.2">
      <c r="A1105" s="191"/>
      <c r="G1105" s="204"/>
      <c r="I1105" s="145"/>
      <c r="J1105" s="172" t="str">
        <f t="shared" si="31"/>
        <v/>
      </c>
      <c r="K1105" s="171">
        <f t="shared" si="30"/>
        <v>384</v>
      </c>
      <c r="L1105" s="205"/>
    </row>
    <row r="1106" spans="1:12" x14ac:dyDescent="0.2">
      <c r="A1106" s="191">
        <v>34</v>
      </c>
      <c r="B1106" s="121" t="s">
        <v>1024</v>
      </c>
      <c r="F1106" s="317" t="s">
        <v>772</v>
      </c>
      <c r="G1106" s="204">
        <v>5</v>
      </c>
      <c r="I1106" s="145" t="s">
        <v>1025</v>
      </c>
      <c r="J1106" s="172">
        <f t="shared" si="31"/>
        <v>384</v>
      </c>
      <c r="K1106" s="171">
        <f t="shared" si="30"/>
        <v>384</v>
      </c>
      <c r="L1106" s="205"/>
    </row>
    <row r="1107" spans="1:12" x14ac:dyDescent="0.2">
      <c r="A1107" s="191"/>
      <c r="G1107" s="204"/>
      <c r="I1107" s="145" t="s">
        <v>894</v>
      </c>
      <c r="J1107" s="172" t="str">
        <f t="shared" si="31"/>
        <v/>
      </c>
      <c r="K1107" s="171">
        <f t="shared" si="30"/>
        <v>389</v>
      </c>
      <c r="L1107" s="205"/>
    </row>
    <row r="1108" spans="1:12" x14ac:dyDescent="0.2">
      <c r="A1108" s="191"/>
      <c r="G1108" s="204"/>
      <c r="J1108" s="172" t="str">
        <f t="shared" si="31"/>
        <v/>
      </c>
      <c r="K1108" s="171">
        <f t="shared" si="30"/>
        <v>389</v>
      </c>
      <c r="L1108" s="205"/>
    </row>
    <row r="1109" spans="1:12" x14ac:dyDescent="0.2">
      <c r="A1109" s="191">
        <v>35</v>
      </c>
      <c r="B1109" s="121" t="s">
        <v>76</v>
      </c>
      <c r="F1109" s="317" t="s">
        <v>772</v>
      </c>
      <c r="G1109" s="204">
        <v>5</v>
      </c>
      <c r="I1109" s="145" t="s">
        <v>1026</v>
      </c>
      <c r="J1109" s="172">
        <f t="shared" si="31"/>
        <v>389</v>
      </c>
      <c r="K1109" s="171">
        <f t="shared" si="30"/>
        <v>389</v>
      </c>
      <c r="L1109" s="205"/>
    </row>
    <row r="1110" spans="1:12" x14ac:dyDescent="0.2">
      <c r="A1110" s="191"/>
      <c r="G1110" s="204"/>
      <c r="I1110" s="145" t="s">
        <v>1010</v>
      </c>
      <c r="J1110" s="172" t="str">
        <f t="shared" si="31"/>
        <v/>
      </c>
      <c r="K1110" s="171">
        <f t="shared" si="30"/>
        <v>394</v>
      </c>
      <c r="L1110" s="205"/>
    </row>
    <row r="1111" spans="1:12" x14ac:dyDescent="0.2">
      <c r="A1111" s="191"/>
      <c r="G1111" s="204"/>
      <c r="I1111" s="145"/>
      <c r="J1111" s="172" t="str">
        <f t="shared" si="31"/>
        <v/>
      </c>
      <c r="K1111" s="171">
        <f t="shared" si="30"/>
        <v>394</v>
      </c>
      <c r="L1111" s="205"/>
    </row>
    <row r="1112" spans="1:12" x14ac:dyDescent="0.2">
      <c r="A1112" s="191">
        <v>36</v>
      </c>
      <c r="B1112" s="121" t="s">
        <v>77</v>
      </c>
      <c r="F1112" s="317" t="s">
        <v>772</v>
      </c>
      <c r="G1112" s="204">
        <v>30</v>
      </c>
      <c r="I1112" s="145" t="s">
        <v>1027</v>
      </c>
      <c r="J1112" s="172">
        <f t="shared" si="31"/>
        <v>394</v>
      </c>
      <c r="K1112" s="171">
        <f t="shared" si="30"/>
        <v>394</v>
      </c>
      <c r="L1112" s="205"/>
    </row>
    <row r="1113" spans="1:12" x14ac:dyDescent="0.2">
      <c r="A1113" s="191"/>
      <c r="G1113" s="204"/>
      <c r="I1113" s="145" t="s">
        <v>894</v>
      </c>
      <c r="J1113" s="172" t="str">
        <f t="shared" si="31"/>
        <v/>
      </c>
      <c r="K1113" s="171">
        <f t="shared" si="30"/>
        <v>424</v>
      </c>
      <c r="L1113" s="205"/>
    </row>
    <row r="1114" spans="1:12" x14ac:dyDescent="0.2">
      <c r="A1114" s="191"/>
      <c r="G1114" s="204"/>
      <c r="I1114" s="145"/>
      <c r="J1114" s="172" t="str">
        <f t="shared" si="31"/>
        <v/>
      </c>
      <c r="K1114" s="171">
        <f t="shared" si="30"/>
        <v>424</v>
      </c>
      <c r="L1114" s="205"/>
    </row>
    <row r="1115" spans="1:12" ht="30" x14ac:dyDescent="0.2">
      <c r="A1115" s="191">
        <v>37</v>
      </c>
      <c r="B1115" s="109" t="s">
        <v>1035</v>
      </c>
      <c r="F1115" s="317" t="s">
        <v>772</v>
      </c>
      <c r="G1115" s="204">
        <v>120</v>
      </c>
      <c r="I1115" s="145" t="s">
        <v>1036</v>
      </c>
      <c r="J1115" s="172">
        <f t="shared" si="31"/>
        <v>424</v>
      </c>
      <c r="K1115" s="171">
        <f t="shared" si="30"/>
        <v>424</v>
      </c>
      <c r="L1115" s="205"/>
    </row>
    <row r="1116" spans="1:12" x14ac:dyDescent="0.2">
      <c r="A1116" s="191"/>
      <c r="G1116" s="204"/>
      <c r="I1116" s="145"/>
      <c r="J1116" s="172" t="str">
        <f t="shared" si="31"/>
        <v/>
      </c>
      <c r="K1116" s="171">
        <f t="shared" si="30"/>
        <v>544</v>
      </c>
      <c r="L1116" s="205"/>
    </row>
    <row r="1117" spans="1:12" x14ac:dyDescent="0.2">
      <c r="A1117" s="191">
        <v>38</v>
      </c>
      <c r="B1117" s="121" t="s">
        <v>78</v>
      </c>
      <c r="F1117" s="317" t="s">
        <v>772</v>
      </c>
      <c r="G1117" s="204">
        <v>55</v>
      </c>
      <c r="I1117" s="145" t="s">
        <v>1030</v>
      </c>
      <c r="J1117" s="172">
        <f t="shared" si="31"/>
        <v>544</v>
      </c>
      <c r="K1117" s="171">
        <f t="shared" si="30"/>
        <v>544</v>
      </c>
      <c r="L1117" s="205"/>
    </row>
    <row r="1118" spans="1:12" x14ac:dyDescent="0.2">
      <c r="A1118" s="191"/>
      <c r="G1118" s="204"/>
      <c r="I1118" s="145" t="s">
        <v>894</v>
      </c>
      <c r="J1118" s="172" t="str">
        <f t="shared" si="31"/>
        <v/>
      </c>
      <c r="K1118" s="171">
        <f t="shared" ref="K1118:K1181" si="32">IF(A1118=1,1,+K1117+G1117)</f>
        <v>599</v>
      </c>
      <c r="L1118" s="205"/>
    </row>
    <row r="1119" spans="1:12" x14ac:dyDescent="0.2">
      <c r="A1119" s="191"/>
      <c r="G1119" s="204"/>
      <c r="J1119" s="172" t="str">
        <f t="shared" si="31"/>
        <v/>
      </c>
      <c r="K1119" s="171">
        <f t="shared" si="32"/>
        <v>599</v>
      </c>
      <c r="L1119" s="205"/>
    </row>
    <row r="1120" spans="1:12" x14ac:dyDescent="0.2">
      <c r="A1120" s="191">
        <v>39</v>
      </c>
      <c r="B1120" s="109" t="s">
        <v>954</v>
      </c>
      <c r="F1120" s="317" t="s">
        <v>701</v>
      </c>
      <c r="G1120" s="204">
        <v>6</v>
      </c>
      <c r="I1120" s="145" t="s">
        <v>1031</v>
      </c>
      <c r="J1120" s="172">
        <f t="shared" si="31"/>
        <v>599</v>
      </c>
      <c r="K1120" s="171">
        <f t="shared" si="32"/>
        <v>599</v>
      </c>
      <c r="L1120" s="205"/>
    </row>
    <row r="1121" spans="1:12" x14ac:dyDescent="0.2">
      <c r="A1121" s="191"/>
      <c r="G1121" s="204"/>
      <c r="I1121" s="111" t="s">
        <v>1032</v>
      </c>
      <c r="J1121" s="172" t="str">
        <f t="shared" si="31"/>
        <v/>
      </c>
      <c r="K1121" s="171">
        <f t="shared" si="32"/>
        <v>605</v>
      </c>
      <c r="L1121" s="205"/>
    </row>
    <row r="1122" spans="1:12" x14ac:dyDescent="0.2">
      <c r="A1122" s="191"/>
      <c r="G1122" s="204"/>
      <c r="I1122" s="145"/>
      <c r="J1122" s="172" t="str">
        <f t="shared" si="31"/>
        <v/>
      </c>
      <c r="K1122" s="171">
        <f t="shared" si="32"/>
        <v>605</v>
      </c>
      <c r="L1122" s="205"/>
    </row>
    <row r="1123" spans="1:12" x14ac:dyDescent="0.2">
      <c r="A1123" s="191">
        <v>40</v>
      </c>
      <c r="B1123" s="109" t="s">
        <v>819</v>
      </c>
      <c r="F1123" s="317" t="s">
        <v>772</v>
      </c>
      <c r="G1123" s="204">
        <v>9</v>
      </c>
      <c r="I1123" s="145" t="s">
        <v>1033</v>
      </c>
      <c r="J1123" s="172">
        <f t="shared" si="31"/>
        <v>605</v>
      </c>
      <c r="K1123" s="171">
        <f t="shared" si="32"/>
        <v>605</v>
      </c>
      <c r="L1123" s="205"/>
    </row>
    <row r="1124" spans="1:12" x14ac:dyDescent="0.2">
      <c r="A1124" s="191"/>
      <c r="G1124" s="204"/>
      <c r="I1124" s="145" t="s">
        <v>971</v>
      </c>
      <c r="J1124" s="172" t="str">
        <f t="shared" si="31"/>
        <v/>
      </c>
      <c r="K1124" s="171">
        <f t="shared" si="32"/>
        <v>614</v>
      </c>
      <c r="L1124" s="205"/>
    </row>
    <row r="1125" spans="1:12" x14ac:dyDescent="0.2">
      <c r="A1125" s="191"/>
      <c r="G1125" s="204"/>
      <c r="I1125" s="145" t="s">
        <v>972</v>
      </c>
      <c r="J1125" s="172" t="str">
        <f t="shared" si="31"/>
        <v/>
      </c>
      <c r="K1125" s="171">
        <f t="shared" si="32"/>
        <v>614</v>
      </c>
      <c r="L1125" s="205"/>
    </row>
    <row r="1126" spans="1:12" x14ac:dyDescent="0.2">
      <c r="A1126" s="191"/>
      <c r="G1126" s="204"/>
      <c r="I1126" s="145" t="s">
        <v>973</v>
      </c>
      <c r="J1126" s="172" t="str">
        <f t="shared" si="31"/>
        <v/>
      </c>
      <c r="K1126" s="171">
        <f t="shared" si="32"/>
        <v>614</v>
      </c>
      <c r="L1126" s="205"/>
    </row>
    <row r="1127" spans="1:12" x14ac:dyDescent="0.2">
      <c r="A1127" s="191"/>
      <c r="G1127" s="204"/>
      <c r="I1127" s="145" t="s">
        <v>894</v>
      </c>
      <c r="J1127" s="172" t="str">
        <f t="shared" si="31"/>
        <v/>
      </c>
      <c r="K1127" s="171">
        <f t="shared" si="32"/>
        <v>614</v>
      </c>
      <c r="L1127" s="205"/>
    </row>
    <row r="1128" spans="1:12" x14ac:dyDescent="0.2">
      <c r="A1128" s="191"/>
      <c r="G1128" s="204"/>
      <c r="I1128" s="145"/>
      <c r="J1128" s="172" t="str">
        <f t="shared" si="31"/>
        <v/>
      </c>
      <c r="K1128" s="171">
        <f t="shared" si="32"/>
        <v>614</v>
      </c>
      <c r="L1128" s="205"/>
    </row>
    <row r="1129" spans="1:12" x14ac:dyDescent="0.2">
      <c r="A1129" s="191"/>
      <c r="B1129" s="173" t="s">
        <v>1037</v>
      </c>
      <c r="G1129" s="204"/>
      <c r="I1129" s="145"/>
      <c r="J1129" s="172" t="str">
        <f t="shared" si="31"/>
        <v/>
      </c>
      <c r="K1129" s="171">
        <f t="shared" si="32"/>
        <v>614</v>
      </c>
      <c r="L1129" s="205"/>
    </row>
    <row r="1130" spans="1:12" x14ac:dyDescent="0.2">
      <c r="A1130" s="191"/>
      <c r="G1130" s="204"/>
      <c r="I1130" s="145"/>
      <c r="J1130" s="172" t="str">
        <f t="shared" si="31"/>
        <v/>
      </c>
      <c r="K1130" s="171">
        <f t="shared" si="32"/>
        <v>614</v>
      </c>
      <c r="L1130" s="205"/>
    </row>
    <row r="1131" spans="1:12" ht="30" x14ac:dyDescent="0.2">
      <c r="A1131" s="191">
        <v>41</v>
      </c>
      <c r="B1131" s="109" t="s">
        <v>1042</v>
      </c>
      <c r="F1131" s="317" t="s">
        <v>701</v>
      </c>
      <c r="G1131" s="204">
        <v>1</v>
      </c>
      <c r="I1131" s="145" t="s">
        <v>1039</v>
      </c>
      <c r="J1131" s="172">
        <f t="shared" si="31"/>
        <v>614</v>
      </c>
      <c r="K1131" s="171">
        <f t="shared" si="32"/>
        <v>614</v>
      </c>
      <c r="L1131" s="205"/>
    </row>
    <row r="1132" spans="1:12" x14ac:dyDescent="0.2">
      <c r="A1132" s="191"/>
      <c r="G1132" s="204"/>
      <c r="I1132" s="145" t="s">
        <v>1040</v>
      </c>
      <c r="J1132" s="172" t="str">
        <f t="shared" si="31"/>
        <v/>
      </c>
      <c r="K1132" s="171">
        <f t="shared" si="32"/>
        <v>615</v>
      </c>
      <c r="L1132" s="205"/>
    </row>
    <row r="1133" spans="1:12" x14ac:dyDescent="0.2">
      <c r="A1133" s="191"/>
      <c r="G1133" s="204"/>
      <c r="I1133" s="145" t="s">
        <v>1041</v>
      </c>
      <c r="J1133" s="172" t="str">
        <f t="shared" si="31"/>
        <v/>
      </c>
      <c r="K1133" s="171">
        <f t="shared" si="32"/>
        <v>615</v>
      </c>
      <c r="L1133" s="205"/>
    </row>
    <row r="1134" spans="1:12" x14ac:dyDescent="0.2">
      <c r="A1134" s="191"/>
      <c r="G1134" s="204"/>
      <c r="I1134" s="145"/>
      <c r="J1134" s="172" t="str">
        <f t="shared" si="31"/>
        <v/>
      </c>
      <c r="K1134" s="171">
        <f t="shared" si="32"/>
        <v>615</v>
      </c>
      <c r="L1134" s="205"/>
    </row>
    <row r="1135" spans="1:12" ht="15.75" thickBot="1" x14ac:dyDescent="0.25">
      <c r="A1135" s="191">
        <v>42</v>
      </c>
      <c r="B1135" s="121" t="s">
        <v>782</v>
      </c>
      <c r="F1135" s="317" t="s">
        <v>772</v>
      </c>
      <c r="G1135" s="204">
        <f>D998-J1131-G1131+1</f>
        <v>236</v>
      </c>
      <c r="I1135" s="145" t="s">
        <v>965</v>
      </c>
      <c r="J1135" s="172">
        <f t="shared" si="31"/>
        <v>615</v>
      </c>
      <c r="K1135" s="171">
        <f t="shared" si="32"/>
        <v>615</v>
      </c>
      <c r="L1135" s="205"/>
    </row>
    <row r="1136" spans="1:12" ht="16.5" thickTop="1" thickBot="1" x14ac:dyDescent="0.25">
      <c r="A1136" s="191"/>
      <c r="B1136" s="206" t="s">
        <v>755</v>
      </c>
      <c r="C1136" s="139"/>
      <c r="D1136" s="323" t="s">
        <v>706</v>
      </c>
      <c r="E1136" s="118"/>
      <c r="F1136" s="321"/>
      <c r="G1136" s="193"/>
      <c r="H1136" s="117"/>
      <c r="I1136" s="152"/>
      <c r="J1136" s="172" t="str">
        <f t="shared" si="31"/>
        <v/>
      </c>
      <c r="K1136" s="171"/>
      <c r="L1136" s="205"/>
    </row>
    <row r="1137" spans="1:12" ht="15.75" thickTop="1" x14ac:dyDescent="0.2">
      <c r="A1137" s="191"/>
      <c r="B1137" s="138"/>
      <c r="D1137" s="321"/>
      <c r="E1137" s="118"/>
      <c r="F1137" s="321"/>
      <c r="G1137" s="193"/>
      <c r="H1137" s="117"/>
      <c r="J1137" s="172" t="str">
        <f t="shared" si="31"/>
        <v/>
      </c>
      <c r="K1137" s="171"/>
      <c r="L1137" s="205"/>
    </row>
    <row r="1138" spans="1:12" x14ac:dyDescent="0.2">
      <c r="A1138" s="207" t="s">
        <v>1</v>
      </c>
      <c r="B1138" s="208" t="s">
        <v>756</v>
      </c>
      <c r="C1138" s="209"/>
      <c r="D1138" s="334" t="s">
        <v>1043</v>
      </c>
      <c r="E1138" s="210"/>
      <c r="F1138" s="334"/>
      <c r="G1138" s="207"/>
      <c r="H1138" s="209"/>
      <c r="I1138" s="211" t="s">
        <v>1</v>
      </c>
      <c r="J1138" s="172" t="str">
        <f t="shared" si="31"/>
        <v/>
      </c>
      <c r="K1138" s="171"/>
      <c r="L1138" s="205"/>
    </row>
    <row r="1139" spans="1:12" x14ac:dyDescent="0.2">
      <c r="A1139" s="212"/>
      <c r="B1139" s="208" t="s">
        <v>757</v>
      </c>
      <c r="C1139" s="129"/>
      <c r="D1139" s="334">
        <f>+F12</f>
        <v>850</v>
      </c>
      <c r="E1139" s="210" t="s">
        <v>758</v>
      </c>
      <c r="F1139" s="334"/>
      <c r="G1139" s="207"/>
      <c r="H1139" s="209"/>
      <c r="I1139" s="213"/>
      <c r="J1139" s="172" t="str">
        <f t="shared" si="31"/>
        <v/>
      </c>
      <c r="K1139" s="171"/>
      <c r="L1139" s="205"/>
    </row>
    <row r="1140" spans="1:12" x14ac:dyDescent="0.2">
      <c r="A1140" s="212"/>
      <c r="B1140" s="209"/>
      <c r="C1140" s="209"/>
      <c r="D1140" s="334"/>
      <c r="E1140" s="210"/>
      <c r="F1140" s="334"/>
      <c r="G1140" s="207"/>
      <c r="H1140" s="209"/>
      <c r="I1140" s="213"/>
      <c r="J1140" s="172" t="str">
        <f t="shared" si="31"/>
        <v/>
      </c>
      <c r="K1140" s="171"/>
      <c r="L1140" s="205"/>
    </row>
    <row r="1141" spans="1:12" s="108" customFormat="1" x14ac:dyDescent="0.2">
      <c r="A1141" s="201" t="s">
        <v>759</v>
      </c>
      <c r="B1141" s="166" t="s">
        <v>712</v>
      </c>
      <c r="C1141" s="167"/>
      <c r="D1141" s="327" t="s">
        <v>713</v>
      </c>
      <c r="E1141" s="168"/>
      <c r="F1141" s="327" t="s">
        <v>760</v>
      </c>
      <c r="G1141" s="156" t="s">
        <v>715</v>
      </c>
      <c r="H1141" s="167"/>
      <c r="I1141" s="169" t="s">
        <v>716</v>
      </c>
      <c r="J1141" s="172">
        <f t="shared" si="31"/>
        <v>0</v>
      </c>
      <c r="K1141" s="171"/>
    </row>
    <row r="1142" spans="1:12" x14ac:dyDescent="0.2">
      <c r="A1142" s="202" t="s">
        <v>1</v>
      </c>
      <c r="B1142" s="117"/>
      <c r="C1142" s="117"/>
      <c r="D1142" s="321"/>
      <c r="E1142" s="118"/>
      <c r="F1142" s="321"/>
      <c r="G1142" s="193"/>
      <c r="H1142" s="117"/>
      <c r="I1142" s="144"/>
      <c r="J1142" s="172" t="str">
        <f t="shared" si="31"/>
        <v/>
      </c>
      <c r="K1142" s="171"/>
      <c r="L1142" s="205"/>
    </row>
    <row r="1143" spans="1:12" x14ac:dyDescent="0.2">
      <c r="A1143" s="203" t="s">
        <v>1</v>
      </c>
      <c r="B1143" s="121" t="s">
        <v>762</v>
      </c>
      <c r="G1143" s="204"/>
      <c r="J1143" s="172" t="str">
        <f t="shared" si="31"/>
        <v/>
      </c>
      <c r="K1143" s="171"/>
      <c r="L1143" s="205"/>
    </row>
    <row r="1144" spans="1:12" x14ac:dyDescent="0.2">
      <c r="A1144" s="191">
        <v>1</v>
      </c>
      <c r="B1144" s="121" t="s">
        <v>763</v>
      </c>
      <c r="D1144" s="317" t="s">
        <v>1044</v>
      </c>
      <c r="F1144" s="317" t="s">
        <v>701</v>
      </c>
      <c r="G1144" s="204">
        <v>4</v>
      </c>
      <c r="I1144" s="145" t="s">
        <v>765</v>
      </c>
      <c r="J1144" s="172">
        <f t="shared" si="31"/>
        <v>4</v>
      </c>
      <c r="K1144" s="171">
        <f t="shared" si="32"/>
        <v>1</v>
      </c>
      <c r="L1144" s="205"/>
    </row>
    <row r="1145" spans="1:12" x14ac:dyDescent="0.2">
      <c r="A1145" s="191"/>
      <c r="G1145" s="204"/>
      <c r="J1145" s="172" t="str">
        <f t="shared" si="31"/>
        <v/>
      </c>
      <c r="K1145" s="171">
        <f t="shared" si="32"/>
        <v>5</v>
      </c>
      <c r="L1145" s="205"/>
    </row>
    <row r="1146" spans="1:12" x14ac:dyDescent="0.2">
      <c r="A1146" s="191">
        <v>2</v>
      </c>
      <c r="B1146" s="121" t="s">
        <v>766</v>
      </c>
      <c r="D1146" s="317" t="s">
        <v>767</v>
      </c>
      <c r="F1146" s="317" t="s">
        <v>701</v>
      </c>
      <c r="G1146" s="204">
        <v>1</v>
      </c>
      <c r="I1146" s="145" t="s">
        <v>768</v>
      </c>
      <c r="J1146" s="172">
        <f t="shared" si="31"/>
        <v>5</v>
      </c>
      <c r="K1146" s="171">
        <f t="shared" si="32"/>
        <v>5</v>
      </c>
      <c r="L1146" s="205"/>
    </row>
    <row r="1147" spans="1:12" x14ac:dyDescent="0.2">
      <c r="A1147" s="191"/>
      <c r="G1147" s="204"/>
      <c r="J1147" s="172" t="str">
        <f t="shared" si="31"/>
        <v/>
      </c>
      <c r="K1147" s="171">
        <f t="shared" si="32"/>
        <v>6</v>
      </c>
      <c r="L1147" s="205"/>
    </row>
    <row r="1148" spans="1:12" x14ac:dyDescent="0.2">
      <c r="A1148" s="191">
        <v>3</v>
      </c>
      <c r="B1148" s="121" t="s">
        <v>769</v>
      </c>
      <c r="D1148" s="317" t="s">
        <v>770</v>
      </c>
      <c r="F1148" s="317" t="s">
        <v>701</v>
      </c>
      <c r="G1148" s="204">
        <v>4</v>
      </c>
      <c r="I1148" s="145" t="s">
        <v>768</v>
      </c>
      <c r="J1148" s="172">
        <f t="shared" si="31"/>
        <v>6</v>
      </c>
      <c r="K1148" s="171">
        <f t="shared" si="32"/>
        <v>6</v>
      </c>
      <c r="L1148" s="205"/>
    </row>
    <row r="1149" spans="1:12" x14ac:dyDescent="0.2">
      <c r="A1149" s="191"/>
      <c r="G1149" s="204"/>
      <c r="J1149" s="172" t="str">
        <f t="shared" si="31"/>
        <v/>
      </c>
      <c r="K1149" s="171">
        <f t="shared" si="32"/>
        <v>10</v>
      </c>
      <c r="L1149" s="205"/>
    </row>
    <row r="1150" spans="1:12" x14ac:dyDescent="0.2">
      <c r="A1150" s="191">
        <v>4</v>
      </c>
      <c r="B1150" s="121" t="s">
        <v>771</v>
      </c>
      <c r="F1150" s="317" t="s">
        <v>772</v>
      </c>
      <c r="G1150" s="204">
        <v>1</v>
      </c>
      <c r="I1150" s="145" t="s">
        <v>773</v>
      </c>
      <c r="J1150" s="172">
        <f t="shared" si="31"/>
        <v>10</v>
      </c>
      <c r="K1150" s="171">
        <f t="shared" si="32"/>
        <v>10</v>
      </c>
      <c r="L1150" s="205"/>
    </row>
    <row r="1151" spans="1:12" x14ac:dyDescent="0.2">
      <c r="A1151" s="191"/>
      <c r="G1151" s="204"/>
      <c r="J1151" s="172" t="str">
        <f t="shared" si="31"/>
        <v/>
      </c>
      <c r="K1151" s="171">
        <f t="shared" si="32"/>
        <v>11</v>
      </c>
      <c r="L1151" s="205"/>
    </row>
    <row r="1152" spans="1:12" x14ac:dyDescent="0.2">
      <c r="A1152" s="191"/>
      <c r="B1152" s="173" t="s">
        <v>832</v>
      </c>
      <c r="G1152" s="204"/>
      <c r="J1152" s="172" t="str">
        <f t="shared" si="31"/>
        <v/>
      </c>
      <c r="K1152" s="171">
        <f t="shared" si="32"/>
        <v>11</v>
      </c>
      <c r="L1152" s="205"/>
    </row>
    <row r="1153" spans="1:12" x14ac:dyDescent="0.2">
      <c r="A1153" s="191"/>
      <c r="G1153" s="204"/>
      <c r="J1153" s="172" t="str">
        <f t="shared" si="31"/>
        <v/>
      </c>
      <c r="K1153" s="171">
        <f t="shared" si="32"/>
        <v>11</v>
      </c>
      <c r="L1153" s="205"/>
    </row>
    <row r="1154" spans="1:12" x14ac:dyDescent="0.2">
      <c r="A1154" s="109">
        <v>5</v>
      </c>
      <c r="B1154" s="109" t="s">
        <v>775</v>
      </c>
      <c r="F1154" s="317" t="s">
        <v>701</v>
      </c>
      <c r="G1154" s="110">
        <v>3</v>
      </c>
      <c r="I1154" s="111" t="s">
        <v>968</v>
      </c>
      <c r="J1154" s="172">
        <f t="shared" si="31"/>
        <v>11</v>
      </c>
      <c r="K1154" s="171">
        <f t="shared" si="32"/>
        <v>11</v>
      </c>
      <c r="L1154" s="205"/>
    </row>
    <row r="1155" spans="1:12" x14ac:dyDescent="0.2">
      <c r="I1155" s="145" t="s">
        <v>777</v>
      </c>
      <c r="J1155" s="172" t="str">
        <f t="shared" ref="J1155:J1218" si="33">IF(A1155=1, 4,IF(G1155="", "",+K1155))</f>
        <v/>
      </c>
      <c r="K1155" s="171">
        <f t="shared" si="32"/>
        <v>14</v>
      </c>
      <c r="L1155" s="205"/>
    </row>
    <row r="1156" spans="1:12" x14ac:dyDescent="0.2">
      <c r="J1156" s="172" t="str">
        <f t="shared" si="33"/>
        <v/>
      </c>
      <c r="K1156" s="171">
        <f t="shared" si="32"/>
        <v>14</v>
      </c>
      <c r="L1156" s="205"/>
    </row>
    <row r="1157" spans="1:12" x14ac:dyDescent="0.2">
      <c r="A1157" s="191"/>
      <c r="G1157" s="204"/>
      <c r="J1157" s="172" t="str">
        <f t="shared" si="33"/>
        <v/>
      </c>
      <c r="K1157" s="171">
        <f t="shared" si="32"/>
        <v>14</v>
      </c>
      <c r="L1157" s="205"/>
    </row>
    <row r="1158" spans="1:12" ht="30" x14ac:dyDescent="0.2">
      <c r="A1158" s="191">
        <v>6</v>
      </c>
      <c r="B1158" s="121" t="s">
        <v>1003</v>
      </c>
      <c r="F1158" s="317" t="s">
        <v>701</v>
      </c>
      <c r="G1158" s="204">
        <v>6</v>
      </c>
      <c r="I1158" s="145" t="s">
        <v>1004</v>
      </c>
      <c r="J1158" s="172">
        <f t="shared" si="33"/>
        <v>14</v>
      </c>
      <c r="K1158" s="171">
        <f t="shared" si="32"/>
        <v>14</v>
      </c>
      <c r="L1158" s="205"/>
    </row>
    <row r="1159" spans="1:12" ht="30" x14ac:dyDescent="0.2">
      <c r="A1159" s="191"/>
      <c r="B1159" s="121"/>
      <c r="G1159" s="204"/>
      <c r="I1159" s="145" t="s">
        <v>1045</v>
      </c>
      <c r="J1159" s="172" t="str">
        <f t="shared" si="33"/>
        <v/>
      </c>
      <c r="K1159" s="171">
        <f t="shared" si="32"/>
        <v>20</v>
      </c>
      <c r="L1159" s="205"/>
    </row>
    <row r="1160" spans="1:12" x14ac:dyDescent="0.2">
      <c r="A1160" s="191"/>
      <c r="B1160" s="121"/>
      <c r="G1160" s="204"/>
      <c r="I1160" s="145"/>
      <c r="J1160" s="172" t="str">
        <f t="shared" si="33"/>
        <v/>
      </c>
      <c r="K1160" s="171">
        <f t="shared" si="32"/>
        <v>20</v>
      </c>
      <c r="L1160" s="205"/>
    </row>
    <row r="1161" spans="1:12" x14ac:dyDescent="0.2">
      <c r="A1161" s="191"/>
      <c r="B1161" s="121"/>
      <c r="G1161" s="204"/>
      <c r="I1161" s="145" t="s">
        <v>1006</v>
      </c>
      <c r="J1161" s="172" t="str">
        <f t="shared" si="33"/>
        <v/>
      </c>
      <c r="K1161" s="171">
        <f t="shared" si="32"/>
        <v>20</v>
      </c>
      <c r="L1161" s="205"/>
    </row>
    <row r="1162" spans="1:12" x14ac:dyDescent="0.2">
      <c r="A1162" s="191"/>
      <c r="B1162" s="121"/>
      <c r="G1162" s="204"/>
      <c r="J1162" s="172" t="str">
        <f t="shared" si="33"/>
        <v/>
      </c>
      <c r="K1162" s="171">
        <f t="shared" si="32"/>
        <v>20</v>
      </c>
      <c r="L1162" s="205"/>
    </row>
    <row r="1163" spans="1:12" x14ac:dyDescent="0.2">
      <c r="A1163" s="191"/>
      <c r="B1163" s="173" t="s">
        <v>1046</v>
      </c>
      <c r="C1163" s="109" t="s">
        <v>85</v>
      </c>
      <c r="G1163" s="204"/>
      <c r="I1163" s="145"/>
      <c r="J1163" s="172" t="str">
        <f t="shared" si="33"/>
        <v/>
      </c>
      <c r="K1163" s="171">
        <f t="shared" si="32"/>
        <v>20</v>
      </c>
      <c r="L1163" s="205"/>
    </row>
    <row r="1164" spans="1:12" x14ac:dyDescent="0.2">
      <c r="A1164" s="191"/>
      <c r="G1164" s="204"/>
      <c r="I1164" s="145"/>
      <c r="J1164" s="172" t="str">
        <f t="shared" si="33"/>
        <v/>
      </c>
      <c r="K1164" s="171">
        <f t="shared" si="32"/>
        <v>20</v>
      </c>
      <c r="L1164" s="205"/>
    </row>
    <row r="1165" spans="1:12" x14ac:dyDescent="0.2">
      <c r="A1165" s="191">
        <v>7</v>
      </c>
      <c r="B1165" s="121" t="s">
        <v>64</v>
      </c>
      <c r="F1165" s="317" t="s">
        <v>772</v>
      </c>
      <c r="G1165" s="204">
        <v>30</v>
      </c>
      <c r="I1165" s="145" t="s">
        <v>1047</v>
      </c>
      <c r="J1165" s="172">
        <f t="shared" si="33"/>
        <v>20</v>
      </c>
      <c r="K1165" s="171">
        <f t="shared" si="32"/>
        <v>20</v>
      </c>
      <c r="L1165" s="205"/>
    </row>
    <row r="1166" spans="1:12" x14ac:dyDescent="0.2">
      <c r="A1166" s="191"/>
      <c r="G1166" s="204"/>
      <c r="I1166" s="145" t="s">
        <v>1048</v>
      </c>
      <c r="J1166" s="172" t="str">
        <f t="shared" si="33"/>
        <v/>
      </c>
      <c r="K1166" s="171">
        <f t="shared" si="32"/>
        <v>50</v>
      </c>
      <c r="L1166" s="205"/>
    </row>
    <row r="1167" spans="1:12" x14ac:dyDescent="0.2">
      <c r="A1167" s="191"/>
      <c r="G1167" s="204"/>
      <c r="J1167" s="172" t="str">
        <f t="shared" si="33"/>
        <v/>
      </c>
      <c r="K1167" s="171">
        <f t="shared" si="32"/>
        <v>50</v>
      </c>
      <c r="L1167" s="205"/>
    </row>
    <row r="1168" spans="1:12" x14ac:dyDescent="0.2">
      <c r="A1168" s="191">
        <v>8</v>
      </c>
      <c r="B1168" s="121" t="s">
        <v>65</v>
      </c>
      <c r="F1168" s="317" t="s">
        <v>772</v>
      </c>
      <c r="G1168" s="204">
        <v>30</v>
      </c>
      <c r="I1168" s="145" t="s">
        <v>1049</v>
      </c>
      <c r="J1168" s="172">
        <f t="shared" si="33"/>
        <v>50</v>
      </c>
      <c r="K1168" s="171">
        <f t="shared" si="32"/>
        <v>50</v>
      </c>
      <c r="L1168" s="205"/>
    </row>
    <row r="1169" spans="1:12" x14ac:dyDescent="0.2">
      <c r="A1169" s="191"/>
      <c r="B1169" s="121"/>
      <c r="G1169" s="204"/>
      <c r="I1169" s="145" t="s">
        <v>1048</v>
      </c>
      <c r="J1169" s="172" t="str">
        <f t="shared" si="33"/>
        <v/>
      </c>
      <c r="K1169" s="171">
        <f t="shared" si="32"/>
        <v>80</v>
      </c>
      <c r="L1169" s="205"/>
    </row>
    <row r="1170" spans="1:12" x14ac:dyDescent="0.2">
      <c r="A1170" s="191"/>
      <c r="B1170" s="121"/>
      <c r="G1170" s="204"/>
      <c r="I1170" s="145" t="s">
        <v>1</v>
      </c>
      <c r="J1170" s="172" t="str">
        <f t="shared" si="33"/>
        <v/>
      </c>
      <c r="K1170" s="171">
        <f t="shared" si="32"/>
        <v>80</v>
      </c>
      <c r="L1170" s="205"/>
    </row>
    <row r="1171" spans="1:12" x14ac:dyDescent="0.2">
      <c r="A1171" s="191">
        <v>9</v>
      </c>
      <c r="B1171" s="121" t="s">
        <v>67</v>
      </c>
      <c r="F1171" s="317" t="s">
        <v>772</v>
      </c>
      <c r="G1171" s="204">
        <v>30</v>
      </c>
      <c r="I1171" s="145" t="s">
        <v>1014</v>
      </c>
      <c r="J1171" s="172">
        <f t="shared" si="33"/>
        <v>80</v>
      </c>
      <c r="K1171" s="171">
        <f t="shared" si="32"/>
        <v>80</v>
      </c>
      <c r="L1171" s="205"/>
    </row>
    <row r="1172" spans="1:12" x14ac:dyDescent="0.2">
      <c r="A1172" s="191"/>
      <c r="G1172" s="204"/>
      <c r="I1172" s="145" t="s">
        <v>1048</v>
      </c>
      <c r="J1172" s="172" t="str">
        <f t="shared" si="33"/>
        <v/>
      </c>
      <c r="K1172" s="171">
        <f t="shared" si="32"/>
        <v>110</v>
      </c>
      <c r="L1172" s="205"/>
    </row>
    <row r="1173" spans="1:12" x14ac:dyDescent="0.2">
      <c r="A1173" s="191"/>
      <c r="G1173" s="204"/>
      <c r="J1173" s="172" t="str">
        <f t="shared" si="33"/>
        <v/>
      </c>
      <c r="K1173" s="171">
        <f t="shared" si="32"/>
        <v>110</v>
      </c>
      <c r="L1173" s="205"/>
    </row>
    <row r="1174" spans="1:12" x14ac:dyDescent="0.2">
      <c r="A1174" s="191">
        <v>10</v>
      </c>
      <c r="B1174" s="121" t="s">
        <v>68</v>
      </c>
      <c r="F1174" s="317" t="s">
        <v>772</v>
      </c>
      <c r="G1174" s="204">
        <v>30</v>
      </c>
      <c r="I1174" s="145" t="s">
        <v>1015</v>
      </c>
      <c r="J1174" s="172">
        <f t="shared" si="33"/>
        <v>110</v>
      </c>
      <c r="K1174" s="171">
        <f t="shared" si="32"/>
        <v>110</v>
      </c>
      <c r="L1174" s="205"/>
    </row>
    <row r="1175" spans="1:12" x14ac:dyDescent="0.2">
      <c r="A1175" s="191"/>
      <c r="G1175" s="204"/>
      <c r="I1175" s="145" t="s">
        <v>894</v>
      </c>
      <c r="J1175" s="172" t="str">
        <f t="shared" si="33"/>
        <v/>
      </c>
      <c r="K1175" s="171">
        <f t="shared" si="32"/>
        <v>140</v>
      </c>
      <c r="L1175" s="205"/>
    </row>
    <row r="1176" spans="1:12" x14ac:dyDescent="0.2">
      <c r="A1176" s="191"/>
      <c r="G1176" s="204"/>
      <c r="I1176" s="145"/>
      <c r="J1176" s="172" t="str">
        <f t="shared" si="33"/>
        <v/>
      </c>
      <c r="K1176" s="171">
        <f t="shared" si="32"/>
        <v>140</v>
      </c>
      <c r="L1176" s="205"/>
    </row>
    <row r="1177" spans="1:12" ht="30" x14ac:dyDescent="0.2">
      <c r="A1177" s="191">
        <v>11</v>
      </c>
      <c r="B1177" s="121" t="s">
        <v>66</v>
      </c>
      <c r="F1177" s="317" t="s">
        <v>772</v>
      </c>
      <c r="G1177" s="204">
        <v>30</v>
      </c>
      <c r="I1177" s="145" t="s">
        <v>1050</v>
      </c>
      <c r="J1177" s="172">
        <f t="shared" si="33"/>
        <v>140</v>
      </c>
      <c r="K1177" s="171">
        <f t="shared" si="32"/>
        <v>140</v>
      </c>
      <c r="L1177" s="205"/>
    </row>
    <row r="1178" spans="1:12" x14ac:dyDescent="0.2">
      <c r="A1178" s="191"/>
      <c r="B1178" s="121"/>
      <c r="G1178" s="204"/>
      <c r="I1178" s="145" t="s">
        <v>894</v>
      </c>
      <c r="J1178" s="172" t="str">
        <f t="shared" si="33"/>
        <v/>
      </c>
      <c r="K1178" s="171">
        <f t="shared" si="32"/>
        <v>170</v>
      </c>
      <c r="L1178" s="205"/>
    </row>
    <row r="1179" spans="1:12" x14ac:dyDescent="0.2">
      <c r="A1179" s="191"/>
      <c r="B1179" s="173" t="s">
        <v>1051</v>
      </c>
      <c r="C1179" s="109" t="s">
        <v>85</v>
      </c>
      <c r="G1179" s="204"/>
      <c r="I1179" s="145"/>
      <c r="J1179" s="172" t="str">
        <f t="shared" si="33"/>
        <v/>
      </c>
      <c r="K1179" s="171">
        <f t="shared" si="32"/>
        <v>170</v>
      </c>
      <c r="L1179" s="205"/>
    </row>
    <row r="1180" spans="1:12" x14ac:dyDescent="0.2">
      <c r="A1180" s="191"/>
      <c r="G1180" s="204"/>
      <c r="I1180" s="145"/>
      <c r="J1180" s="172" t="str">
        <f t="shared" si="33"/>
        <v/>
      </c>
      <c r="K1180" s="171">
        <f t="shared" si="32"/>
        <v>170</v>
      </c>
      <c r="L1180" s="205"/>
    </row>
    <row r="1181" spans="1:12" x14ac:dyDescent="0.2">
      <c r="A1181" s="191">
        <v>12</v>
      </c>
      <c r="B1181" s="121" t="s">
        <v>86</v>
      </c>
      <c r="F1181" s="317" t="s">
        <v>772</v>
      </c>
      <c r="G1181" s="204">
        <v>1</v>
      </c>
      <c r="I1181" s="145" t="s">
        <v>1052</v>
      </c>
      <c r="J1181" s="172">
        <f t="shared" si="33"/>
        <v>170</v>
      </c>
      <c r="K1181" s="171">
        <f t="shared" si="32"/>
        <v>170</v>
      </c>
      <c r="L1181" s="205"/>
    </row>
    <row r="1182" spans="1:12" x14ac:dyDescent="0.2">
      <c r="A1182" s="191"/>
      <c r="G1182" s="204"/>
      <c r="I1182" s="145" t="s">
        <v>1053</v>
      </c>
      <c r="J1182" s="172" t="str">
        <f t="shared" si="33"/>
        <v/>
      </c>
      <c r="K1182" s="171">
        <f t="shared" ref="K1182:K1245" si="34">IF(A1182=1,1,+K1181+G1181)</f>
        <v>171</v>
      </c>
      <c r="L1182" s="205"/>
    </row>
    <row r="1183" spans="1:12" x14ac:dyDescent="0.2">
      <c r="A1183" s="191"/>
      <c r="G1183" s="204"/>
      <c r="I1183" s="145" t="s">
        <v>1054</v>
      </c>
      <c r="J1183" s="172" t="str">
        <f t="shared" si="33"/>
        <v/>
      </c>
      <c r="K1183" s="171">
        <f t="shared" si="34"/>
        <v>171</v>
      </c>
      <c r="L1183" s="205"/>
    </row>
    <row r="1184" spans="1:12" x14ac:dyDescent="0.2">
      <c r="A1184" s="191"/>
      <c r="G1184" s="204"/>
      <c r="I1184" s="145" t="s">
        <v>1055</v>
      </c>
      <c r="J1184" s="172" t="str">
        <f t="shared" si="33"/>
        <v/>
      </c>
      <c r="K1184" s="171">
        <f t="shared" si="34"/>
        <v>171</v>
      </c>
      <c r="L1184" s="205"/>
    </row>
    <row r="1185" spans="1:12" x14ac:dyDescent="0.2">
      <c r="A1185" s="191"/>
      <c r="G1185" s="204"/>
      <c r="J1185" s="172" t="str">
        <f t="shared" si="33"/>
        <v/>
      </c>
      <c r="K1185" s="171">
        <f t="shared" si="34"/>
        <v>171</v>
      </c>
      <c r="L1185" s="205"/>
    </row>
    <row r="1186" spans="1:12" x14ac:dyDescent="0.2">
      <c r="A1186" s="191">
        <v>13</v>
      </c>
      <c r="B1186" s="121" t="s">
        <v>69</v>
      </c>
      <c r="F1186" s="317" t="s">
        <v>772</v>
      </c>
      <c r="G1186" s="204">
        <v>1</v>
      </c>
      <c r="I1186" s="145" t="s">
        <v>1056</v>
      </c>
      <c r="J1186" s="172">
        <f t="shared" si="33"/>
        <v>171</v>
      </c>
      <c r="K1186" s="171">
        <f t="shared" si="34"/>
        <v>171</v>
      </c>
      <c r="L1186" s="205"/>
    </row>
    <row r="1187" spans="1:12" x14ac:dyDescent="0.2">
      <c r="A1187" s="191"/>
      <c r="B1187" s="121"/>
      <c r="G1187" s="204"/>
      <c r="I1187" s="145" t="s">
        <v>1053</v>
      </c>
      <c r="J1187" s="172" t="str">
        <f t="shared" si="33"/>
        <v/>
      </c>
      <c r="K1187" s="171">
        <f t="shared" si="34"/>
        <v>172</v>
      </c>
      <c r="L1187" s="205"/>
    </row>
    <row r="1188" spans="1:12" x14ac:dyDescent="0.2">
      <c r="A1188" s="191"/>
      <c r="B1188" s="121"/>
      <c r="G1188" s="204"/>
      <c r="I1188" s="145" t="s">
        <v>1057</v>
      </c>
      <c r="J1188" s="172" t="str">
        <f t="shared" si="33"/>
        <v/>
      </c>
      <c r="K1188" s="171">
        <f t="shared" si="34"/>
        <v>172</v>
      </c>
      <c r="L1188" s="205"/>
    </row>
    <row r="1189" spans="1:12" x14ac:dyDescent="0.2">
      <c r="A1189" s="191"/>
      <c r="B1189" s="121"/>
      <c r="G1189" s="204"/>
      <c r="I1189" s="145" t="s">
        <v>1058</v>
      </c>
      <c r="J1189" s="172" t="str">
        <f t="shared" si="33"/>
        <v/>
      </c>
      <c r="K1189" s="171">
        <f t="shared" si="34"/>
        <v>172</v>
      </c>
      <c r="L1189" s="205"/>
    </row>
    <row r="1190" spans="1:12" x14ac:dyDescent="0.2">
      <c r="A1190" s="191"/>
      <c r="B1190" s="121"/>
      <c r="G1190" s="204"/>
      <c r="I1190" s="145" t="s">
        <v>1059</v>
      </c>
      <c r="J1190" s="172" t="str">
        <f t="shared" si="33"/>
        <v/>
      </c>
      <c r="K1190" s="171">
        <f t="shared" si="34"/>
        <v>172</v>
      </c>
      <c r="L1190" s="205"/>
    </row>
    <row r="1191" spans="1:12" x14ac:dyDescent="0.2">
      <c r="A1191" s="191"/>
      <c r="B1191" s="121"/>
      <c r="G1191" s="204"/>
      <c r="I1191" s="145" t="s">
        <v>1060</v>
      </c>
      <c r="J1191" s="172" t="str">
        <f t="shared" si="33"/>
        <v/>
      </c>
      <c r="K1191" s="171">
        <f t="shared" si="34"/>
        <v>172</v>
      </c>
      <c r="L1191" s="205"/>
    </row>
    <row r="1192" spans="1:12" x14ac:dyDescent="0.2">
      <c r="A1192" s="191"/>
      <c r="G1192" s="204"/>
      <c r="I1192" s="145" t="s">
        <v>1</v>
      </c>
      <c r="J1192" s="172" t="str">
        <f t="shared" si="33"/>
        <v/>
      </c>
      <c r="K1192" s="171">
        <f t="shared" si="34"/>
        <v>172</v>
      </c>
      <c r="L1192" s="205"/>
    </row>
    <row r="1193" spans="1:12" x14ac:dyDescent="0.2">
      <c r="A1193" s="191">
        <v>14</v>
      </c>
      <c r="B1193" s="121" t="s">
        <v>961</v>
      </c>
      <c r="F1193" s="317" t="s">
        <v>701</v>
      </c>
      <c r="G1193" s="204">
        <v>11</v>
      </c>
      <c r="I1193" s="145" t="s">
        <v>1061</v>
      </c>
      <c r="J1193" s="172">
        <f t="shared" si="33"/>
        <v>172</v>
      </c>
      <c r="K1193" s="171">
        <f t="shared" si="34"/>
        <v>172</v>
      </c>
      <c r="L1193" s="205"/>
    </row>
    <row r="1194" spans="1:12" x14ac:dyDescent="0.2">
      <c r="A1194" s="191"/>
      <c r="B1194" s="121"/>
      <c r="G1194" s="204"/>
      <c r="I1194" s="145" t="s">
        <v>894</v>
      </c>
      <c r="J1194" s="172" t="str">
        <f t="shared" si="33"/>
        <v/>
      </c>
      <c r="K1194" s="171">
        <f t="shared" si="34"/>
        <v>183</v>
      </c>
      <c r="L1194" s="205"/>
    </row>
    <row r="1195" spans="1:12" x14ac:dyDescent="0.2">
      <c r="A1195" s="191"/>
      <c r="G1195" s="204"/>
      <c r="J1195" s="172" t="str">
        <f t="shared" si="33"/>
        <v/>
      </c>
      <c r="K1195" s="171">
        <f t="shared" si="34"/>
        <v>183</v>
      </c>
      <c r="L1195" s="205"/>
    </row>
    <row r="1196" spans="1:12" x14ac:dyDescent="0.2">
      <c r="A1196" s="191"/>
      <c r="B1196" s="173" t="s">
        <v>1062</v>
      </c>
      <c r="G1196" s="204"/>
      <c r="I1196" s="145"/>
      <c r="J1196" s="172" t="str">
        <f t="shared" si="33"/>
        <v/>
      </c>
      <c r="K1196" s="171">
        <f t="shared" si="34"/>
        <v>183</v>
      </c>
      <c r="L1196" s="205"/>
    </row>
    <row r="1197" spans="1:12" x14ac:dyDescent="0.2">
      <c r="A1197" s="191"/>
      <c r="G1197" s="204"/>
      <c r="I1197" s="145"/>
      <c r="J1197" s="172" t="str">
        <f t="shared" si="33"/>
        <v/>
      </c>
      <c r="K1197" s="171">
        <f t="shared" si="34"/>
        <v>183</v>
      </c>
      <c r="L1197" s="205"/>
    </row>
    <row r="1198" spans="1:12" x14ac:dyDescent="0.2">
      <c r="A1198" s="191">
        <v>15</v>
      </c>
      <c r="B1198" s="121" t="s">
        <v>1008</v>
      </c>
      <c r="F1198" s="317" t="s">
        <v>772</v>
      </c>
      <c r="G1198" s="204">
        <v>5</v>
      </c>
      <c r="I1198" s="145" t="s">
        <v>1009</v>
      </c>
      <c r="J1198" s="172">
        <f t="shared" si="33"/>
        <v>183</v>
      </c>
      <c r="K1198" s="171">
        <f t="shared" si="34"/>
        <v>183</v>
      </c>
      <c r="L1198" s="205"/>
    </row>
    <row r="1199" spans="1:12" x14ac:dyDescent="0.2">
      <c r="A1199" s="191"/>
      <c r="G1199" s="204"/>
      <c r="I1199" s="145" t="s">
        <v>1010</v>
      </c>
      <c r="J1199" s="172" t="str">
        <f t="shared" si="33"/>
        <v/>
      </c>
      <c r="K1199" s="171">
        <f t="shared" si="34"/>
        <v>188</v>
      </c>
      <c r="L1199" s="205"/>
    </row>
    <row r="1200" spans="1:12" x14ac:dyDescent="0.2">
      <c r="A1200" s="191"/>
      <c r="G1200" s="204"/>
      <c r="J1200" s="172" t="str">
        <f t="shared" si="33"/>
        <v/>
      </c>
      <c r="K1200" s="171">
        <f t="shared" si="34"/>
        <v>188</v>
      </c>
      <c r="L1200" s="205"/>
    </row>
    <row r="1201" spans="1:12" x14ac:dyDescent="0.2">
      <c r="A1201" s="191">
        <v>16</v>
      </c>
      <c r="B1201" s="121" t="s">
        <v>1011</v>
      </c>
      <c r="F1201" s="317" t="s">
        <v>772</v>
      </c>
      <c r="G1201" s="204">
        <v>30</v>
      </c>
      <c r="I1201" s="145" t="s">
        <v>1012</v>
      </c>
      <c r="J1201" s="172">
        <f t="shared" si="33"/>
        <v>188</v>
      </c>
      <c r="K1201" s="171">
        <f t="shared" si="34"/>
        <v>188</v>
      </c>
      <c r="L1201" s="205"/>
    </row>
    <row r="1202" spans="1:12" x14ac:dyDescent="0.2">
      <c r="A1202" s="191"/>
      <c r="B1202" s="121"/>
      <c r="G1202" s="204"/>
      <c r="I1202" s="145" t="s">
        <v>894</v>
      </c>
      <c r="J1202" s="172" t="str">
        <f t="shared" si="33"/>
        <v/>
      </c>
      <c r="K1202" s="171">
        <f t="shared" si="34"/>
        <v>218</v>
      </c>
      <c r="L1202" s="205"/>
    </row>
    <row r="1203" spans="1:12" x14ac:dyDescent="0.2">
      <c r="A1203" s="191"/>
      <c r="G1203" s="204"/>
      <c r="J1203" s="172" t="str">
        <f t="shared" si="33"/>
        <v/>
      </c>
      <c r="K1203" s="171">
        <f t="shared" si="34"/>
        <v>218</v>
      </c>
      <c r="L1203" s="205"/>
    </row>
    <row r="1204" spans="1:12" x14ac:dyDescent="0.2">
      <c r="A1204" s="191">
        <v>17</v>
      </c>
      <c r="B1204" s="121" t="s">
        <v>1013</v>
      </c>
      <c r="F1204" s="317" t="s">
        <v>772</v>
      </c>
      <c r="G1204" s="204">
        <v>6</v>
      </c>
      <c r="I1204" s="145" t="s">
        <v>1014</v>
      </c>
      <c r="J1204" s="172">
        <f t="shared" si="33"/>
        <v>218</v>
      </c>
      <c r="K1204" s="171">
        <f t="shared" si="34"/>
        <v>218</v>
      </c>
      <c r="L1204" s="205"/>
    </row>
    <row r="1205" spans="1:12" x14ac:dyDescent="0.2">
      <c r="A1205" s="191"/>
      <c r="G1205" s="204"/>
      <c r="I1205" s="145" t="s">
        <v>894</v>
      </c>
      <c r="J1205" s="172" t="str">
        <f t="shared" si="33"/>
        <v/>
      </c>
      <c r="K1205" s="171">
        <f t="shared" si="34"/>
        <v>224</v>
      </c>
      <c r="L1205" s="205"/>
    </row>
    <row r="1206" spans="1:12" x14ac:dyDescent="0.2">
      <c r="A1206" s="191"/>
      <c r="G1206" s="204"/>
      <c r="J1206" s="172" t="str">
        <f t="shared" si="33"/>
        <v/>
      </c>
      <c r="K1206" s="171">
        <f t="shared" si="34"/>
        <v>224</v>
      </c>
      <c r="L1206" s="205"/>
    </row>
    <row r="1207" spans="1:12" x14ac:dyDescent="0.2">
      <c r="A1207" s="191">
        <v>18</v>
      </c>
      <c r="B1207" s="121" t="s">
        <v>71</v>
      </c>
      <c r="F1207" s="317" t="s">
        <v>772</v>
      </c>
      <c r="G1207" s="204">
        <v>6</v>
      </c>
      <c r="I1207" s="145" t="s">
        <v>1015</v>
      </c>
      <c r="J1207" s="172">
        <f t="shared" si="33"/>
        <v>224</v>
      </c>
      <c r="K1207" s="171">
        <f t="shared" si="34"/>
        <v>224</v>
      </c>
      <c r="L1207" s="205"/>
    </row>
    <row r="1208" spans="1:12" x14ac:dyDescent="0.2">
      <c r="A1208" s="191"/>
      <c r="G1208" s="204"/>
      <c r="I1208" s="145" t="s">
        <v>894</v>
      </c>
      <c r="J1208" s="172" t="str">
        <f t="shared" si="33"/>
        <v/>
      </c>
      <c r="K1208" s="171">
        <f t="shared" si="34"/>
        <v>230</v>
      </c>
      <c r="L1208" s="205"/>
    </row>
    <row r="1209" spans="1:12" x14ac:dyDescent="0.2">
      <c r="A1209" s="191"/>
      <c r="G1209" s="204"/>
      <c r="I1209" s="145"/>
      <c r="J1209" s="172" t="str">
        <f t="shared" si="33"/>
        <v/>
      </c>
      <c r="K1209" s="171">
        <f t="shared" si="34"/>
        <v>230</v>
      </c>
      <c r="L1209" s="205"/>
    </row>
    <row r="1210" spans="1:12" x14ac:dyDescent="0.2">
      <c r="A1210" s="191">
        <v>19</v>
      </c>
      <c r="B1210" s="121" t="s">
        <v>72</v>
      </c>
      <c r="F1210" s="317" t="s">
        <v>772</v>
      </c>
      <c r="G1210" s="204">
        <v>5</v>
      </c>
      <c r="I1210" s="145" t="s">
        <v>1016</v>
      </c>
      <c r="J1210" s="172">
        <f t="shared" si="33"/>
        <v>230</v>
      </c>
      <c r="K1210" s="171">
        <f t="shared" si="34"/>
        <v>230</v>
      </c>
      <c r="L1210" s="205"/>
    </row>
    <row r="1211" spans="1:12" x14ac:dyDescent="0.2">
      <c r="A1211" s="191"/>
      <c r="G1211" s="204"/>
      <c r="I1211" s="145" t="s">
        <v>894</v>
      </c>
      <c r="J1211" s="172" t="str">
        <f t="shared" si="33"/>
        <v/>
      </c>
      <c r="K1211" s="171">
        <f t="shared" si="34"/>
        <v>235</v>
      </c>
      <c r="L1211" s="205"/>
    </row>
    <row r="1212" spans="1:12" x14ac:dyDescent="0.2">
      <c r="A1212" s="191"/>
      <c r="G1212" s="204"/>
      <c r="J1212" s="172" t="str">
        <f t="shared" si="33"/>
        <v/>
      </c>
      <c r="K1212" s="171">
        <f t="shared" si="34"/>
        <v>235</v>
      </c>
      <c r="L1212" s="205"/>
    </row>
    <row r="1213" spans="1:12" x14ac:dyDescent="0.2">
      <c r="A1213" s="191">
        <v>20</v>
      </c>
      <c r="B1213" s="121" t="s">
        <v>73</v>
      </c>
      <c r="F1213" s="317" t="s">
        <v>772</v>
      </c>
      <c r="G1213" s="204">
        <v>3</v>
      </c>
      <c r="I1213" s="145" t="s">
        <v>1017</v>
      </c>
      <c r="J1213" s="172">
        <f t="shared" si="33"/>
        <v>235</v>
      </c>
      <c r="K1213" s="171">
        <f t="shared" si="34"/>
        <v>235</v>
      </c>
      <c r="L1213" s="205"/>
    </row>
    <row r="1214" spans="1:12" x14ac:dyDescent="0.2">
      <c r="A1214" s="191"/>
      <c r="G1214" s="204"/>
      <c r="I1214" s="145" t="s">
        <v>894</v>
      </c>
      <c r="J1214" s="172" t="str">
        <f t="shared" si="33"/>
        <v/>
      </c>
      <c r="K1214" s="171">
        <f t="shared" si="34"/>
        <v>238</v>
      </c>
      <c r="L1214" s="205"/>
    </row>
    <row r="1215" spans="1:12" x14ac:dyDescent="0.2">
      <c r="A1215" s="191"/>
      <c r="G1215" s="204"/>
      <c r="I1215" s="145"/>
      <c r="J1215" s="172" t="str">
        <f t="shared" si="33"/>
        <v/>
      </c>
      <c r="K1215" s="171">
        <f t="shared" si="34"/>
        <v>238</v>
      </c>
      <c r="L1215" s="205"/>
    </row>
    <row r="1216" spans="1:12" x14ac:dyDescent="0.2">
      <c r="A1216" s="191">
        <v>21</v>
      </c>
      <c r="B1216" s="121" t="s">
        <v>1018</v>
      </c>
      <c r="F1216" s="317" t="s">
        <v>772</v>
      </c>
      <c r="G1216" s="204">
        <v>3</v>
      </c>
      <c r="I1216" s="145" t="s">
        <v>1019</v>
      </c>
      <c r="J1216" s="172">
        <f t="shared" si="33"/>
        <v>238</v>
      </c>
      <c r="K1216" s="171">
        <f t="shared" si="34"/>
        <v>238</v>
      </c>
      <c r="L1216" s="205"/>
    </row>
    <row r="1217" spans="1:12" x14ac:dyDescent="0.2">
      <c r="A1217" s="191"/>
      <c r="G1217" s="204"/>
      <c r="I1217" s="145" t="s">
        <v>894</v>
      </c>
      <c r="J1217" s="172" t="str">
        <f t="shared" si="33"/>
        <v/>
      </c>
      <c r="K1217" s="171">
        <f t="shared" si="34"/>
        <v>241</v>
      </c>
      <c r="L1217" s="205"/>
    </row>
    <row r="1218" spans="1:12" x14ac:dyDescent="0.2">
      <c r="A1218" s="191"/>
      <c r="G1218" s="204"/>
      <c r="I1218" s="145"/>
      <c r="J1218" s="172" t="str">
        <f t="shared" si="33"/>
        <v/>
      </c>
      <c r="K1218" s="171">
        <f t="shared" si="34"/>
        <v>241</v>
      </c>
      <c r="L1218" s="205"/>
    </row>
    <row r="1219" spans="1:12" x14ac:dyDescent="0.2">
      <c r="A1219" s="191">
        <v>22</v>
      </c>
      <c r="B1219" s="121" t="s">
        <v>1020</v>
      </c>
      <c r="F1219" s="317" t="s">
        <v>772</v>
      </c>
      <c r="G1219" s="204">
        <v>3</v>
      </c>
      <c r="I1219" s="145" t="s">
        <v>1021</v>
      </c>
      <c r="J1219" s="172">
        <f t="shared" ref="J1219:J1282" si="35">IF(A1219=1, 4,IF(G1219="", "",+K1219))</f>
        <v>241</v>
      </c>
      <c r="K1219" s="171">
        <f t="shared" si="34"/>
        <v>241</v>
      </c>
      <c r="L1219" s="205"/>
    </row>
    <row r="1220" spans="1:12" x14ac:dyDescent="0.2">
      <c r="A1220" s="191"/>
      <c r="G1220" s="204"/>
      <c r="I1220" s="145" t="s">
        <v>894</v>
      </c>
      <c r="J1220" s="172" t="str">
        <f t="shared" si="35"/>
        <v/>
      </c>
      <c r="K1220" s="171">
        <f t="shared" si="34"/>
        <v>244</v>
      </c>
      <c r="L1220" s="205"/>
    </row>
    <row r="1221" spans="1:12" x14ac:dyDescent="0.2">
      <c r="A1221" s="191"/>
      <c r="G1221" s="204"/>
      <c r="J1221" s="172" t="str">
        <f t="shared" si="35"/>
        <v/>
      </c>
      <c r="K1221" s="171">
        <f t="shared" si="34"/>
        <v>244</v>
      </c>
      <c r="L1221" s="205"/>
    </row>
    <row r="1222" spans="1:12" x14ac:dyDescent="0.2">
      <c r="A1222" s="191">
        <v>23</v>
      </c>
      <c r="B1222" s="121" t="s">
        <v>74</v>
      </c>
      <c r="F1222" s="317" t="s">
        <v>772</v>
      </c>
      <c r="G1222" s="204">
        <v>3</v>
      </c>
      <c r="I1222" s="145" t="s">
        <v>1022</v>
      </c>
      <c r="J1222" s="172">
        <f t="shared" si="35"/>
        <v>244</v>
      </c>
      <c r="K1222" s="171">
        <f t="shared" si="34"/>
        <v>244</v>
      </c>
      <c r="L1222" s="205"/>
    </row>
    <row r="1223" spans="1:12" x14ac:dyDescent="0.2">
      <c r="A1223" s="191"/>
      <c r="G1223" s="204"/>
      <c r="I1223" s="145" t="s">
        <v>894</v>
      </c>
      <c r="J1223" s="172" t="str">
        <f t="shared" si="35"/>
        <v/>
      </c>
      <c r="K1223" s="171">
        <f t="shared" si="34"/>
        <v>247</v>
      </c>
      <c r="L1223" s="205"/>
    </row>
    <row r="1224" spans="1:12" x14ac:dyDescent="0.2">
      <c r="A1224" s="191"/>
      <c r="G1224" s="204"/>
      <c r="I1224" s="145"/>
      <c r="J1224" s="172" t="str">
        <f t="shared" si="35"/>
        <v/>
      </c>
      <c r="K1224" s="171">
        <f t="shared" si="34"/>
        <v>247</v>
      </c>
      <c r="L1224" s="205"/>
    </row>
    <row r="1225" spans="1:12" x14ac:dyDescent="0.2">
      <c r="A1225" s="191">
        <v>24</v>
      </c>
      <c r="B1225" s="121" t="s">
        <v>75</v>
      </c>
      <c r="F1225" s="317" t="s">
        <v>772</v>
      </c>
      <c r="G1225" s="204">
        <v>3</v>
      </c>
      <c r="I1225" s="145" t="s">
        <v>1023</v>
      </c>
      <c r="J1225" s="172">
        <f t="shared" si="35"/>
        <v>247</v>
      </c>
      <c r="K1225" s="171">
        <f t="shared" si="34"/>
        <v>247</v>
      </c>
      <c r="L1225" s="205"/>
    </row>
    <row r="1226" spans="1:12" x14ac:dyDescent="0.2">
      <c r="A1226" s="191"/>
      <c r="G1226" s="204"/>
      <c r="I1226" s="145" t="s">
        <v>894</v>
      </c>
      <c r="J1226" s="172" t="str">
        <f t="shared" si="35"/>
        <v/>
      </c>
      <c r="K1226" s="171">
        <f t="shared" si="34"/>
        <v>250</v>
      </c>
      <c r="L1226" s="205"/>
    </row>
    <row r="1227" spans="1:12" x14ac:dyDescent="0.2">
      <c r="A1227" s="191"/>
      <c r="G1227" s="204"/>
      <c r="I1227" s="145"/>
      <c r="J1227" s="172" t="str">
        <f t="shared" si="35"/>
        <v/>
      </c>
      <c r="K1227" s="171">
        <f t="shared" si="34"/>
        <v>250</v>
      </c>
      <c r="L1227" s="205"/>
    </row>
    <row r="1228" spans="1:12" x14ac:dyDescent="0.2">
      <c r="A1228" s="191">
        <v>25</v>
      </c>
      <c r="B1228" s="121" t="s">
        <v>1024</v>
      </c>
      <c r="F1228" s="317" t="s">
        <v>772</v>
      </c>
      <c r="G1228" s="204">
        <v>5</v>
      </c>
      <c r="I1228" s="145" t="s">
        <v>1025</v>
      </c>
      <c r="J1228" s="172">
        <f t="shared" si="35"/>
        <v>250</v>
      </c>
      <c r="K1228" s="171">
        <f t="shared" si="34"/>
        <v>250</v>
      </c>
      <c r="L1228" s="205"/>
    </row>
    <row r="1229" spans="1:12" x14ac:dyDescent="0.2">
      <c r="A1229" s="191"/>
      <c r="G1229" s="204"/>
      <c r="I1229" s="145" t="s">
        <v>894</v>
      </c>
      <c r="J1229" s="172" t="str">
        <f t="shared" si="35"/>
        <v/>
      </c>
      <c r="K1229" s="171">
        <f t="shared" si="34"/>
        <v>255</v>
      </c>
      <c r="L1229" s="205"/>
    </row>
    <row r="1230" spans="1:12" x14ac:dyDescent="0.2">
      <c r="A1230" s="191"/>
      <c r="G1230" s="204"/>
      <c r="J1230" s="172" t="str">
        <f t="shared" si="35"/>
        <v/>
      </c>
      <c r="K1230" s="171">
        <f t="shared" si="34"/>
        <v>255</v>
      </c>
      <c r="L1230" s="205"/>
    </row>
    <row r="1231" spans="1:12" x14ac:dyDescent="0.2">
      <c r="A1231" s="191">
        <v>26</v>
      </c>
      <c r="B1231" s="121" t="s">
        <v>76</v>
      </c>
      <c r="F1231" s="317" t="s">
        <v>772</v>
      </c>
      <c r="G1231" s="204">
        <v>5</v>
      </c>
      <c r="I1231" s="145" t="s">
        <v>1026</v>
      </c>
      <c r="J1231" s="172">
        <f t="shared" si="35"/>
        <v>255</v>
      </c>
      <c r="K1231" s="171">
        <f t="shared" si="34"/>
        <v>255</v>
      </c>
    </row>
    <row r="1232" spans="1:12" x14ac:dyDescent="0.2">
      <c r="A1232" s="191"/>
      <c r="G1232" s="204"/>
      <c r="I1232" s="145" t="s">
        <v>1010</v>
      </c>
      <c r="J1232" s="172" t="str">
        <f t="shared" si="35"/>
        <v/>
      </c>
      <c r="K1232" s="171">
        <f t="shared" si="34"/>
        <v>260</v>
      </c>
    </row>
    <row r="1233" spans="1:11" x14ac:dyDescent="0.2">
      <c r="A1233" s="191"/>
      <c r="G1233" s="204"/>
      <c r="I1233" s="145"/>
      <c r="J1233" s="172" t="str">
        <f t="shared" si="35"/>
        <v/>
      </c>
      <c r="K1233" s="171">
        <f t="shared" si="34"/>
        <v>260</v>
      </c>
    </row>
    <row r="1234" spans="1:11" x14ac:dyDescent="0.2">
      <c r="A1234" s="191">
        <v>27</v>
      </c>
      <c r="B1234" s="121" t="s">
        <v>77</v>
      </c>
      <c r="F1234" s="317" t="s">
        <v>772</v>
      </c>
      <c r="G1234" s="204">
        <v>30</v>
      </c>
      <c r="I1234" s="145" t="s">
        <v>1027</v>
      </c>
      <c r="J1234" s="172">
        <f t="shared" si="35"/>
        <v>260</v>
      </c>
      <c r="K1234" s="171">
        <f t="shared" si="34"/>
        <v>260</v>
      </c>
    </row>
    <row r="1235" spans="1:11" x14ac:dyDescent="0.2">
      <c r="A1235" s="191"/>
      <c r="G1235" s="204"/>
      <c r="I1235" s="145" t="s">
        <v>894</v>
      </c>
      <c r="J1235" s="172" t="str">
        <f t="shared" si="35"/>
        <v/>
      </c>
      <c r="K1235" s="171">
        <f t="shared" si="34"/>
        <v>290</v>
      </c>
    </row>
    <row r="1236" spans="1:11" x14ac:dyDescent="0.2">
      <c r="A1236" s="191"/>
      <c r="G1236" s="204"/>
      <c r="I1236" s="145"/>
      <c r="J1236" s="172" t="str">
        <f t="shared" si="35"/>
        <v/>
      </c>
      <c r="K1236" s="171">
        <f t="shared" si="34"/>
        <v>290</v>
      </c>
    </row>
    <row r="1237" spans="1:11" ht="30" x14ac:dyDescent="0.2">
      <c r="A1237" s="191">
        <v>28</v>
      </c>
      <c r="B1237" s="109" t="s">
        <v>1063</v>
      </c>
      <c r="F1237" s="317" t="s">
        <v>772</v>
      </c>
      <c r="G1237" s="204">
        <v>120</v>
      </c>
      <c r="I1237" s="145" t="s">
        <v>1064</v>
      </c>
      <c r="J1237" s="172">
        <f t="shared" si="35"/>
        <v>290</v>
      </c>
      <c r="K1237" s="171">
        <f t="shared" si="34"/>
        <v>290</v>
      </c>
    </row>
    <row r="1238" spans="1:11" x14ac:dyDescent="0.2">
      <c r="A1238" s="191"/>
      <c r="G1238" s="204"/>
      <c r="I1238" s="145"/>
      <c r="J1238" s="172" t="str">
        <f t="shared" si="35"/>
        <v/>
      </c>
      <c r="K1238" s="171">
        <f t="shared" si="34"/>
        <v>410</v>
      </c>
    </row>
    <row r="1239" spans="1:11" x14ac:dyDescent="0.2">
      <c r="A1239" s="191">
        <v>29</v>
      </c>
      <c r="B1239" s="121" t="s">
        <v>78</v>
      </c>
      <c r="F1239" s="317" t="s">
        <v>772</v>
      </c>
      <c r="G1239" s="204">
        <v>55</v>
      </c>
      <c r="I1239" s="145" t="s">
        <v>1030</v>
      </c>
      <c r="J1239" s="172">
        <f t="shared" si="35"/>
        <v>410</v>
      </c>
      <c r="K1239" s="171">
        <f t="shared" si="34"/>
        <v>410</v>
      </c>
    </row>
    <row r="1240" spans="1:11" x14ac:dyDescent="0.2">
      <c r="A1240" s="191"/>
      <c r="G1240" s="204"/>
      <c r="I1240" s="145" t="s">
        <v>894</v>
      </c>
      <c r="J1240" s="172" t="str">
        <f t="shared" si="35"/>
        <v/>
      </c>
      <c r="K1240" s="171">
        <f t="shared" si="34"/>
        <v>465</v>
      </c>
    </row>
    <row r="1241" spans="1:11" x14ac:dyDescent="0.2">
      <c r="A1241" s="191"/>
      <c r="G1241" s="204"/>
      <c r="J1241" s="172" t="str">
        <f t="shared" si="35"/>
        <v/>
      </c>
      <c r="K1241" s="171">
        <f t="shared" si="34"/>
        <v>465</v>
      </c>
    </row>
    <row r="1242" spans="1:11" x14ac:dyDescent="0.2">
      <c r="A1242" s="191">
        <v>30</v>
      </c>
      <c r="B1242" s="109" t="s">
        <v>954</v>
      </c>
      <c r="F1242" s="317" t="s">
        <v>701</v>
      </c>
      <c r="G1242" s="204">
        <v>6</v>
      </c>
      <c r="I1242" s="145" t="s">
        <v>1031</v>
      </c>
      <c r="J1242" s="172">
        <f t="shared" si="35"/>
        <v>465</v>
      </c>
      <c r="K1242" s="171">
        <f t="shared" si="34"/>
        <v>465</v>
      </c>
    </row>
    <row r="1243" spans="1:11" x14ac:dyDescent="0.2">
      <c r="A1243" s="191"/>
      <c r="G1243" s="204"/>
      <c r="I1243" s="111" t="s">
        <v>1032</v>
      </c>
      <c r="J1243" s="172" t="str">
        <f t="shared" si="35"/>
        <v/>
      </c>
      <c r="K1243" s="171">
        <f t="shared" si="34"/>
        <v>471</v>
      </c>
    </row>
    <row r="1244" spans="1:11" x14ac:dyDescent="0.2">
      <c r="A1244" s="191"/>
      <c r="G1244" s="204"/>
      <c r="I1244" s="145"/>
      <c r="J1244" s="172" t="str">
        <f t="shared" si="35"/>
        <v/>
      </c>
      <c r="K1244" s="171">
        <f t="shared" si="34"/>
        <v>471</v>
      </c>
    </row>
    <row r="1245" spans="1:11" x14ac:dyDescent="0.2">
      <c r="A1245" s="191">
        <v>31</v>
      </c>
      <c r="B1245" s="109" t="s">
        <v>819</v>
      </c>
      <c r="F1245" s="317" t="s">
        <v>772</v>
      </c>
      <c r="G1245" s="204">
        <v>9</v>
      </c>
      <c r="I1245" s="145" t="s">
        <v>1033</v>
      </c>
      <c r="J1245" s="172">
        <f t="shared" si="35"/>
        <v>471</v>
      </c>
      <c r="K1245" s="171">
        <f t="shared" si="34"/>
        <v>471</v>
      </c>
    </row>
    <row r="1246" spans="1:11" x14ac:dyDescent="0.2">
      <c r="A1246" s="191"/>
      <c r="G1246" s="204"/>
      <c r="I1246" s="145" t="s">
        <v>971</v>
      </c>
      <c r="J1246" s="172" t="str">
        <f t="shared" si="35"/>
        <v/>
      </c>
      <c r="K1246" s="171">
        <f t="shared" ref="K1246:K1309" si="36">IF(A1246=1,1,+K1245+G1245)</f>
        <v>480</v>
      </c>
    </row>
    <row r="1247" spans="1:11" x14ac:dyDescent="0.2">
      <c r="A1247" s="191"/>
      <c r="G1247" s="204"/>
      <c r="I1247" s="145" t="s">
        <v>972</v>
      </c>
      <c r="J1247" s="172" t="str">
        <f t="shared" si="35"/>
        <v/>
      </c>
      <c r="K1247" s="171">
        <f t="shared" si="36"/>
        <v>480</v>
      </c>
    </row>
    <row r="1248" spans="1:11" x14ac:dyDescent="0.2">
      <c r="A1248" s="191"/>
      <c r="G1248" s="204"/>
      <c r="I1248" s="145" t="s">
        <v>973</v>
      </c>
      <c r="J1248" s="172" t="str">
        <f t="shared" si="35"/>
        <v/>
      </c>
      <c r="K1248" s="171">
        <f t="shared" si="36"/>
        <v>480</v>
      </c>
    </row>
    <row r="1249" spans="1:11" x14ac:dyDescent="0.2">
      <c r="A1249" s="191"/>
      <c r="G1249" s="204"/>
      <c r="I1249" s="145" t="s">
        <v>894</v>
      </c>
      <c r="J1249" s="172" t="str">
        <f t="shared" si="35"/>
        <v/>
      </c>
      <c r="K1249" s="171">
        <f t="shared" si="36"/>
        <v>480</v>
      </c>
    </row>
    <row r="1250" spans="1:11" x14ac:dyDescent="0.2">
      <c r="A1250" s="191"/>
      <c r="G1250" s="204"/>
      <c r="I1250" s="145"/>
      <c r="J1250" s="172" t="str">
        <f t="shared" si="35"/>
        <v/>
      </c>
      <c r="K1250" s="171">
        <f t="shared" si="36"/>
        <v>480</v>
      </c>
    </row>
    <row r="1251" spans="1:11" x14ac:dyDescent="0.2">
      <c r="A1251" s="191">
        <v>32</v>
      </c>
      <c r="B1251" s="121" t="s">
        <v>1065</v>
      </c>
      <c r="F1251" s="317" t="s">
        <v>701</v>
      </c>
      <c r="G1251" s="204">
        <v>5</v>
      </c>
      <c r="I1251" s="145" t="s">
        <v>1066</v>
      </c>
      <c r="J1251" s="172">
        <f t="shared" si="35"/>
        <v>480</v>
      </c>
      <c r="K1251" s="171">
        <f t="shared" si="36"/>
        <v>480</v>
      </c>
    </row>
    <row r="1252" spans="1:11" x14ac:dyDescent="0.2">
      <c r="A1252" s="191"/>
      <c r="G1252" s="204"/>
      <c r="I1252" s="145" t="s">
        <v>1067</v>
      </c>
      <c r="J1252" s="172" t="str">
        <f t="shared" si="35"/>
        <v/>
      </c>
      <c r="K1252" s="171">
        <f t="shared" si="36"/>
        <v>485</v>
      </c>
    </row>
    <row r="1253" spans="1:11" x14ac:dyDescent="0.2">
      <c r="A1253" s="191"/>
      <c r="G1253" s="204"/>
      <c r="I1253" s="145"/>
      <c r="J1253" s="172" t="str">
        <f t="shared" si="35"/>
        <v/>
      </c>
      <c r="K1253" s="171">
        <f t="shared" si="36"/>
        <v>485</v>
      </c>
    </row>
    <row r="1254" spans="1:11" ht="30" x14ac:dyDescent="0.2">
      <c r="A1254" s="191">
        <v>33</v>
      </c>
      <c r="B1254" s="109" t="s">
        <v>1068</v>
      </c>
      <c r="F1254" s="317" t="s">
        <v>701</v>
      </c>
      <c r="G1254" s="204">
        <v>1</v>
      </c>
      <c r="I1254" s="145" t="s">
        <v>1039</v>
      </c>
      <c r="J1254" s="172">
        <f t="shared" si="35"/>
        <v>485</v>
      </c>
      <c r="K1254" s="171">
        <f t="shared" si="36"/>
        <v>485</v>
      </c>
    </row>
    <row r="1255" spans="1:11" x14ac:dyDescent="0.2">
      <c r="A1255" s="191"/>
      <c r="G1255" s="204"/>
      <c r="I1255" s="145" t="s">
        <v>1069</v>
      </c>
      <c r="J1255" s="172" t="str">
        <f t="shared" si="35"/>
        <v/>
      </c>
      <c r="K1255" s="171">
        <f t="shared" si="36"/>
        <v>486</v>
      </c>
    </row>
    <row r="1256" spans="1:11" x14ac:dyDescent="0.2">
      <c r="A1256" s="191"/>
      <c r="G1256" s="204"/>
      <c r="I1256" s="145" t="s">
        <v>1040</v>
      </c>
      <c r="J1256" s="172" t="str">
        <f t="shared" si="35"/>
        <v/>
      </c>
      <c r="K1256" s="171">
        <f t="shared" si="36"/>
        <v>486</v>
      </c>
    </row>
    <row r="1257" spans="1:11" x14ac:dyDescent="0.2">
      <c r="A1257" s="191"/>
      <c r="G1257" s="204"/>
      <c r="I1257" s="145" t="s">
        <v>1041</v>
      </c>
      <c r="J1257" s="172" t="str">
        <f t="shared" si="35"/>
        <v/>
      </c>
      <c r="K1257" s="171">
        <f t="shared" si="36"/>
        <v>486</v>
      </c>
    </row>
    <row r="1258" spans="1:11" x14ac:dyDescent="0.2">
      <c r="A1258" s="191"/>
      <c r="G1258" s="204"/>
      <c r="I1258" s="145" t="s">
        <v>1070</v>
      </c>
      <c r="J1258" s="172" t="str">
        <f t="shared" si="35"/>
        <v/>
      </c>
      <c r="K1258" s="171">
        <f t="shared" si="36"/>
        <v>486</v>
      </c>
    </row>
    <row r="1259" spans="1:11" x14ac:dyDescent="0.2">
      <c r="A1259" s="191"/>
      <c r="G1259" s="204"/>
      <c r="I1259" s="145" t="s">
        <v>1071</v>
      </c>
      <c r="J1259" s="172" t="str">
        <f t="shared" si="35"/>
        <v/>
      </c>
      <c r="K1259" s="171">
        <f t="shared" si="36"/>
        <v>486</v>
      </c>
    </row>
    <row r="1260" spans="1:11" x14ac:dyDescent="0.2">
      <c r="A1260" s="191"/>
      <c r="G1260" s="204"/>
      <c r="I1260" s="145"/>
      <c r="J1260" s="172" t="str">
        <f t="shared" si="35"/>
        <v/>
      </c>
      <c r="K1260" s="171">
        <f t="shared" si="36"/>
        <v>486</v>
      </c>
    </row>
    <row r="1261" spans="1:11" ht="30" x14ac:dyDescent="0.2">
      <c r="A1261" s="191">
        <v>34</v>
      </c>
      <c r="B1261" s="121" t="s">
        <v>1072</v>
      </c>
      <c r="F1261" s="317" t="s">
        <v>772</v>
      </c>
      <c r="G1261" s="204">
        <v>40</v>
      </c>
      <c r="I1261" s="145" t="s">
        <v>1073</v>
      </c>
      <c r="J1261" s="172">
        <f t="shared" si="35"/>
        <v>486</v>
      </c>
      <c r="K1261" s="171">
        <f t="shared" si="36"/>
        <v>486</v>
      </c>
    </row>
    <row r="1262" spans="1:11" x14ac:dyDescent="0.2">
      <c r="A1262" s="191"/>
      <c r="G1262" s="204"/>
      <c r="I1262" s="145" t="s">
        <v>894</v>
      </c>
      <c r="J1262" s="172" t="str">
        <f t="shared" si="35"/>
        <v/>
      </c>
      <c r="K1262" s="171">
        <f t="shared" si="36"/>
        <v>526</v>
      </c>
    </row>
    <row r="1263" spans="1:11" x14ac:dyDescent="0.2">
      <c r="A1263" s="191"/>
      <c r="G1263" s="204"/>
      <c r="I1263" s="145"/>
      <c r="J1263" s="172" t="str">
        <f t="shared" si="35"/>
        <v/>
      </c>
      <c r="K1263" s="171">
        <f t="shared" si="36"/>
        <v>526</v>
      </c>
    </row>
    <row r="1264" spans="1:11" ht="30" x14ac:dyDescent="0.2">
      <c r="A1264" s="191">
        <v>35</v>
      </c>
      <c r="B1264" s="121" t="s">
        <v>1074</v>
      </c>
      <c r="F1264" s="317" t="s">
        <v>772</v>
      </c>
      <c r="G1264" s="204">
        <v>40</v>
      </c>
      <c r="I1264" s="145" t="s">
        <v>1073</v>
      </c>
      <c r="J1264" s="172">
        <f t="shared" si="35"/>
        <v>526</v>
      </c>
      <c r="K1264" s="171">
        <f t="shared" si="36"/>
        <v>526</v>
      </c>
    </row>
    <row r="1265" spans="1:13" x14ac:dyDescent="0.2">
      <c r="A1265" s="191"/>
      <c r="G1265" s="204"/>
      <c r="I1265" s="145" t="s">
        <v>894</v>
      </c>
      <c r="J1265" s="172" t="str">
        <f t="shared" si="35"/>
        <v/>
      </c>
      <c r="K1265" s="171">
        <f t="shared" si="36"/>
        <v>566</v>
      </c>
    </row>
    <row r="1266" spans="1:13" x14ac:dyDescent="0.2">
      <c r="A1266" s="191"/>
      <c r="G1266" s="204"/>
      <c r="I1266" s="145"/>
      <c r="J1266" s="172" t="str">
        <f t="shared" si="35"/>
        <v/>
      </c>
      <c r="K1266" s="171">
        <f t="shared" si="36"/>
        <v>566</v>
      </c>
    </row>
    <row r="1267" spans="1:13" x14ac:dyDescent="0.2">
      <c r="A1267" s="191">
        <v>36</v>
      </c>
      <c r="B1267" s="109" t="s">
        <v>1075</v>
      </c>
      <c r="F1267" s="317" t="s">
        <v>772</v>
      </c>
      <c r="G1267" s="204">
        <v>3</v>
      </c>
      <c r="I1267" s="145" t="s">
        <v>1076</v>
      </c>
      <c r="J1267" s="172">
        <f t="shared" si="35"/>
        <v>566</v>
      </c>
      <c r="K1267" s="171">
        <f t="shared" si="36"/>
        <v>566</v>
      </c>
    </row>
    <row r="1268" spans="1:13" x14ac:dyDescent="0.2">
      <c r="A1268" s="191"/>
      <c r="G1268" s="204"/>
      <c r="I1268" s="145" t="s">
        <v>894</v>
      </c>
      <c r="J1268" s="172" t="str">
        <f t="shared" si="35"/>
        <v/>
      </c>
      <c r="K1268" s="171">
        <f t="shared" si="36"/>
        <v>569</v>
      </c>
    </row>
    <row r="1269" spans="1:13" x14ac:dyDescent="0.2">
      <c r="A1269" s="191"/>
      <c r="G1269" s="204"/>
      <c r="I1269" s="145"/>
      <c r="J1269" s="172" t="str">
        <f t="shared" si="35"/>
        <v/>
      </c>
      <c r="K1269" s="171">
        <f t="shared" si="36"/>
        <v>569</v>
      </c>
    </row>
    <row r="1270" spans="1:13" s="125" customFormat="1" x14ac:dyDescent="0.2">
      <c r="A1270" s="109">
        <v>37</v>
      </c>
      <c r="B1270" s="109" t="s">
        <v>1077</v>
      </c>
      <c r="C1270" s="109"/>
      <c r="D1270" s="317"/>
      <c r="E1270" s="110"/>
      <c r="F1270" s="317" t="s">
        <v>701</v>
      </c>
      <c r="G1270" s="110">
        <v>1</v>
      </c>
      <c r="H1270" s="109"/>
      <c r="I1270" s="111" t="s">
        <v>1078</v>
      </c>
      <c r="J1270" s="172">
        <f t="shared" si="35"/>
        <v>569</v>
      </c>
      <c r="K1270" s="171">
        <f t="shared" si="36"/>
        <v>569</v>
      </c>
      <c r="L1270" s="109"/>
      <c r="M1270" s="109"/>
    </row>
    <row r="1271" spans="1:13" s="125" customFormat="1" x14ac:dyDescent="0.2">
      <c r="A1271" s="109"/>
      <c r="B1271" s="109"/>
      <c r="C1271" s="109"/>
      <c r="D1271" s="317"/>
      <c r="E1271" s="110"/>
      <c r="F1271" s="317"/>
      <c r="G1271" s="110"/>
      <c r="H1271" s="109"/>
      <c r="I1271" s="111" t="s">
        <v>1079</v>
      </c>
      <c r="J1271" s="172" t="str">
        <f t="shared" si="35"/>
        <v/>
      </c>
      <c r="K1271" s="171">
        <f t="shared" si="36"/>
        <v>570</v>
      </c>
      <c r="L1271" s="109"/>
      <c r="M1271" s="109"/>
    </row>
    <row r="1272" spans="1:13" s="125" customFormat="1" x14ac:dyDescent="0.2">
      <c r="A1272" s="109"/>
      <c r="B1272" s="109"/>
      <c r="C1272" s="109"/>
      <c r="D1272" s="317"/>
      <c r="E1272" s="110"/>
      <c r="F1272" s="317"/>
      <c r="G1272" s="110"/>
      <c r="H1272" s="109"/>
      <c r="I1272" s="111" t="s">
        <v>1080</v>
      </c>
      <c r="J1272" s="172" t="str">
        <f t="shared" si="35"/>
        <v/>
      </c>
      <c r="K1272" s="171">
        <f t="shared" si="36"/>
        <v>570</v>
      </c>
      <c r="L1272" s="109"/>
      <c r="M1272" s="109"/>
    </row>
    <row r="1273" spans="1:13" s="125" customFormat="1" x14ac:dyDescent="0.2">
      <c r="A1273" s="109"/>
      <c r="B1273" s="109"/>
      <c r="C1273" s="109"/>
      <c r="D1273" s="317"/>
      <c r="E1273" s="110"/>
      <c r="F1273" s="317"/>
      <c r="G1273" s="110"/>
      <c r="H1273" s="109"/>
      <c r="I1273" s="111" t="s">
        <v>1081</v>
      </c>
      <c r="J1273" s="172" t="str">
        <f t="shared" si="35"/>
        <v/>
      </c>
      <c r="K1273" s="171">
        <f t="shared" si="36"/>
        <v>570</v>
      </c>
      <c r="L1273" s="109"/>
      <c r="M1273" s="109"/>
    </row>
    <row r="1274" spans="1:13" s="125" customFormat="1" x14ac:dyDescent="0.2">
      <c r="A1274" s="109"/>
      <c r="B1274" s="109"/>
      <c r="C1274" s="109"/>
      <c r="D1274" s="317"/>
      <c r="E1274" s="110"/>
      <c r="F1274" s="317"/>
      <c r="G1274" s="110"/>
      <c r="H1274" s="109"/>
      <c r="I1274" s="111" t="s">
        <v>1082</v>
      </c>
      <c r="J1274" s="172" t="str">
        <f t="shared" si="35"/>
        <v/>
      </c>
      <c r="K1274" s="171">
        <f t="shared" si="36"/>
        <v>570</v>
      </c>
      <c r="L1274" s="109"/>
      <c r="M1274" s="109"/>
    </row>
    <row r="1275" spans="1:13" s="125" customFormat="1" x14ac:dyDescent="0.2">
      <c r="A1275" s="109"/>
      <c r="B1275" s="109"/>
      <c r="C1275" s="109"/>
      <c r="D1275" s="317"/>
      <c r="E1275" s="110"/>
      <c r="F1275" s="317"/>
      <c r="G1275" s="110"/>
      <c r="H1275" s="109"/>
      <c r="I1275" s="111" t="s">
        <v>1083</v>
      </c>
      <c r="J1275" s="172" t="str">
        <f t="shared" si="35"/>
        <v/>
      </c>
      <c r="K1275" s="171">
        <f t="shared" si="36"/>
        <v>570</v>
      </c>
      <c r="L1275" s="109"/>
      <c r="M1275" s="109"/>
    </row>
    <row r="1276" spans="1:13" s="125" customFormat="1" x14ac:dyDescent="0.2">
      <c r="A1276" s="214"/>
      <c r="D1276" s="318"/>
      <c r="E1276" s="126"/>
      <c r="F1276" s="318"/>
      <c r="G1276" s="215"/>
      <c r="I1276" s="216"/>
      <c r="J1276" s="172" t="str">
        <f t="shared" si="35"/>
        <v/>
      </c>
      <c r="K1276" s="171">
        <f t="shared" si="36"/>
        <v>570</v>
      </c>
      <c r="L1276" s="109"/>
      <c r="M1276" s="109"/>
    </row>
    <row r="1277" spans="1:13" s="125" customFormat="1" x14ac:dyDescent="0.2">
      <c r="A1277" s="109">
        <v>38</v>
      </c>
      <c r="B1277" s="109" t="s">
        <v>1084</v>
      </c>
      <c r="C1277" s="109"/>
      <c r="D1277" s="317"/>
      <c r="E1277" s="110"/>
      <c r="F1277" s="317" t="s">
        <v>701</v>
      </c>
      <c r="G1277" s="110">
        <v>12</v>
      </c>
      <c r="H1277" s="109"/>
      <c r="I1277" s="111" t="s">
        <v>1085</v>
      </c>
      <c r="J1277" s="172">
        <f t="shared" si="35"/>
        <v>570</v>
      </c>
      <c r="K1277" s="171">
        <f t="shared" si="36"/>
        <v>570</v>
      </c>
      <c r="L1277" s="109"/>
      <c r="M1277" s="109"/>
    </row>
    <row r="1278" spans="1:13" s="125" customFormat="1" x14ac:dyDescent="0.2">
      <c r="A1278" s="109"/>
      <c r="B1278" s="109"/>
      <c r="C1278" s="109"/>
      <c r="D1278" s="317"/>
      <c r="E1278" s="110"/>
      <c r="F1278" s="317"/>
      <c r="G1278" s="110"/>
      <c r="H1278" s="109"/>
      <c r="I1278" s="111"/>
      <c r="J1278" s="172" t="str">
        <f t="shared" si="35"/>
        <v/>
      </c>
      <c r="K1278" s="171">
        <f t="shared" si="36"/>
        <v>582</v>
      </c>
      <c r="L1278" s="109"/>
      <c r="M1278" s="109"/>
    </row>
    <row r="1279" spans="1:13" s="125" customFormat="1" x14ac:dyDescent="0.2">
      <c r="A1279" s="109">
        <v>39</v>
      </c>
      <c r="B1279" s="109" t="s">
        <v>1086</v>
      </c>
      <c r="C1279" s="109"/>
      <c r="D1279" s="317"/>
      <c r="E1279" s="110"/>
      <c r="F1279" s="317" t="s">
        <v>701</v>
      </c>
      <c r="G1279" s="110">
        <v>10</v>
      </c>
      <c r="H1279" s="109"/>
      <c r="I1279" s="111" t="s">
        <v>1087</v>
      </c>
      <c r="J1279" s="172">
        <f t="shared" si="35"/>
        <v>582</v>
      </c>
      <c r="K1279" s="171">
        <f t="shared" si="36"/>
        <v>582</v>
      </c>
      <c r="L1279" s="109"/>
      <c r="M1279" s="109"/>
    </row>
    <row r="1280" spans="1:13" s="125" customFormat="1" x14ac:dyDescent="0.2">
      <c r="A1280" s="109"/>
      <c r="B1280" s="109"/>
      <c r="C1280" s="109"/>
      <c r="D1280" s="317"/>
      <c r="E1280" s="110"/>
      <c r="F1280" s="317"/>
      <c r="G1280" s="110"/>
      <c r="H1280" s="109"/>
      <c r="I1280" s="111" t="s">
        <v>1</v>
      </c>
      <c r="J1280" s="172" t="str">
        <f t="shared" si="35"/>
        <v/>
      </c>
      <c r="K1280" s="171">
        <f t="shared" si="36"/>
        <v>592</v>
      </c>
      <c r="L1280" s="109"/>
      <c r="M1280" s="109"/>
    </row>
    <row r="1281" spans="1:13" s="125" customFormat="1" x14ac:dyDescent="0.2">
      <c r="A1281" s="109">
        <v>40</v>
      </c>
      <c r="B1281" s="109" t="s">
        <v>1088</v>
      </c>
      <c r="C1281" s="109"/>
      <c r="D1281" s="317"/>
      <c r="E1281" s="110"/>
      <c r="F1281" s="317" t="s">
        <v>701</v>
      </c>
      <c r="G1281" s="110">
        <v>1</v>
      </c>
      <c r="H1281" s="109"/>
      <c r="I1281" s="111" t="s">
        <v>1089</v>
      </c>
      <c r="J1281" s="172">
        <f t="shared" si="35"/>
        <v>592</v>
      </c>
      <c r="K1281" s="171">
        <f t="shared" si="36"/>
        <v>592</v>
      </c>
      <c r="L1281" s="109"/>
      <c r="M1281" s="109"/>
    </row>
    <row r="1282" spans="1:13" s="125" customFormat="1" x14ac:dyDescent="0.2">
      <c r="A1282" s="109"/>
      <c r="B1282" s="109"/>
      <c r="C1282" s="109"/>
      <c r="D1282" s="317"/>
      <c r="E1282" s="110"/>
      <c r="F1282" s="317"/>
      <c r="G1282" s="110"/>
      <c r="H1282" s="109"/>
      <c r="I1282" s="111" t="s">
        <v>1079</v>
      </c>
      <c r="J1282" s="172" t="str">
        <f t="shared" si="35"/>
        <v/>
      </c>
      <c r="K1282" s="171">
        <f t="shared" si="36"/>
        <v>593</v>
      </c>
      <c r="L1282" s="109"/>
      <c r="M1282" s="109"/>
    </row>
    <row r="1283" spans="1:13" s="125" customFormat="1" x14ac:dyDescent="0.2">
      <c r="A1283" s="109"/>
      <c r="B1283" s="109"/>
      <c r="C1283" s="109"/>
      <c r="D1283" s="317"/>
      <c r="E1283" s="110"/>
      <c r="F1283" s="317"/>
      <c r="G1283" s="110"/>
      <c r="H1283" s="109"/>
      <c r="I1283" s="111" t="s">
        <v>1080</v>
      </c>
      <c r="J1283" s="172" t="str">
        <f t="shared" ref="J1283:J1346" si="37">IF(A1283=1, 4,IF(G1283="", "",+K1283))</f>
        <v/>
      </c>
      <c r="K1283" s="171">
        <f t="shared" si="36"/>
        <v>593</v>
      </c>
      <c r="L1283" s="109"/>
      <c r="M1283" s="109"/>
    </row>
    <row r="1284" spans="1:13" s="125" customFormat="1" x14ac:dyDescent="0.2">
      <c r="A1284" s="109"/>
      <c r="B1284" s="109"/>
      <c r="C1284" s="109"/>
      <c r="D1284" s="317"/>
      <c r="E1284" s="110"/>
      <c r="F1284" s="317"/>
      <c r="G1284" s="110"/>
      <c r="H1284" s="109"/>
      <c r="I1284" s="111" t="s">
        <v>1081</v>
      </c>
      <c r="J1284" s="172" t="str">
        <f t="shared" si="37"/>
        <v/>
      </c>
      <c r="K1284" s="171">
        <f t="shared" si="36"/>
        <v>593</v>
      </c>
      <c r="L1284" s="109"/>
      <c r="M1284" s="109"/>
    </row>
    <row r="1285" spans="1:13" s="125" customFormat="1" x14ac:dyDescent="0.2">
      <c r="A1285" s="109"/>
      <c r="B1285" s="109"/>
      <c r="C1285" s="109"/>
      <c r="D1285" s="317"/>
      <c r="E1285" s="110"/>
      <c r="F1285" s="317"/>
      <c r="G1285" s="110"/>
      <c r="H1285" s="109"/>
      <c r="I1285" s="111" t="s">
        <v>1082</v>
      </c>
      <c r="J1285" s="172" t="str">
        <f t="shared" si="37"/>
        <v/>
      </c>
      <c r="K1285" s="171">
        <f t="shared" si="36"/>
        <v>593</v>
      </c>
      <c r="L1285" s="109"/>
      <c r="M1285" s="109"/>
    </row>
    <row r="1286" spans="1:13" s="125" customFormat="1" x14ac:dyDescent="0.2">
      <c r="A1286" s="109"/>
      <c r="B1286" s="109"/>
      <c r="C1286" s="109"/>
      <c r="D1286" s="317"/>
      <c r="E1286" s="110"/>
      <c r="F1286" s="317"/>
      <c r="G1286" s="110"/>
      <c r="H1286" s="109"/>
      <c r="I1286" s="111" t="s">
        <v>1083</v>
      </c>
      <c r="J1286" s="172" t="str">
        <f t="shared" si="37"/>
        <v/>
      </c>
      <c r="K1286" s="171">
        <f t="shared" si="36"/>
        <v>593</v>
      </c>
      <c r="L1286" s="109"/>
      <c r="M1286" s="109"/>
    </row>
    <row r="1287" spans="1:13" s="125" customFormat="1" x14ac:dyDescent="0.2">
      <c r="A1287" s="109"/>
      <c r="B1287" s="109"/>
      <c r="C1287" s="109"/>
      <c r="D1287" s="317"/>
      <c r="E1287" s="110"/>
      <c r="F1287" s="317"/>
      <c r="G1287" s="110"/>
      <c r="H1287" s="109"/>
      <c r="I1287" s="111"/>
      <c r="J1287" s="172" t="str">
        <f t="shared" si="37"/>
        <v/>
      </c>
      <c r="K1287" s="171">
        <f t="shared" si="36"/>
        <v>593</v>
      </c>
      <c r="L1287" s="109"/>
      <c r="M1287" s="109"/>
    </row>
    <row r="1288" spans="1:13" s="125" customFormat="1" x14ac:dyDescent="0.2">
      <c r="A1288" s="109">
        <v>41</v>
      </c>
      <c r="B1288" s="109" t="s">
        <v>1090</v>
      </c>
      <c r="C1288" s="109"/>
      <c r="D1288" s="317"/>
      <c r="E1288" s="110"/>
      <c r="F1288" s="317" t="s">
        <v>701</v>
      </c>
      <c r="G1288" s="110">
        <v>12</v>
      </c>
      <c r="H1288" s="109"/>
      <c r="I1288" s="111" t="s">
        <v>1091</v>
      </c>
      <c r="J1288" s="172">
        <f t="shared" si="37"/>
        <v>593</v>
      </c>
      <c r="K1288" s="171">
        <f t="shared" si="36"/>
        <v>593</v>
      </c>
      <c r="L1288" s="109"/>
      <c r="M1288" s="109"/>
    </row>
    <row r="1289" spans="1:13" s="125" customFormat="1" x14ac:dyDescent="0.2">
      <c r="A1289" s="109"/>
      <c r="B1289" s="109"/>
      <c r="C1289" s="109"/>
      <c r="D1289" s="317"/>
      <c r="E1289" s="110"/>
      <c r="F1289" s="317"/>
      <c r="G1289" s="110"/>
      <c r="H1289" s="109"/>
      <c r="I1289" s="111"/>
      <c r="J1289" s="172" t="str">
        <f t="shared" si="37"/>
        <v/>
      </c>
      <c r="K1289" s="171">
        <f t="shared" si="36"/>
        <v>605</v>
      </c>
      <c r="L1289" s="109"/>
      <c r="M1289" s="109"/>
    </row>
    <row r="1290" spans="1:13" s="125" customFormat="1" x14ac:dyDescent="0.2">
      <c r="A1290" s="109">
        <v>42</v>
      </c>
      <c r="B1290" s="109" t="s">
        <v>1092</v>
      </c>
      <c r="C1290" s="109"/>
      <c r="D1290" s="317"/>
      <c r="E1290" s="110"/>
      <c r="F1290" s="317" t="s">
        <v>701</v>
      </c>
      <c r="G1290" s="110">
        <v>10</v>
      </c>
      <c r="H1290" s="109"/>
      <c r="I1290" s="111" t="s">
        <v>1093</v>
      </c>
      <c r="J1290" s="172">
        <f t="shared" si="37"/>
        <v>605</v>
      </c>
      <c r="K1290" s="171">
        <f t="shared" si="36"/>
        <v>605</v>
      </c>
      <c r="L1290" s="109"/>
      <c r="M1290" s="109"/>
    </row>
    <row r="1291" spans="1:13" s="125" customFormat="1" x14ac:dyDescent="0.2">
      <c r="A1291" s="109"/>
      <c r="B1291" s="109"/>
      <c r="C1291" s="109"/>
      <c r="D1291" s="317"/>
      <c r="E1291" s="110"/>
      <c r="F1291" s="317"/>
      <c r="G1291" s="110"/>
      <c r="H1291" s="109"/>
      <c r="I1291" s="111" t="s">
        <v>1</v>
      </c>
      <c r="J1291" s="172" t="str">
        <f t="shared" si="37"/>
        <v/>
      </c>
      <c r="K1291" s="171">
        <f t="shared" si="36"/>
        <v>615</v>
      </c>
      <c r="L1291" s="109"/>
      <c r="M1291" s="109"/>
    </row>
    <row r="1292" spans="1:13" ht="15.75" thickBot="1" x14ac:dyDescent="0.25">
      <c r="A1292" s="191">
        <v>43</v>
      </c>
      <c r="B1292" s="121" t="s">
        <v>782</v>
      </c>
      <c r="F1292" s="317" t="s">
        <v>772</v>
      </c>
      <c r="G1292" s="204">
        <f>D1139-J1290-G1290+1</f>
        <v>236</v>
      </c>
      <c r="H1292" s="191" t="s">
        <v>1</v>
      </c>
      <c r="I1292" s="145" t="s">
        <v>965</v>
      </c>
      <c r="J1292" s="172">
        <f t="shared" si="37"/>
        <v>615</v>
      </c>
      <c r="K1292" s="171">
        <f t="shared" si="36"/>
        <v>615</v>
      </c>
    </row>
    <row r="1293" spans="1:13" ht="16.5" thickTop="1" thickBot="1" x14ac:dyDescent="0.25">
      <c r="A1293" s="191"/>
      <c r="B1293" s="206" t="s">
        <v>755</v>
      </c>
      <c r="C1293" s="139"/>
      <c r="D1293" s="323" t="s">
        <v>977</v>
      </c>
      <c r="E1293" s="118"/>
      <c r="F1293" s="321"/>
      <c r="G1293" s="193"/>
      <c r="H1293" s="117"/>
      <c r="I1293" s="152"/>
      <c r="J1293" s="172" t="str">
        <f t="shared" si="37"/>
        <v/>
      </c>
      <c r="K1293" s="171"/>
    </row>
    <row r="1294" spans="1:13" ht="15.75" thickTop="1" x14ac:dyDescent="0.2">
      <c r="A1294" s="191"/>
      <c r="B1294" s="138"/>
      <c r="D1294" s="321"/>
      <c r="E1294" s="118"/>
      <c r="F1294" s="321"/>
      <c r="G1294" s="193"/>
      <c r="H1294" s="117"/>
      <c r="J1294" s="172" t="str">
        <f t="shared" si="37"/>
        <v/>
      </c>
      <c r="K1294" s="171"/>
    </row>
    <row r="1295" spans="1:13" x14ac:dyDescent="0.2">
      <c r="A1295" s="207" t="s">
        <v>1</v>
      </c>
      <c r="B1295" s="208" t="s">
        <v>912</v>
      </c>
      <c r="C1295" s="209"/>
      <c r="D1295" s="334" t="s">
        <v>1043</v>
      </c>
      <c r="E1295" s="210"/>
      <c r="F1295" s="334"/>
      <c r="G1295" s="207"/>
      <c r="H1295" s="209"/>
      <c r="I1295" s="211"/>
      <c r="J1295" s="172" t="str">
        <f t="shared" si="37"/>
        <v/>
      </c>
      <c r="K1295" s="171"/>
    </row>
    <row r="1296" spans="1:13" x14ac:dyDescent="0.2">
      <c r="A1296" s="212"/>
      <c r="B1296" s="208" t="s">
        <v>757</v>
      </c>
      <c r="C1296" s="129"/>
      <c r="D1296" s="335">
        <f>+G12</f>
        <v>850</v>
      </c>
      <c r="E1296" s="210" t="s">
        <v>758</v>
      </c>
      <c r="F1296" s="334"/>
      <c r="G1296" s="207"/>
      <c r="H1296" s="209"/>
      <c r="I1296" s="213"/>
      <c r="J1296" s="172" t="str">
        <f t="shared" si="37"/>
        <v/>
      </c>
      <c r="K1296" s="171"/>
    </row>
    <row r="1297" spans="1:11" x14ac:dyDescent="0.2">
      <c r="A1297" s="212"/>
      <c r="B1297" s="209"/>
      <c r="C1297" s="209"/>
      <c r="D1297" s="334"/>
      <c r="E1297" s="210"/>
      <c r="F1297" s="334"/>
      <c r="G1297" s="207"/>
      <c r="H1297" s="209"/>
      <c r="I1297" s="213"/>
      <c r="J1297" s="172" t="str">
        <f t="shared" si="37"/>
        <v/>
      </c>
      <c r="K1297" s="171"/>
    </row>
    <row r="1298" spans="1:11" s="108" customFormat="1" x14ac:dyDescent="0.2">
      <c r="A1298" s="201" t="s">
        <v>759</v>
      </c>
      <c r="B1298" s="166" t="s">
        <v>712</v>
      </c>
      <c r="C1298" s="167"/>
      <c r="D1298" s="327" t="s">
        <v>713</v>
      </c>
      <c r="E1298" s="168"/>
      <c r="F1298" s="327" t="s">
        <v>760</v>
      </c>
      <c r="G1298" s="156" t="s">
        <v>715</v>
      </c>
      <c r="H1298" s="167"/>
      <c r="I1298" s="169" t="s">
        <v>716</v>
      </c>
      <c r="J1298" s="172">
        <f t="shared" si="37"/>
        <v>0</v>
      </c>
      <c r="K1298" s="171"/>
    </row>
    <row r="1299" spans="1:11" x14ac:dyDescent="0.2">
      <c r="A1299" s="202" t="s">
        <v>1</v>
      </c>
      <c r="B1299" s="117"/>
      <c r="C1299" s="117"/>
      <c r="D1299" s="321"/>
      <c r="E1299" s="118"/>
      <c r="F1299" s="321"/>
      <c r="G1299" s="193"/>
      <c r="H1299" s="117"/>
      <c r="I1299" s="144"/>
      <c r="J1299" s="172" t="str">
        <f t="shared" si="37"/>
        <v/>
      </c>
      <c r="K1299" s="171"/>
    </row>
    <row r="1300" spans="1:11" x14ac:dyDescent="0.2">
      <c r="A1300" s="203" t="s">
        <v>1</v>
      </c>
      <c r="B1300" s="121" t="s">
        <v>762</v>
      </c>
      <c r="G1300" s="204"/>
      <c r="J1300" s="172" t="str">
        <f t="shared" si="37"/>
        <v/>
      </c>
      <c r="K1300" s="171"/>
    </row>
    <row r="1301" spans="1:11" x14ac:dyDescent="0.2">
      <c r="A1301" s="191">
        <v>1</v>
      </c>
      <c r="B1301" s="121" t="s">
        <v>763</v>
      </c>
      <c r="D1301" s="317" t="s">
        <v>1044</v>
      </c>
      <c r="F1301" s="317" t="s">
        <v>701</v>
      </c>
      <c r="G1301" s="204">
        <v>4</v>
      </c>
      <c r="I1301" s="145" t="s">
        <v>765</v>
      </c>
      <c r="J1301" s="172">
        <f t="shared" si="37"/>
        <v>4</v>
      </c>
      <c r="K1301" s="171">
        <f t="shared" si="36"/>
        <v>1</v>
      </c>
    </row>
    <row r="1302" spans="1:11" x14ac:dyDescent="0.2">
      <c r="A1302" s="191"/>
      <c r="G1302" s="204"/>
      <c r="J1302" s="172" t="str">
        <f t="shared" si="37"/>
        <v/>
      </c>
      <c r="K1302" s="171">
        <f t="shared" si="36"/>
        <v>5</v>
      </c>
    </row>
    <row r="1303" spans="1:11" x14ac:dyDescent="0.2">
      <c r="A1303" s="191">
        <v>2</v>
      </c>
      <c r="B1303" s="121" t="s">
        <v>766</v>
      </c>
      <c r="D1303" s="317" t="s">
        <v>767</v>
      </c>
      <c r="F1303" s="317" t="s">
        <v>701</v>
      </c>
      <c r="G1303" s="204">
        <v>1</v>
      </c>
      <c r="I1303" s="145" t="s">
        <v>768</v>
      </c>
      <c r="J1303" s="172">
        <f t="shared" si="37"/>
        <v>5</v>
      </c>
      <c r="K1303" s="171">
        <f t="shared" si="36"/>
        <v>5</v>
      </c>
    </row>
    <row r="1304" spans="1:11" x14ac:dyDescent="0.2">
      <c r="A1304" s="191"/>
      <c r="G1304" s="204"/>
      <c r="J1304" s="172" t="str">
        <f t="shared" si="37"/>
        <v/>
      </c>
      <c r="K1304" s="171">
        <f t="shared" si="36"/>
        <v>6</v>
      </c>
    </row>
    <row r="1305" spans="1:11" x14ac:dyDescent="0.2">
      <c r="A1305" s="191">
        <v>3</v>
      </c>
      <c r="B1305" s="121" t="s">
        <v>769</v>
      </c>
      <c r="D1305" s="317" t="s">
        <v>770</v>
      </c>
      <c r="F1305" s="317" t="s">
        <v>701</v>
      </c>
      <c r="G1305" s="204">
        <v>4</v>
      </c>
      <c r="I1305" s="145" t="s">
        <v>768</v>
      </c>
      <c r="J1305" s="172">
        <f t="shared" si="37"/>
        <v>6</v>
      </c>
      <c r="K1305" s="171">
        <f t="shared" si="36"/>
        <v>6</v>
      </c>
    </row>
    <row r="1306" spans="1:11" x14ac:dyDescent="0.2">
      <c r="A1306" s="191"/>
      <c r="G1306" s="204"/>
      <c r="J1306" s="172" t="str">
        <f t="shared" si="37"/>
        <v/>
      </c>
      <c r="K1306" s="171">
        <f t="shared" si="36"/>
        <v>10</v>
      </c>
    </row>
    <row r="1307" spans="1:11" x14ac:dyDescent="0.2">
      <c r="A1307" s="191">
        <v>4</v>
      </c>
      <c r="B1307" s="121" t="s">
        <v>771</v>
      </c>
      <c r="F1307" s="317" t="s">
        <v>772</v>
      </c>
      <c r="G1307" s="204">
        <v>1</v>
      </c>
      <c r="I1307" s="145" t="s">
        <v>773</v>
      </c>
      <c r="J1307" s="172">
        <f t="shared" si="37"/>
        <v>10</v>
      </c>
      <c r="K1307" s="171">
        <f t="shared" si="36"/>
        <v>10</v>
      </c>
    </row>
    <row r="1308" spans="1:11" x14ac:dyDescent="0.2">
      <c r="A1308" s="191"/>
      <c r="G1308" s="204"/>
      <c r="J1308" s="172" t="str">
        <f t="shared" si="37"/>
        <v/>
      </c>
      <c r="K1308" s="171">
        <f t="shared" si="36"/>
        <v>11</v>
      </c>
    </row>
    <row r="1309" spans="1:11" x14ac:dyDescent="0.2">
      <c r="A1309" s="191"/>
      <c r="B1309" s="173" t="s">
        <v>832</v>
      </c>
      <c r="G1309" s="204"/>
      <c r="J1309" s="172" t="str">
        <f t="shared" si="37"/>
        <v/>
      </c>
      <c r="K1309" s="171">
        <f t="shared" si="36"/>
        <v>11</v>
      </c>
    </row>
    <row r="1310" spans="1:11" x14ac:dyDescent="0.2">
      <c r="A1310" s="191"/>
      <c r="G1310" s="204"/>
      <c r="J1310" s="172" t="str">
        <f t="shared" si="37"/>
        <v/>
      </c>
      <c r="K1310" s="171">
        <f t="shared" ref="K1310:K1373" si="38">IF(A1310=1,1,+K1309+G1309)</f>
        <v>11</v>
      </c>
    </row>
    <row r="1311" spans="1:11" x14ac:dyDescent="0.2">
      <c r="A1311" s="109">
        <v>5</v>
      </c>
      <c r="B1311" s="109" t="s">
        <v>775</v>
      </c>
      <c r="F1311" s="317" t="s">
        <v>701</v>
      </c>
      <c r="G1311" s="110">
        <v>3</v>
      </c>
      <c r="I1311" s="111" t="s">
        <v>968</v>
      </c>
      <c r="J1311" s="172">
        <f t="shared" si="37"/>
        <v>11</v>
      </c>
      <c r="K1311" s="171">
        <f t="shared" si="38"/>
        <v>11</v>
      </c>
    </row>
    <row r="1312" spans="1:11" x14ac:dyDescent="0.2">
      <c r="I1312" s="145" t="s">
        <v>777</v>
      </c>
      <c r="J1312" s="172" t="str">
        <f t="shared" si="37"/>
        <v/>
      </c>
      <c r="K1312" s="171">
        <f t="shared" si="38"/>
        <v>14</v>
      </c>
    </row>
    <row r="1313" spans="1:11" x14ac:dyDescent="0.2">
      <c r="J1313" s="172" t="str">
        <f t="shared" si="37"/>
        <v/>
      </c>
      <c r="K1313" s="171">
        <f t="shared" si="38"/>
        <v>14</v>
      </c>
    </row>
    <row r="1314" spans="1:11" ht="30" x14ac:dyDescent="0.2">
      <c r="A1314" s="191">
        <v>6</v>
      </c>
      <c r="B1314" s="121" t="s">
        <v>1003</v>
      </c>
      <c r="F1314" s="317" t="s">
        <v>701</v>
      </c>
      <c r="G1314" s="204">
        <v>6</v>
      </c>
      <c r="I1314" s="145" t="s">
        <v>1004</v>
      </c>
      <c r="J1314" s="172">
        <f t="shared" si="37"/>
        <v>14</v>
      </c>
      <c r="K1314" s="171">
        <f t="shared" si="38"/>
        <v>14</v>
      </c>
    </row>
    <row r="1315" spans="1:11" ht="30" x14ac:dyDescent="0.2">
      <c r="A1315" s="191"/>
      <c r="B1315" s="121"/>
      <c r="G1315" s="204"/>
      <c r="I1315" s="145" t="s">
        <v>1045</v>
      </c>
      <c r="J1315" s="172" t="str">
        <f t="shared" si="37"/>
        <v/>
      </c>
      <c r="K1315" s="171">
        <f t="shared" si="38"/>
        <v>20</v>
      </c>
    </row>
    <row r="1316" spans="1:11" ht="30" x14ac:dyDescent="0.2">
      <c r="A1316" s="191"/>
      <c r="B1316" s="121"/>
      <c r="G1316" s="204"/>
      <c r="I1316" s="145" t="s">
        <v>1005</v>
      </c>
      <c r="J1316" s="172" t="str">
        <f t="shared" si="37"/>
        <v/>
      </c>
      <c r="K1316" s="171">
        <f t="shared" si="38"/>
        <v>20</v>
      </c>
    </row>
    <row r="1317" spans="1:11" x14ac:dyDescent="0.2">
      <c r="A1317" s="191"/>
      <c r="B1317" s="121"/>
      <c r="G1317" s="204"/>
      <c r="I1317" s="145" t="s">
        <v>1006</v>
      </c>
      <c r="J1317" s="172" t="str">
        <f t="shared" si="37"/>
        <v/>
      </c>
      <c r="K1317" s="171">
        <f t="shared" si="38"/>
        <v>20</v>
      </c>
    </row>
    <row r="1318" spans="1:11" x14ac:dyDescent="0.2">
      <c r="A1318" s="191"/>
      <c r="G1318" s="204"/>
      <c r="J1318" s="172" t="str">
        <f t="shared" si="37"/>
        <v/>
      </c>
      <c r="K1318" s="171">
        <f t="shared" si="38"/>
        <v>20</v>
      </c>
    </row>
    <row r="1319" spans="1:11" x14ac:dyDescent="0.2">
      <c r="A1319" s="191"/>
      <c r="B1319" s="173" t="s">
        <v>1046</v>
      </c>
      <c r="C1319" s="109" t="s">
        <v>85</v>
      </c>
      <c r="G1319" s="204"/>
      <c r="I1319" s="145"/>
      <c r="J1319" s="172" t="str">
        <f t="shared" si="37"/>
        <v/>
      </c>
      <c r="K1319" s="171">
        <f t="shared" si="38"/>
        <v>20</v>
      </c>
    </row>
    <row r="1320" spans="1:11" x14ac:dyDescent="0.2">
      <c r="A1320" s="191"/>
      <c r="G1320" s="204"/>
      <c r="I1320" s="145"/>
      <c r="J1320" s="172" t="str">
        <f t="shared" si="37"/>
        <v/>
      </c>
      <c r="K1320" s="171">
        <f t="shared" si="38"/>
        <v>20</v>
      </c>
    </row>
    <row r="1321" spans="1:11" x14ac:dyDescent="0.2">
      <c r="A1321" s="191">
        <v>7</v>
      </c>
      <c r="B1321" s="121" t="s">
        <v>64</v>
      </c>
      <c r="F1321" s="317" t="s">
        <v>772</v>
      </c>
      <c r="G1321" s="204">
        <v>30</v>
      </c>
      <c r="I1321" s="145" t="s">
        <v>1047</v>
      </c>
      <c r="J1321" s="172">
        <f t="shared" si="37"/>
        <v>20</v>
      </c>
      <c r="K1321" s="171">
        <f t="shared" si="38"/>
        <v>20</v>
      </c>
    </row>
    <row r="1322" spans="1:11" x14ac:dyDescent="0.2">
      <c r="A1322" s="191"/>
      <c r="G1322" s="204"/>
      <c r="I1322" s="145" t="s">
        <v>1048</v>
      </c>
      <c r="J1322" s="172" t="str">
        <f t="shared" si="37"/>
        <v/>
      </c>
      <c r="K1322" s="171">
        <f t="shared" si="38"/>
        <v>50</v>
      </c>
    </row>
    <row r="1323" spans="1:11" x14ac:dyDescent="0.2">
      <c r="A1323" s="191"/>
      <c r="G1323" s="204"/>
      <c r="J1323" s="172" t="str">
        <f t="shared" si="37"/>
        <v/>
      </c>
      <c r="K1323" s="171">
        <f t="shared" si="38"/>
        <v>50</v>
      </c>
    </row>
    <row r="1324" spans="1:11" x14ac:dyDescent="0.2">
      <c r="A1324" s="191">
        <v>8</v>
      </c>
      <c r="B1324" s="121" t="s">
        <v>65</v>
      </c>
      <c r="F1324" s="317" t="s">
        <v>772</v>
      </c>
      <c r="G1324" s="204">
        <v>30</v>
      </c>
      <c r="I1324" s="145" t="s">
        <v>1049</v>
      </c>
      <c r="J1324" s="172">
        <f t="shared" si="37"/>
        <v>50</v>
      </c>
      <c r="K1324" s="171">
        <f t="shared" si="38"/>
        <v>50</v>
      </c>
    </row>
    <row r="1325" spans="1:11" x14ac:dyDescent="0.2">
      <c r="A1325" s="191"/>
      <c r="B1325" s="121"/>
      <c r="G1325" s="204"/>
      <c r="I1325" s="145" t="s">
        <v>1048</v>
      </c>
      <c r="J1325" s="172" t="str">
        <f t="shared" si="37"/>
        <v/>
      </c>
      <c r="K1325" s="171">
        <f t="shared" si="38"/>
        <v>80</v>
      </c>
    </row>
    <row r="1326" spans="1:11" x14ac:dyDescent="0.2">
      <c r="A1326" s="191"/>
      <c r="B1326" s="121"/>
      <c r="G1326" s="204"/>
      <c r="I1326" s="145" t="s">
        <v>1</v>
      </c>
      <c r="J1326" s="172" t="str">
        <f t="shared" si="37"/>
        <v/>
      </c>
      <c r="K1326" s="171">
        <f t="shared" si="38"/>
        <v>80</v>
      </c>
    </row>
    <row r="1327" spans="1:11" ht="30" x14ac:dyDescent="0.2">
      <c r="A1327" s="191">
        <v>9</v>
      </c>
      <c r="B1327" s="121" t="s">
        <v>66</v>
      </c>
      <c r="F1327" s="317" t="s">
        <v>772</v>
      </c>
      <c r="G1327" s="204">
        <v>30</v>
      </c>
      <c r="I1327" s="145" t="s">
        <v>1050</v>
      </c>
      <c r="J1327" s="172">
        <f t="shared" si="37"/>
        <v>80</v>
      </c>
      <c r="K1327" s="171">
        <f t="shared" si="38"/>
        <v>80</v>
      </c>
    </row>
    <row r="1328" spans="1:11" x14ac:dyDescent="0.2">
      <c r="A1328" s="191"/>
      <c r="B1328" s="121"/>
      <c r="G1328" s="204"/>
      <c r="I1328" s="145" t="s">
        <v>894</v>
      </c>
      <c r="J1328" s="172" t="str">
        <f t="shared" si="37"/>
        <v/>
      </c>
      <c r="K1328" s="171">
        <f t="shared" si="38"/>
        <v>110</v>
      </c>
    </row>
    <row r="1329" spans="1:11" x14ac:dyDescent="0.2">
      <c r="A1329" s="191"/>
      <c r="G1329" s="204"/>
      <c r="J1329" s="172" t="str">
        <f t="shared" si="37"/>
        <v/>
      </c>
      <c r="K1329" s="171">
        <f t="shared" si="38"/>
        <v>110</v>
      </c>
    </row>
    <row r="1330" spans="1:11" x14ac:dyDescent="0.2">
      <c r="A1330" s="191">
        <v>10</v>
      </c>
      <c r="B1330" s="121" t="s">
        <v>67</v>
      </c>
      <c r="F1330" s="317" t="s">
        <v>772</v>
      </c>
      <c r="G1330" s="204">
        <v>30</v>
      </c>
      <c r="I1330" s="145" t="s">
        <v>1014</v>
      </c>
      <c r="J1330" s="172">
        <f t="shared" si="37"/>
        <v>110</v>
      </c>
      <c r="K1330" s="171">
        <f t="shared" si="38"/>
        <v>110</v>
      </c>
    </row>
    <row r="1331" spans="1:11" x14ac:dyDescent="0.2">
      <c r="A1331" s="191"/>
      <c r="G1331" s="204"/>
      <c r="I1331" s="145" t="s">
        <v>1048</v>
      </c>
      <c r="J1331" s="172" t="str">
        <f t="shared" si="37"/>
        <v/>
      </c>
      <c r="K1331" s="171">
        <f t="shared" si="38"/>
        <v>140</v>
      </c>
    </row>
    <row r="1332" spans="1:11" x14ac:dyDescent="0.2">
      <c r="A1332" s="191"/>
      <c r="G1332" s="204"/>
      <c r="J1332" s="172" t="str">
        <f t="shared" si="37"/>
        <v/>
      </c>
      <c r="K1332" s="171">
        <f t="shared" si="38"/>
        <v>140</v>
      </c>
    </row>
    <row r="1333" spans="1:11" x14ac:dyDescent="0.2">
      <c r="A1333" s="191">
        <v>11</v>
      </c>
      <c r="B1333" s="121" t="s">
        <v>68</v>
      </c>
      <c r="F1333" s="317" t="s">
        <v>772</v>
      </c>
      <c r="G1333" s="204">
        <v>30</v>
      </c>
      <c r="I1333" s="145" t="s">
        <v>1015</v>
      </c>
      <c r="J1333" s="172">
        <f t="shared" si="37"/>
        <v>140</v>
      </c>
      <c r="K1333" s="171">
        <f t="shared" si="38"/>
        <v>140</v>
      </c>
    </row>
    <row r="1334" spans="1:11" x14ac:dyDescent="0.2">
      <c r="A1334" s="191"/>
      <c r="G1334" s="204"/>
      <c r="I1334" s="145" t="s">
        <v>894</v>
      </c>
      <c r="J1334" s="172" t="str">
        <f t="shared" si="37"/>
        <v/>
      </c>
      <c r="K1334" s="171">
        <f t="shared" si="38"/>
        <v>170</v>
      </c>
    </row>
    <row r="1335" spans="1:11" x14ac:dyDescent="0.2">
      <c r="A1335" s="191"/>
      <c r="G1335" s="204"/>
      <c r="I1335" s="145"/>
      <c r="J1335" s="172" t="str">
        <f t="shared" si="37"/>
        <v/>
      </c>
      <c r="K1335" s="171">
        <f t="shared" si="38"/>
        <v>170</v>
      </c>
    </row>
    <row r="1336" spans="1:11" x14ac:dyDescent="0.2">
      <c r="A1336" s="191"/>
      <c r="B1336" s="173" t="s">
        <v>1051</v>
      </c>
      <c r="C1336" s="109" t="s">
        <v>85</v>
      </c>
      <c r="G1336" s="204"/>
      <c r="I1336" s="145"/>
      <c r="J1336" s="172" t="str">
        <f t="shared" si="37"/>
        <v/>
      </c>
      <c r="K1336" s="171">
        <f t="shared" si="38"/>
        <v>170</v>
      </c>
    </row>
    <row r="1337" spans="1:11" x14ac:dyDescent="0.2">
      <c r="A1337" s="191"/>
      <c r="G1337" s="204"/>
      <c r="I1337" s="145"/>
      <c r="J1337" s="172" t="str">
        <f t="shared" si="37"/>
        <v/>
      </c>
      <c r="K1337" s="171">
        <f t="shared" si="38"/>
        <v>170</v>
      </c>
    </row>
    <row r="1338" spans="1:11" x14ac:dyDescent="0.2">
      <c r="A1338" s="191">
        <v>12</v>
      </c>
      <c r="B1338" s="121" t="s">
        <v>86</v>
      </c>
      <c r="F1338" s="317" t="s">
        <v>772</v>
      </c>
      <c r="G1338" s="204">
        <v>1</v>
      </c>
      <c r="I1338" s="145" t="s">
        <v>1052</v>
      </c>
      <c r="J1338" s="172">
        <f t="shared" si="37"/>
        <v>170</v>
      </c>
      <c r="K1338" s="171">
        <f t="shared" si="38"/>
        <v>170</v>
      </c>
    </row>
    <row r="1339" spans="1:11" x14ac:dyDescent="0.2">
      <c r="A1339" s="191"/>
      <c r="G1339" s="204"/>
      <c r="I1339" s="145" t="s">
        <v>1053</v>
      </c>
      <c r="J1339" s="172" t="str">
        <f t="shared" si="37"/>
        <v/>
      </c>
      <c r="K1339" s="171">
        <f t="shared" si="38"/>
        <v>171</v>
      </c>
    </row>
    <row r="1340" spans="1:11" x14ac:dyDescent="0.2">
      <c r="A1340" s="191"/>
      <c r="G1340" s="204"/>
      <c r="I1340" s="145" t="s">
        <v>1054</v>
      </c>
      <c r="J1340" s="172" t="str">
        <f t="shared" si="37"/>
        <v/>
      </c>
      <c r="K1340" s="171">
        <f t="shared" si="38"/>
        <v>171</v>
      </c>
    </row>
    <row r="1341" spans="1:11" x14ac:dyDescent="0.2">
      <c r="A1341" s="191"/>
      <c r="G1341" s="204"/>
      <c r="I1341" s="145" t="s">
        <v>1055</v>
      </c>
      <c r="J1341" s="172" t="str">
        <f t="shared" si="37"/>
        <v/>
      </c>
      <c r="K1341" s="171">
        <f t="shared" si="38"/>
        <v>171</v>
      </c>
    </row>
    <row r="1342" spans="1:11" x14ac:dyDescent="0.2">
      <c r="A1342" s="191"/>
      <c r="G1342" s="204"/>
      <c r="J1342" s="172" t="str">
        <f t="shared" si="37"/>
        <v/>
      </c>
      <c r="K1342" s="171">
        <f t="shared" si="38"/>
        <v>171</v>
      </c>
    </row>
    <row r="1343" spans="1:11" x14ac:dyDescent="0.2">
      <c r="A1343" s="191">
        <v>13</v>
      </c>
      <c r="B1343" s="121" t="s">
        <v>69</v>
      </c>
      <c r="F1343" s="317" t="s">
        <v>772</v>
      </c>
      <c r="G1343" s="204">
        <v>1</v>
      </c>
      <c r="I1343" s="145" t="s">
        <v>1056</v>
      </c>
      <c r="J1343" s="172">
        <f t="shared" si="37"/>
        <v>171</v>
      </c>
      <c r="K1343" s="171">
        <f t="shared" si="38"/>
        <v>171</v>
      </c>
    </row>
    <row r="1344" spans="1:11" x14ac:dyDescent="0.2">
      <c r="A1344" s="191"/>
      <c r="B1344" s="121"/>
      <c r="G1344" s="204"/>
      <c r="I1344" s="145" t="s">
        <v>1053</v>
      </c>
      <c r="J1344" s="172" t="str">
        <f t="shared" si="37"/>
        <v/>
      </c>
      <c r="K1344" s="171">
        <f t="shared" si="38"/>
        <v>172</v>
      </c>
    </row>
    <row r="1345" spans="1:11" x14ac:dyDescent="0.2">
      <c r="A1345" s="191"/>
      <c r="B1345" s="121"/>
      <c r="G1345" s="204"/>
      <c r="I1345" s="145" t="s">
        <v>1057</v>
      </c>
      <c r="J1345" s="172" t="str">
        <f t="shared" si="37"/>
        <v/>
      </c>
      <c r="K1345" s="171">
        <f t="shared" si="38"/>
        <v>172</v>
      </c>
    </row>
    <row r="1346" spans="1:11" x14ac:dyDescent="0.2">
      <c r="A1346" s="191"/>
      <c r="B1346" s="121"/>
      <c r="G1346" s="204"/>
      <c r="I1346" s="145" t="s">
        <v>1058</v>
      </c>
      <c r="J1346" s="172" t="str">
        <f t="shared" si="37"/>
        <v/>
      </c>
      <c r="K1346" s="171">
        <f t="shared" si="38"/>
        <v>172</v>
      </c>
    </row>
    <row r="1347" spans="1:11" x14ac:dyDescent="0.2">
      <c r="A1347" s="191"/>
      <c r="B1347" s="121"/>
      <c r="G1347" s="204"/>
      <c r="I1347" s="145" t="s">
        <v>1059</v>
      </c>
      <c r="J1347" s="172" t="str">
        <f t="shared" ref="J1347:J1410" si="39">IF(A1347=1, 4,IF(G1347="", "",+K1347))</f>
        <v/>
      </c>
      <c r="K1347" s="171">
        <f t="shared" si="38"/>
        <v>172</v>
      </c>
    </row>
    <row r="1348" spans="1:11" x14ac:dyDescent="0.2">
      <c r="A1348" s="191"/>
      <c r="B1348" s="121"/>
      <c r="G1348" s="204"/>
      <c r="I1348" s="145" t="s">
        <v>1060</v>
      </c>
      <c r="J1348" s="172" t="str">
        <f t="shared" si="39"/>
        <v/>
      </c>
      <c r="K1348" s="171">
        <f t="shared" si="38"/>
        <v>172</v>
      </c>
    </row>
    <row r="1349" spans="1:11" x14ac:dyDescent="0.2">
      <c r="A1349" s="191"/>
      <c r="B1349" s="121"/>
      <c r="G1349" s="204"/>
      <c r="I1349" s="145"/>
      <c r="J1349" s="172" t="str">
        <f t="shared" si="39"/>
        <v/>
      </c>
      <c r="K1349" s="171">
        <f t="shared" si="38"/>
        <v>172</v>
      </c>
    </row>
    <row r="1350" spans="1:11" x14ac:dyDescent="0.2">
      <c r="A1350" s="191">
        <v>14</v>
      </c>
      <c r="B1350" s="121" t="s">
        <v>961</v>
      </c>
      <c r="F1350" s="317" t="s">
        <v>701</v>
      </c>
      <c r="G1350" s="204">
        <v>11</v>
      </c>
      <c r="I1350" s="145" t="s">
        <v>1061</v>
      </c>
      <c r="J1350" s="172">
        <f t="shared" si="39"/>
        <v>172</v>
      </c>
      <c r="K1350" s="171">
        <f t="shared" si="38"/>
        <v>172</v>
      </c>
    </row>
    <row r="1351" spans="1:11" x14ac:dyDescent="0.2">
      <c r="A1351" s="191"/>
      <c r="B1351" s="121"/>
      <c r="G1351" s="204"/>
      <c r="I1351" s="145" t="s">
        <v>894</v>
      </c>
      <c r="J1351" s="172" t="str">
        <f t="shared" si="39"/>
        <v/>
      </c>
      <c r="K1351" s="171">
        <f t="shared" si="38"/>
        <v>183</v>
      </c>
    </row>
    <row r="1352" spans="1:11" x14ac:dyDescent="0.2">
      <c r="A1352" s="191"/>
      <c r="B1352" s="173" t="s">
        <v>1094</v>
      </c>
      <c r="G1352" s="204"/>
      <c r="I1352" s="145"/>
      <c r="J1352" s="172" t="str">
        <f t="shared" si="39"/>
        <v/>
      </c>
      <c r="K1352" s="171">
        <f t="shared" si="38"/>
        <v>183</v>
      </c>
    </row>
    <row r="1353" spans="1:11" x14ac:dyDescent="0.2">
      <c r="A1353" s="191"/>
      <c r="G1353" s="204"/>
      <c r="I1353" s="145"/>
      <c r="J1353" s="172" t="str">
        <f t="shared" si="39"/>
        <v/>
      </c>
      <c r="K1353" s="171">
        <f t="shared" si="38"/>
        <v>183</v>
      </c>
    </row>
    <row r="1354" spans="1:11" x14ac:dyDescent="0.2">
      <c r="A1354" s="191">
        <v>15</v>
      </c>
      <c r="B1354" s="121" t="s">
        <v>1008</v>
      </c>
      <c r="F1354" s="317" t="s">
        <v>772</v>
      </c>
      <c r="G1354" s="204">
        <v>5</v>
      </c>
      <c r="I1354" s="145" t="s">
        <v>1009</v>
      </c>
      <c r="J1354" s="172">
        <f t="shared" si="39"/>
        <v>183</v>
      </c>
      <c r="K1354" s="171">
        <f t="shared" si="38"/>
        <v>183</v>
      </c>
    </row>
    <row r="1355" spans="1:11" x14ac:dyDescent="0.2">
      <c r="A1355" s="191"/>
      <c r="G1355" s="204"/>
      <c r="I1355" s="145" t="s">
        <v>1010</v>
      </c>
      <c r="J1355" s="172" t="str">
        <f t="shared" si="39"/>
        <v/>
      </c>
      <c r="K1355" s="171">
        <f t="shared" si="38"/>
        <v>188</v>
      </c>
    </row>
    <row r="1356" spans="1:11" x14ac:dyDescent="0.2">
      <c r="A1356" s="191"/>
      <c r="G1356" s="204"/>
      <c r="J1356" s="172" t="str">
        <f t="shared" si="39"/>
        <v/>
      </c>
      <c r="K1356" s="171">
        <f t="shared" si="38"/>
        <v>188</v>
      </c>
    </row>
    <row r="1357" spans="1:11" x14ac:dyDescent="0.2">
      <c r="A1357" s="191">
        <v>16</v>
      </c>
      <c r="B1357" s="121" t="s">
        <v>1011</v>
      </c>
      <c r="F1357" s="317" t="s">
        <v>772</v>
      </c>
      <c r="G1357" s="204">
        <v>30</v>
      </c>
      <c r="I1357" s="145" t="s">
        <v>1012</v>
      </c>
      <c r="J1357" s="172">
        <f t="shared" si="39"/>
        <v>188</v>
      </c>
      <c r="K1357" s="171">
        <f t="shared" si="38"/>
        <v>188</v>
      </c>
    </row>
    <row r="1358" spans="1:11" x14ac:dyDescent="0.2">
      <c r="A1358" s="191"/>
      <c r="B1358" s="121"/>
      <c r="G1358" s="204"/>
      <c r="I1358" s="145" t="s">
        <v>894</v>
      </c>
      <c r="J1358" s="172" t="str">
        <f t="shared" si="39"/>
        <v/>
      </c>
      <c r="K1358" s="171">
        <f t="shared" si="38"/>
        <v>218</v>
      </c>
    </row>
    <row r="1359" spans="1:11" x14ac:dyDescent="0.2">
      <c r="A1359" s="191"/>
      <c r="G1359" s="204"/>
      <c r="J1359" s="172" t="str">
        <f t="shared" si="39"/>
        <v/>
      </c>
      <c r="K1359" s="171">
        <f t="shared" si="38"/>
        <v>218</v>
      </c>
    </row>
    <row r="1360" spans="1:11" x14ac:dyDescent="0.2">
      <c r="A1360" s="191">
        <v>17</v>
      </c>
      <c r="B1360" s="121" t="s">
        <v>1013</v>
      </c>
      <c r="F1360" s="317" t="s">
        <v>772</v>
      </c>
      <c r="G1360" s="204">
        <v>6</v>
      </c>
      <c r="I1360" s="145" t="s">
        <v>1014</v>
      </c>
      <c r="J1360" s="172">
        <f t="shared" si="39"/>
        <v>218</v>
      </c>
      <c r="K1360" s="171">
        <f t="shared" si="38"/>
        <v>218</v>
      </c>
    </row>
    <row r="1361" spans="1:11" x14ac:dyDescent="0.2">
      <c r="A1361" s="191"/>
      <c r="G1361" s="204"/>
      <c r="I1361" s="145" t="s">
        <v>894</v>
      </c>
      <c r="J1361" s="172" t="str">
        <f t="shared" si="39"/>
        <v/>
      </c>
      <c r="K1361" s="171">
        <f t="shared" si="38"/>
        <v>224</v>
      </c>
    </row>
    <row r="1362" spans="1:11" x14ac:dyDescent="0.2">
      <c r="A1362" s="191"/>
      <c r="G1362" s="204"/>
      <c r="J1362" s="172" t="str">
        <f t="shared" si="39"/>
        <v/>
      </c>
      <c r="K1362" s="171">
        <f t="shared" si="38"/>
        <v>224</v>
      </c>
    </row>
    <row r="1363" spans="1:11" x14ac:dyDescent="0.2">
      <c r="A1363" s="191">
        <v>18</v>
      </c>
      <c r="B1363" s="121" t="s">
        <v>71</v>
      </c>
      <c r="F1363" s="317" t="s">
        <v>772</v>
      </c>
      <c r="G1363" s="204">
        <v>6</v>
      </c>
      <c r="I1363" s="145" t="s">
        <v>1015</v>
      </c>
      <c r="J1363" s="172">
        <f t="shared" si="39"/>
        <v>224</v>
      </c>
      <c r="K1363" s="171">
        <f t="shared" si="38"/>
        <v>224</v>
      </c>
    </row>
    <row r="1364" spans="1:11" x14ac:dyDescent="0.2">
      <c r="A1364" s="191"/>
      <c r="G1364" s="204"/>
      <c r="I1364" s="145" t="s">
        <v>894</v>
      </c>
      <c r="J1364" s="172" t="str">
        <f t="shared" si="39"/>
        <v/>
      </c>
      <c r="K1364" s="171">
        <f t="shared" si="38"/>
        <v>230</v>
      </c>
    </row>
    <row r="1365" spans="1:11" x14ac:dyDescent="0.2">
      <c r="A1365" s="191"/>
      <c r="G1365" s="204"/>
      <c r="I1365" s="145"/>
      <c r="J1365" s="172" t="str">
        <f t="shared" si="39"/>
        <v/>
      </c>
      <c r="K1365" s="171">
        <f t="shared" si="38"/>
        <v>230</v>
      </c>
    </row>
    <row r="1366" spans="1:11" x14ac:dyDescent="0.2">
      <c r="A1366" s="191">
        <v>19</v>
      </c>
      <c r="B1366" s="121" t="s">
        <v>72</v>
      </c>
      <c r="F1366" s="317" t="s">
        <v>772</v>
      </c>
      <c r="G1366" s="204">
        <v>5</v>
      </c>
      <c r="I1366" s="145" t="s">
        <v>1016</v>
      </c>
      <c r="J1366" s="172">
        <f t="shared" si="39"/>
        <v>230</v>
      </c>
      <c r="K1366" s="171">
        <f t="shared" si="38"/>
        <v>230</v>
      </c>
    </row>
    <row r="1367" spans="1:11" x14ac:dyDescent="0.2">
      <c r="A1367" s="191"/>
      <c r="G1367" s="204"/>
      <c r="I1367" s="145" t="s">
        <v>894</v>
      </c>
      <c r="J1367" s="172" t="str">
        <f t="shared" si="39"/>
        <v/>
      </c>
      <c r="K1367" s="171">
        <f t="shared" si="38"/>
        <v>235</v>
      </c>
    </row>
    <row r="1368" spans="1:11" x14ac:dyDescent="0.2">
      <c r="A1368" s="191"/>
      <c r="G1368" s="204"/>
      <c r="J1368" s="172" t="str">
        <f t="shared" si="39"/>
        <v/>
      </c>
      <c r="K1368" s="171">
        <f t="shared" si="38"/>
        <v>235</v>
      </c>
    </row>
    <row r="1369" spans="1:11" x14ac:dyDescent="0.2">
      <c r="A1369" s="191">
        <v>20</v>
      </c>
      <c r="B1369" s="121" t="s">
        <v>73</v>
      </c>
      <c r="F1369" s="317" t="s">
        <v>772</v>
      </c>
      <c r="G1369" s="204">
        <v>3</v>
      </c>
      <c r="I1369" s="145" t="s">
        <v>1017</v>
      </c>
      <c r="J1369" s="172">
        <f t="shared" si="39"/>
        <v>235</v>
      </c>
      <c r="K1369" s="171">
        <f t="shared" si="38"/>
        <v>235</v>
      </c>
    </row>
    <row r="1370" spans="1:11" x14ac:dyDescent="0.2">
      <c r="A1370" s="191"/>
      <c r="G1370" s="204"/>
      <c r="I1370" s="145" t="s">
        <v>894</v>
      </c>
      <c r="J1370" s="172" t="str">
        <f t="shared" si="39"/>
        <v/>
      </c>
      <c r="K1370" s="171">
        <f t="shared" si="38"/>
        <v>238</v>
      </c>
    </row>
    <row r="1371" spans="1:11" x14ac:dyDescent="0.2">
      <c r="A1371" s="191"/>
      <c r="G1371" s="204"/>
      <c r="I1371" s="145"/>
      <c r="J1371" s="172" t="str">
        <f t="shared" si="39"/>
        <v/>
      </c>
      <c r="K1371" s="171">
        <f t="shared" si="38"/>
        <v>238</v>
      </c>
    </row>
    <row r="1372" spans="1:11" x14ac:dyDescent="0.2">
      <c r="A1372" s="191">
        <v>21</v>
      </c>
      <c r="B1372" s="121" t="s">
        <v>1018</v>
      </c>
      <c r="F1372" s="317" t="s">
        <v>772</v>
      </c>
      <c r="G1372" s="204">
        <v>3</v>
      </c>
      <c r="I1372" s="145" t="s">
        <v>1019</v>
      </c>
      <c r="J1372" s="172">
        <f t="shared" si="39"/>
        <v>238</v>
      </c>
      <c r="K1372" s="171">
        <f t="shared" si="38"/>
        <v>238</v>
      </c>
    </row>
    <row r="1373" spans="1:11" x14ac:dyDescent="0.2">
      <c r="A1373" s="191"/>
      <c r="G1373" s="204"/>
      <c r="I1373" s="145" t="s">
        <v>894</v>
      </c>
      <c r="J1373" s="172" t="str">
        <f t="shared" si="39"/>
        <v/>
      </c>
      <c r="K1373" s="171">
        <f t="shared" si="38"/>
        <v>241</v>
      </c>
    </row>
    <row r="1374" spans="1:11" x14ac:dyDescent="0.2">
      <c r="A1374" s="191"/>
      <c r="G1374" s="204"/>
      <c r="I1374" s="145"/>
      <c r="J1374" s="172" t="str">
        <f t="shared" si="39"/>
        <v/>
      </c>
      <c r="K1374" s="171">
        <f t="shared" ref="K1374:K1437" si="40">IF(A1374=1,1,+K1373+G1373)</f>
        <v>241</v>
      </c>
    </row>
    <row r="1375" spans="1:11" x14ac:dyDescent="0.2">
      <c r="A1375" s="191">
        <v>22</v>
      </c>
      <c r="B1375" s="121" t="s">
        <v>1020</v>
      </c>
      <c r="F1375" s="317" t="s">
        <v>772</v>
      </c>
      <c r="G1375" s="204">
        <v>3</v>
      </c>
      <c r="I1375" s="145" t="s">
        <v>1021</v>
      </c>
      <c r="J1375" s="172">
        <f t="shared" si="39"/>
        <v>241</v>
      </c>
      <c r="K1375" s="171">
        <f t="shared" si="40"/>
        <v>241</v>
      </c>
    </row>
    <row r="1376" spans="1:11" x14ac:dyDescent="0.2">
      <c r="A1376" s="191"/>
      <c r="G1376" s="204"/>
      <c r="I1376" s="145" t="s">
        <v>894</v>
      </c>
      <c r="J1376" s="172" t="str">
        <f t="shared" si="39"/>
        <v/>
      </c>
      <c r="K1376" s="171">
        <f t="shared" si="40"/>
        <v>244</v>
      </c>
    </row>
    <row r="1377" spans="1:11" x14ac:dyDescent="0.2">
      <c r="A1377" s="191"/>
      <c r="G1377" s="204"/>
      <c r="J1377" s="172" t="str">
        <f t="shared" si="39"/>
        <v/>
      </c>
      <c r="K1377" s="171">
        <f t="shared" si="40"/>
        <v>244</v>
      </c>
    </row>
    <row r="1378" spans="1:11" x14ac:dyDescent="0.2">
      <c r="A1378" s="191">
        <v>23</v>
      </c>
      <c r="B1378" s="121" t="s">
        <v>74</v>
      </c>
      <c r="F1378" s="317" t="s">
        <v>772</v>
      </c>
      <c r="G1378" s="204">
        <v>3</v>
      </c>
      <c r="I1378" s="145" t="s">
        <v>1022</v>
      </c>
      <c r="J1378" s="172">
        <f t="shared" si="39"/>
        <v>244</v>
      </c>
      <c r="K1378" s="171">
        <f t="shared" si="40"/>
        <v>244</v>
      </c>
    </row>
    <row r="1379" spans="1:11" x14ac:dyDescent="0.2">
      <c r="A1379" s="191"/>
      <c r="G1379" s="204"/>
      <c r="I1379" s="145" t="s">
        <v>894</v>
      </c>
      <c r="J1379" s="172" t="str">
        <f t="shared" si="39"/>
        <v/>
      </c>
      <c r="K1379" s="171">
        <f t="shared" si="40"/>
        <v>247</v>
      </c>
    </row>
    <row r="1380" spans="1:11" x14ac:dyDescent="0.2">
      <c r="A1380" s="191"/>
      <c r="G1380" s="204"/>
      <c r="I1380" s="145"/>
      <c r="J1380" s="172" t="str">
        <f t="shared" si="39"/>
        <v/>
      </c>
      <c r="K1380" s="171">
        <f t="shared" si="40"/>
        <v>247</v>
      </c>
    </row>
    <row r="1381" spans="1:11" x14ac:dyDescent="0.2">
      <c r="A1381" s="191">
        <v>24</v>
      </c>
      <c r="B1381" s="121" t="s">
        <v>75</v>
      </c>
      <c r="F1381" s="317" t="s">
        <v>772</v>
      </c>
      <c r="G1381" s="204">
        <v>3</v>
      </c>
      <c r="I1381" s="145" t="s">
        <v>1023</v>
      </c>
      <c r="J1381" s="172">
        <f t="shared" si="39"/>
        <v>247</v>
      </c>
      <c r="K1381" s="171">
        <f t="shared" si="40"/>
        <v>247</v>
      </c>
    </row>
    <row r="1382" spans="1:11" x14ac:dyDescent="0.2">
      <c r="A1382" s="191"/>
      <c r="G1382" s="204"/>
      <c r="I1382" s="145" t="s">
        <v>894</v>
      </c>
      <c r="J1382" s="172" t="str">
        <f t="shared" si="39"/>
        <v/>
      </c>
      <c r="K1382" s="171">
        <f t="shared" si="40"/>
        <v>250</v>
      </c>
    </row>
    <row r="1383" spans="1:11" x14ac:dyDescent="0.2">
      <c r="A1383" s="191"/>
      <c r="G1383" s="204"/>
      <c r="I1383" s="145"/>
      <c r="J1383" s="172" t="str">
        <f t="shared" si="39"/>
        <v/>
      </c>
      <c r="K1383" s="171">
        <f t="shared" si="40"/>
        <v>250</v>
      </c>
    </row>
    <row r="1384" spans="1:11" x14ac:dyDescent="0.2">
      <c r="A1384" s="191">
        <v>25</v>
      </c>
      <c r="B1384" s="121" t="s">
        <v>1024</v>
      </c>
      <c r="F1384" s="317" t="s">
        <v>772</v>
      </c>
      <c r="G1384" s="204">
        <v>5</v>
      </c>
      <c r="I1384" s="145" t="s">
        <v>1025</v>
      </c>
      <c r="J1384" s="172">
        <f t="shared" si="39"/>
        <v>250</v>
      </c>
      <c r="K1384" s="171">
        <f t="shared" si="40"/>
        <v>250</v>
      </c>
    </row>
    <row r="1385" spans="1:11" x14ac:dyDescent="0.2">
      <c r="A1385" s="191"/>
      <c r="G1385" s="204"/>
      <c r="I1385" s="145" t="s">
        <v>894</v>
      </c>
      <c r="J1385" s="172" t="str">
        <f t="shared" si="39"/>
        <v/>
      </c>
      <c r="K1385" s="171">
        <f t="shared" si="40"/>
        <v>255</v>
      </c>
    </row>
    <row r="1386" spans="1:11" x14ac:dyDescent="0.2">
      <c r="A1386" s="191"/>
      <c r="G1386" s="204"/>
      <c r="J1386" s="172" t="str">
        <f t="shared" si="39"/>
        <v/>
      </c>
      <c r="K1386" s="171">
        <f t="shared" si="40"/>
        <v>255</v>
      </c>
    </row>
    <row r="1387" spans="1:11" x14ac:dyDescent="0.2">
      <c r="A1387" s="191">
        <v>26</v>
      </c>
      <c r="B1387" s="121" t="s">
        <v>76</v>
      </c>
      <c r="F1387" s="317" t="s">
        <v>772</v>
      </c>
      <c r="G1387" s="204">
        <v>5</v>
      </c>
      <c r="I1387" s="145" t="s">
        <v>1026</v>
      </c>
      <c r="J1387" s="172">
        <f t="shared" si="39"/>
        <v>255</v>
      </c>
      <c r="K1387" s="171">
        <f t="shared" si="40"/>
        <v>255</v>
      </c>
    </row>
    <row r="1388" spans="1:11" x14ac:dyDescent="0.2">
      <c r="A1388" s="191"/>
      <c r="G1388" s="204"/>
      <c r="I1388" s="145" t="s">
        <v>1010</v>
      </c>
      <c r="J1388" s="172" t="str">
        <f t="shared" si="39"/>
        <v/>
      </c>
      <c r="K1388" s="171">
        <f t="shared" si="40"/>
        <v>260</v>
      </c>
    </row>
    <row r="1389" spans="1:11" x14ac:dyDescent="0.2">
      <c r="A1389" s="191"/>
      <c r="G1389" s="204"/>
      <c r="I1389" s="145"/>
      <c r="J1389" s="172" t="str">
        <f t="shared" si="39"/>
        <v/>
      </c>
      <c r="K1389" s="171">
        <f t="shared" si="40"/>
        <v>260</v>
      </c>
    </row>
    <row r="1390" spans="1:11" x14ac:dyDescent="0.2">
      <c r="A1390" s="191">
        <v>27</v>
      </c>
      <c r="B1390" s="121" t="s">
        <v>77</v>
      </c>
      <c r="F1390" s="317" t="s">
        <v>772</v>
      </c>
      <c r="G1390" s="204">
        <v>30</v>
      </c>
      <c r="I1390" s="145" t="s">
        <v>1027</v>
      </c>
      <c r="J1390" s="172">
        <f t="shared" si="39"/>
        <v>260</v>
      </c>
      <c r="K1390" s="171">
        <f t="shared" si="40"/>
        <v>260</v>
      </c>
    </row>
    <row r="1391" spans="1:11" x14ac:dyDescent="0.2">
      <c r="A1391" s="191"/>
      <c r="G1391" s="204"/>
      <c r="I1391" s="145" t="s">
        <v>894</v>
      </c>
      <c r="J1391" s="172" t="str">
        <f t="shared" si="39"/>
        <v/>
      </c>
      <c r="K1391" s="171">
        <f t="shared" si="40"/>
        <v>290</v>
      </c>
    </row>
    <row r="1392" spans="1:11" x14ac:dyDescent="0.2">
      <c r="A1392" s="191"/>
      <c r="G1392" s="204"/>
      <c r="I1392" s="145"/>
      <c r="J1392" s="172" t="str">
        <f t="shared" si="39"/>
        <v/>
      </c>
      <c r="K1392" s="171">
        <f t="shared" si="40"/>
        <v>290</v>
      </c>
    </row>
    <row r="1393" spans="1:11" ht="30" x14ac:dyDescent="0.2">
      <c r="A1393" s="191">
        <v>28</v>
      </c>
      <c r="B1393" s="109" t="s">
        <v>1063</v>
      </c>
      <c r="F1393" s="317" t="s">
        <v>772</v>
      </c>
      <c r="G1393" s="204">
        <v>120</v>
      </c>
      <c r="I1393" s="145" t="s">
        <v>1064</v>
      </c>
      <c r="J1393" s="172">
        <f t="shared" si="39"/>
        <v>290</v>
      </c>
      <c r="K1393" s="171">
        <f t="shared" si="40"/>
        <v>290</v>
      </c>
    </row>
    <row r="1394" spans="1:11" x14ac:dyDescent="0.2">
      <c r="A1394" s="191"/>
      <c r="G1394" s="204"/>
      <c r="I1394" s="145"/>
      <c r="J1394" s="172" t="str">
        <f t="shared" si="39"/>
        <v/>
      </c>
      <c r="K1394" s="171">
        <f t="shared" si="40"/>
        <v>410</v>
      </c>
    </row>
    <row r="1395" spans="1:11" x14ac:dyDescent="0.2">
      <c r="A1395" s="191">
        <v>29</v>
      </c>
      <c r="B1395" s="121" t="s">
        <v>78</v>
      </c>
      <c r="F1395" s="317" t="s">
        <v>772</v>
      </c>
      <c r="G1395" s="204">
        <v>55</v>
      </c>
      <c r="I1395" s="145" t="s">
        <v>1030</v>
      </c>
      <c r="J1395" s="172">
        <f t="shared" si="39"/>
        <v>410</v>
      </c>
      <c r="K1395" s="171">
        <f t="shared" si="40"/>
        <v>410</v>
      </c>
    </row>
    <row r="1396" spans="1:11" x14ac:dyDescent="0.2">
      <c r="A1396" s="191"/>
      <c r="G1396" s="204"/>
      <c r="I1396" s="145" t="s">
        <v>894</v>
      </c>
      <c r="J1396" s="172" t="str">
        <f t="shared" si="39"/>
        <v/>
      </c>
      <c r="K1396" s="171">
        <f t="shared" si="40"/>
        <v>465</v>
      </c>
    </row>
    <row r="1397" spans="1:11" x14ac:dyDescent="0.2">
      <c r="A1397" s="191"/>
      <c r="G1397" s="204"/>
      <c r="J1397" s="172" t="str">
        <f t="shared" si="39"/>
        <v/>
      </c>
      <c r="K1397" s="171">
        <f t="shared" si="40"/>
        <v>465</v>
      </c>
    </row>
    <row r="1398" spans="1:11" x14ac:dyDescent="0.2">
      <c r="A1398" s="191">
        <v>30</v>
      </c>
      <c r="B1398" s="109" t="s">
        <v>954</v>
      </c>
      <c r="F1398" s="317" t="s">
        <v>701</v>
      </c>
      <c r="G1398" s="204">
        <v>6</v>
      </c>
      <c r="I1398" s="145" t="s">
        <v>1031</v>
      </c>
      <c r="J1398" s="172">
        <f t="shared" si="39"/>
        <v>465</v>
      </c>
      <c r="K1398" s="171">
        <f t="shared" si="40"/>
        <v>465</v>
      </c>
    </row>
    <row r="1399" spans="1:11" x14ac:dyDescent="0.2">
      <c r="A1399" s="191"/>
      <c r="G1399" s="204"/>
      <c r="I1399" s="111" t="s">
        <v>1032</v>
      </c>
      <c r="J1399" s="172" t="str">
        <f t="shared" si="39"/>
        <v/>
      </c>
      <c r="K1399" s="171">
        <f t="shared" si="40"/>
        <v>471</v>
      </c>
    </row>
    <row r="1400" spans="1:11" x14ac:dyDescent="0.2">
      <c r="A1400" s="191"/>
      <c r="G1400" s="204"/>
      <c r="I1400" s="145"/>
      <c r="J1400" s="172" t="str">
        <f t="shared" si="39"/>
        <v/>
      </c>
      <c r="K1400" s="171">
        <f t="shared" si="40"/>
        <v>471</v>
      </c>
    </row>
    <row r="1401" spans="1:11" x14ac:dyDescent="0.2">
      <c r="A1401" s="191">
        <v>31</v>
      </c>
      <c r="B1401" s="109" t="s">
        <v>819</v>
      </c>
      <c r="F1401" s="317" t="s">
        <v>772</v>
      </c>
      <c r="G1401" s="204">
        <v>9</v>
      </c>
      <c r="I1401" s="145" t="s">
        <v>1033</v>
      </c>
      <c r="J1401" s="172">
        <f t="shared" si="39"/>
        <v>471</v>
      </c>
      <c r="K1401" s="171">
        <f t="shared" si="40"/>
        <v>471</v>
      </c>
    </row>
    <row r="1402" spans="1:11" x14ac:dyDescent="0.2">
      <c r="A1402" s="191"/>
      <c r="G1402" s="204"/>
      <c r="I1402" s="145" t="s">
        <v>971</v>
      </c>
      <c r="J1402" s="172" t="str">
        <f t="shared" si="39"/>
        <v/>
      </c>
      <c r="K1402" s="171">
        <f t="shared" si="40"/>
        <v>480</v>
      </c>
    </row>
    <row r="1403" spans="1:11" x14ac:dyDescent="0.2">
      <c r="A1403" s="191"/>
      <c r="G1403" s="204"/>
      <c r="I1403" s="145" t="s">
        <v>972</v>
      </c>
      <c r="J1403" s="172" t="str">
        <f t="shared" si="39"/>
        <v/>
      </c>
      <c r="K1403" s="171">
        <f t="shared" si="40"/>
        <v>480</v>
      </c>
    </row>
    <row r="1404" spans="1:11" x14ac:dyDescent="0.2">
      <c r="A1404" s="191"/>
      <c r="G1404" s="204"/>
      <c r="I1404" s="145" t="s">
        <v>973</v>
      </c>
      <c r="J1404" s="172" t="str">
        <f t="shared" si="39"/>
        <v/>
      </c>
      <c r="K1404" s="171">
        <f t="shared" si="40"/>
        <v>480</v>
      </c>
    </row>
    <row r="1405" spans="1:11" x14ac:dyDescent="0.2">
      <c r="A1405" s="191"/>
      <c r="G1405" s="204"/>
      <c r="I1405" s="145" t="s">
        <v>894</v>
      </c>
      <c r="J1405" s="172" t="str">
        <f t="shared" si="39"/>
        <v/>
      </c>
      <c r="K1405" s="171">
        <f t="shared" si="40"/>
        <v>480</v>
      </c>
    </row>
    <row r="1406" spans="1:11" x14ac:dyDescent="0.2">
      <c r="A1406" s="191"/>
      <c r="G1406" s="204"/>
      <c r="I1406" s="145"/>
      <c r="J1406" s="172" t="str">
        <f t="shared" si="39"/>
        <v/>
      </c>
      <c r="K1406" s="171">
        <f t="shared" si="40"/>
        <v>480</v>
      </c>
    </row>
    <row r="1407" spans="1:11" x14ac:dyDescent="0.2">
      <c r="A1407" s="191">
        <v>32</v>
      </c>
      <c r="B1407" s="121" t="s">
        <v>1065</v>
      </c>
      <c r="F1407" s="317" t="s">
        <v>701</v>
      </c>
      <c r="G1407" s="204">
        <v>5</v>
      </c>
      <c r="I1407" s="145" t="s">
        <v>1066</v>
      </c>
      <c r="J1407" s="172">
        <f t="shared" si="39"/>
        <v>480</v>
      </c>
      <c r="K1407" s="171">
        <f t="shared" si="40"/>
        <v>480</v>
      </c>
    </row>
    <row r="1408" spans="1:11" x14ac:dyDescent="0.2">
      <c r="A1408" s="191"/>
      <c r="G1408" s="204"/>
      <c r="I1408" s="145" t="s">
        <v>1067</v>
      </c>
      <c r="J1408" s="172" t="str">
        <f t="shared" si="39"/>
        <v/>
      </c>
      <c r="K1408" s="171">
        <f t="shared" si="40"/>
        <v>485</v>
      </c>
    </row>
    <row r="1409" spans="1:11" x14ac:dyDescent="0.2">
      <c r="A1409" s="191"/>
      <c r="G1409" s="204"/>
      <c r="I1409" s="145"/>
      <c r="J1409" s="172" t="str">
        <f t="shared" si="39"/>
        <v/>
      </c>
      <c r="K1409" s="171">
        <f t="shared" si="40"/>
        <v>485</v>
      </c>
    </row>
    <row r="1410" spans="1:11" ht="30" x14ac:dyDescent="0.2">
      <c r="A1410" s="191">
        <v>33</v>
      </c>
      <c r="B1410" s="109" t="s">
        <v>1068</v>
      </c>
      <c r="F1410" s="317" t="s">
        <v>701</v>
      </c>
      <c r="G1410" s="204">
        <v>1</v>
      </c>
      <c r="I1410" s="145" t="s">
        <v>1039</v>
      </c>
      <c r="J1410" s="172">
        <f t="shared" si="39"/>
        <v>485</v>
      </c>
      <c r="K1410" s="171">
        <f t="shared" si="40"/>
        <v>485</v>
      </c>
    </row>
    <row r="1411" spans="1:11" x14ac:dyDescent="0.2">
      <c r="A1411" s="191"/>
      <c r="G1411" s="204"/>
      <c r="I1411" s="145" t="s">
        <v>1069</v>
      </c>
      <c r="J1411" s="172" t="str">
        <f t="shared" ref="J1411:J1474" si="41">IF(A1411=1, 4,IF(G1411="", "",+K1411))</f>
        <v/>
      </c>
      <c r="K1411" s="171">
        <f t="shared" si="40"/>
        <v>486</v>
      </c>
    </row>
    <row r="1412" spans="1:11" x14ac:dyDescent="0.2">
      <c r="A1412" s="191"/>
      <c r="G1412" s="204"/>
      <c r="I1412" s="145" t="s">
        <v>1040</v>
      </c>
      <c r="J1412" s="172" t="str">
        <f t="shared" si="41"/>
        <v/>
      </c>
      <c r="K1412" s="171">
        <f t="shared" si="40"/>
        <v>486</v>
      </c>
    </row>
    <row r="1413" spans="1:11" x14ac:dyDescent="0.2">
      <c r="A1413" s="191"/>
      <c r="G1413" s="204"/>
      <c r="I1413" s="145" t="s">
        <v>1041</v>
      </c>
      <c r="J1413" s="172" t="str">
        <f t="shared" si="41"/>
        <v/>
      </c>
      <c r="K1413" s="171">
        <f t="shared" si="40"/>
        <v>486</v>
      </c>
    </row>
    <row r="1414" spans="1:11" x14ac:dyDescent="0.2">
      <c r="A1414" s="191"/>
      <c r="G1414" s="204"/>
      <c r="I1414" s="145" t="s">
        <v>1070</v>
      </c>
      <c r="J1414" s="172" t="str">
        <f t="shared" si="41"/>
        <v/>
      </c>
      <c r="K1414" s="171">
        <f t="shared" si="40"/>
        <v>486</v>
      </c>
    </row>
    <row r="1415" spans="1:11" x14ac:dyDescent="0.2">
      <c r="A1415" s="191"/>
      <c r="G1415" s="204"/>
      <c r="I1415" s="145" t="s">
        <v>1071</v>
      </c>
      <c r="J1415" s="172" t="str">
        <f t="shared" si="41"/>
        <v/>
      </c>
      <c r="K1415" s="171">
        <f t="shared" si="40"/>
        <v>486</v>
      </c>
    </row>
    <row r="1416" spans="1:11" x14ac:dyDescent="0.2">
      <c r="A1416" s="191"/>
      <c r="G1416" s="204"/>
      <c r="I1416" s="145"/>
      <c r="J1416" s="172" t="str">
        <f t="shared" si="41"/>
        <v/>
      </c>
      <c r="K1416" s="171">
        <f t="shared" si="40"/>
        <v>486</v>
      </c>
    </row>
    <row r="1417" spans="1:11" ht="30" x14ac:dyDescent="0.2">
      <c r="A1417" s="191">
        <v>34</v>
      </c>
      <c r="B1417" s="121" t="s">
        <v>1072</v>
      </c>
      <c r="F1417" s="317" t="s">
        <v>772</v>
      </c>
      <c r="G1417" s="204">
        <v>40</v>
      </c>
      <c r="I1417" s="145" t="s">
        <v>1073</v>
      </c>
      <c r="J1417" s="172">
        <f t="shared" si="41"/>
        <v>486</v>
      </c>
      <c r="K1417" s="171">
        <f t="shared" si="40"/>
        <v>486</v>
      </c>
    </row>
    <row r="1418" spans="1:11" x14ac:dyDescent="0.2">
      <c r="A1418" s="191"/>
      <c r="G1418" s="204"/>
      <c r="I1418" s="145" t="s">
        <v>894</v>
      </c>
      <c r="J1418" s="172" t="str">
        <f t="shared" si="41"/>
        <v/>
      </c>
      <c r="K1418" s="171">
        <f t="shared" si="40"/>
        <v>526</v>
      </c>
    </row>
    <row r="1419" spans="1:11" x14ac:dyDescent="0.2">
      <c r="A1419" s="191"/>
      <c r="G1419" s="204"/>
      <c r="I1419" s="145"/>
      <c r="J1419" s="172" t="str">
        <f t="shared" si="41"/>
        <v/>
      </c>
      <c r="K1419" s="171">
        <f t="shared" si="40"/>
        <v>526</v>
      </c>
    </row>
    <row r="1420" spans="1:11" ht="30" x14ac:dyDescent="0.2">
      <c r="A1420" s="191">
        <v>35</v>
      </c>
      <c r="B1420" s="121" t="s">
        <v>1074</v>
      </c>
      <c r="F1420" s="317" t="s">
        <v>772</v>
      </c>
      <c r="G1420" s="204">
        <v>40</v>
      </c>
      <c r="I1420" s="145" t="s">
        <v>1073</v>
      </c>
      <c r="J1420" s="172">
        <f t="shared" si="41"/>
        <v>526</v>
      </c>
      <c r="K1420" s="171">
        <f t="shared" si="40"/>
        <v>526</v>
      </c>
    </row>
    <row r="1421" spans="1:11" x14ac:dyDescent="0.2">
      <c r="A1421" s="191"/>
      <c r="G1421" s="204"/>
      <c r="I1421" s="145" t="s">
        <v>894</v>
      </c>
      <c r="J1421" s="172" t="str">
        <f t="shared" si="41"/>
        <v/>
      </c>
      <c r="K1421" s="171">
        <f t="shared" si="40"/>
        <v>566</v>
      </c>
    </row>
    <row r="1422" spans="1:11" x14ac:dyDescent="0.2">
      <c r="A1422" s="191"/>
      <c r="G1422" s="204"/>
      <c r="I1422" s="145"/>
      <c r="J1422" s="172" t="str">
        <f t="shared" si="41"/>
        <v/>
      </c>
      <c r="K1422" s="171">
        <f t="shared" si="40"/>
        <v>566</v>
      </c>
    </row>
    <row r="1423" spans="1:11" x14ac:dyDescent="0.2">
      <c r="A1423" s="191">
        <v>36</v>
      </c>
      <c r="B1423" s="109" t="s">
        <v>1075</v>
      </c>
      <c r="F1423" s="317" t="s">
        <v>772</v>
      </c>
      <c r="G1423" s="204">
        <v>3</v>
      </c>
      <c r="I1423" s="145" t="s">
        <v>1076</v>
      </c>
      <c r="J1423" s="172">
        <f t="shared" si="41"/>
        <v>566</v>
      </c>
      <c r="K1423" s="171">
        <f t="shared" si="40"/>
        <v>566</v>
      </c>
    </row>
    <row r="1424" spans="1:11" x14ac:dyDescent="0.2">
      <c r="A1424" s="191"/>
      <c r="G1424" s="204"/>
      <c r="I1424" s="145" t="s">
        <v>894</v>
      </c>
      <c r="J1424" s="172" t="str">
        <f t="shared" si="41"/>
        <v/>
      </c>
      <c r="K1424" s="171">
        <f t="shared" si="40"/>
        <v>569</v>
      </c>
    </row>
    <row r="1425" spans="1:13" x14ac:dyDescent="0.2">
      <c r="A1425" s="191"/>
      <c r="G1425" s="204"/>
      <c r="I1425" s="145"/>
      <c r="J1425" s="172" t="str">
        <f t="shared" si="41"/>
        <v/>
      </c>
      <c r="K1425" s="171">
        <f t="shared" si="40"/>
        <v>569</v>
      </c>
    </row>
    <row r="1426" spans="1:13" s="125" customFormat="1" x14ac:dyDescent="0.2">
      <c r="A1426" s="109">
        <v>37</v>
      </c>
      <c r="B1426" s="109" t="s">
        <v>1077</v>
      </c>
      <c r="C1426" s="109"/>
      <c r="D1426" s="317"/>
      <c r="E1426" s="110"/>
      <c r="F1426" s="317" t="s">
        <v>701</v>
      </c>
      <c r="G1426" s="110">
        <v>1</v>
      </c>
      <c r="H1426" s="109"/>
      <c r="I1426" s="111" t="s">
        <v>1078</v>
      </c>
      <c r="J1426" s="172">
        <f t="shared" si="41"/>
        <v>569</v>
      </c>
      <c r="K1426" s="171">
        <f t="shared" si="40"/>
        <v>569</v>
      </c>
      <c r="L1426" s="109"/>
      <c r="M1426" s="205"/>
    </row>
    <row r="1427" spans="1:13" s="125" customFormat="1" x14ac:dyDescent="0.2">
      <c r="A1427" s="109"/>
      <c r="B1427" s="109"/>
      <c r="C1427" s="109"/>
      <c r="D1427" s="317"/>
      <c r="E1427" s="110"/>
      <c r="F1427" s="317"/>
      <c r="G1427" s="110"/>
      <c r="H1427" s="109"/>
      <c r="I1427" s="111" t="s">
        <v>1079</v>
      </c>
      <c r="J1427" s="172" t="str">
        <f t="shared" si="41"/>
        <v/>
      </c>
      <c r="K1427" s="171">
        <f t="shared" si="40"/>
        <v>570</v>
      </c>
      <c r="L1427" s="109"/>
      <c r="M1427" s="205"/>
    </row>
    <row r="1428" spans="1:13" s="125" customFormat="1" x14ac:dyDescent="0.2">
      <c r="A1428" s="109"/>
      <c r="B1428" s="109"/>
      <c r="C1428" s="109"/>
      <c r="D1428" s="317"/>
      <c r="E1428" s="110"/>
      <c r="F1428" s="317"/>
      <c r="G1428" s="110"/>
      <c r="H1428" s="109"/>
      <c r="I1428" s="111" t="s">
        <v>1080</v>
      </c>
      <c r="J1428" s="172" t="str">
        <f t="shared" si="41"/>
        <v/>
      </c>
      <c r="K1428" s="171">
        <f t="shared" si="40"/>
        <v>570</v>
      </c>
      <c r="L1428" s="109"/>
      <c r="M1428" s="205"/>
    </row>
    <row r="1429" spans="1:13" s="125" customFormat="1" x14ac:dyDescent="0.2">
      <c r="A1429" s="109"/>
      <c r="B1429" s="109"/>
      <c r="C1429" s="109"/>
      <c r="D1429" s="317"/>
      <c r="E1429" s="110"/>
      <c r="F1429" s="317"/>
      <c r="G1429" s="110"/>
      <c r="H1429" s="109"/>
      <c r="I1429" s="111" t="s">
        <v>1081</v>
      </c>
      <c r="J1429" s="172" t="str">
        <f t="shared" si="41"/>
        <v/>
      </c>
      <c r="K1429" s="171">
        <f t="shared" si="40"/>
        <v>570</v>
      </c>
      <c r="L1429" s="109"/>
      <c r="M1429" s="205"/>
    </row>
    <row r="1430" spans="1:13" s="125" customFormat="1" x14ac:dyDescent="0.2">
      <c r="A1430" s="109"/>
      <c r="B1430" s="109"/>
      <c r="C1430" s="109"/>
      <c r="D1430" s="317"/>
      <c r="E1430" s="110"/>
      <c r="F1430" s="317"/>
      <c r="G1430" s="110"/>
      <c r="H1430" s="109"/>
      <c r="I1430" s="111" t="s">
        <v>1082</v>
      </c>
      <c r="J1430" s="172" t="str">
        <f t="shared" si="41"/>
        <v/>
      </c>
      <c r="K1430" s="171">
        <f t="shared" si="40"/>
        <v>570</v>
      </c>
      <c r="L1430" s="109"/>
      <c r="M1430" s="205"/>
    </row>
    <row r="1431" spans="1:13" s="125" customFormat="1" x14ac:dyDescent="0.2">
      <c r="A1431" s="109"/>
      <c r="B1431" s="109"/>
      <c r="C1431" s="109"/>
      <c r="D1431" s="317"/>
      <c r="E1431" s="110"/>
      <c r="F1431" s="317"/>
      <c r="G1431" s="110"/>
      <c r="H1431" s="109"/>
      <c r="I1431" s="111" t="s">
        <v>1083</v>
      </c>
      <c r="J1431" s="172" t="str">
        <f t="shared" si="41"/>
        <v/>
      </c>
      <c r="K1431" s="171">
        <f t="shared" si="40"/>
        <v>570</v>
      </c>
      <c r="L1431" s="109"/>
      <c r="M1431" s="205"/>
    </row>
    <row r="1432" spans="1:13" s="125" customFormat="1" x14ac:dyDescent="0.2">
      <c r="A1432" s="214"/>
      <c r="D1432" s="318"/>
      <c r="E1432" s="126"/>
      <c r="F1432" s="318"/>
      <c r="G1432" s="215"/>
      <c r="I1432" s="216"/>
      <c r="J1432" s="172" t="str">
        <f t="shared" si="41"/>
        <v/>
      </c>
      <c r="K1432" s="171">
        <f t="shared" si="40"/>
        <v>570</v>
      </c>
      <c r="L1432" s="109"/>
      <c r="M1432" s="205"/>
    </row>
    <row r="1433" spans="1:13" s="125" customFormat="1" x14ac:dyDescent="0.2">
      <c r="A1433" s="109">
        <v>38</v>
      </c>
      <c r="B1433" s="109" t="s">
        <v>1084</v>
      </c>
      <c r="C1433" s="109"/>
      <c r="D1433" s="317"/>
      <c r="E1433" s="110"/>
      <c r="F1433" s="317" t="s">
        <v>701</v>
      </c>
      <c r="G1433" s="110">
        <v>12</v>
      </c>
      <c r="H1433" s="109"/>
      <c r="I1433" s="111" t="s">
        <v>1085</v>
      </c>
      <c r="J1433" s="172">
        <f t="shared" si="41"/>
        <v>570</v>
      </c>
      <c r="K1433" s="171">
        <f t="shared" si="40"/>
        <v>570</v>
      </c>
      <c r="L1433" s="109"/>
      <c r="M1433" s="205"/>
    </row>
    <row r="1434" spans="1:13" s="125" customFormat="1" x14ac:dyDescent="0.2">
      <c r="A1434" s="109"/>
      <c r="B1434" s="109"/>
      <c r="C1434" s="109"/>
      <c r="D1434" s="317"/>
      <c r="E1434" s="110"/>
      <c r="F1434" s="317"/>
      <c r="G1434" s="110"/>
      <c r="H1434" s="109"/>
      <c r="I1434" s="111"/>
      <c r="J1434" s="172" t="str">
        <f t="shared" si="41"/>
        <v/>
      </c>
      <c r="K1434" s="171">
        <f t="shared" si="40"/>
        <v>582</v>
      </c>
      <c r="L1434" s="109"/>
      <c r="M1434" s="205"/>
    </row>
    <row r="1435" spans="1:13" s="125" customFormat="1" x14ac:dyDescent="0.2">
      <c r="A1435" s="109">
        <v>39</v>
      </c>
      <c r="B1435" s="109" t="s">
        <v>1086</v>
      </c>
      <c r="C1435" s="109"/>
      <c r="D1435" s="317"/>
      <c r="E1435" s="110"/>
      <c r="F1435" s="317" t="s">
        <v>701</v>
      </c>
      <c r="G1435" s="110">
        <v>10</v>
      </c>
      <c r="H1435" s="109"/>
      <c r="I1435" s="111" t="s">
        <v>1087</v>
      </c>
      <c r="J1435" s="172">
        <f t="shared" si="41"/>
        <v>582</v>
      </c>
      <c r="K1435" s="171">
        <f t="shared" si="40"/>
        <v>582</v>
      </c>
      <c r="L1435" s="109"/>
      <c r="M1435" s="205"/>
    </row>
    <row r="1436" spans="1:13" s="125" customFormat="1" x14ac:dyDescent="0.2">
      <c r="A1436" s="109"/>
      <c r="B1436" s="109"/>
      <c r="C1436" s="109"/>
      <c r="D1436" s="317"/>
      <c r="E1436" s="110"/>
      <c r="F1436" s="317"/>
      <c r="G1436" s="110"/>
      <c r="H1436" s="109"/>
      <c r="I1436" s="111" t="s">
        <v>1</v>
      </c>
      <c r="J1436" s="172" t="str">
        <f t="shared" si="41"/>
        <v/>
      </c>
      <c r="K1436" s="171">
        <f t="shared" si="40"/>
        <v>592</v>
      </c>
      <c r="L1436" s="109"/>
      <c r="M1436" s="205"/>
    </row>
    <row r="1437" spans="1:13" s="125" customFormat="1" x14ac:dyDescent="0.2">
      <c r="A1437" s="109">
        <v>40</v>
      </c>
      <c r="B1437" s="109" t="s">
        <v>1088</v>
      </c>
      <c r="C1437" s="109"/>
      <c r="D1437" s="317"/>
      <c r="E1437" s="110"/>
      <c r="F1437" s="317" t="s">
        <v>701</v>
      </c>
      <c r="G1437" s="110">
        <v>1</v>
      </c>
      <c r="H1437" s="109"/>
      <c r="I1437" s="111" t="s">
        <v>1089</v>
      </c>
      <c r="J1437" s="172">
        <f t="shared" si="41"/>
        <v>592</v>
      </c>
      <c r="K1437" s="171">
        <f t="shared" si="40"/>
        <v>592</v>
      </c>
      <c r="L1437" s="109"/>
      <c r="M1437" s="205"/>
    </row>
    <row r="1438" spans="1:13" s="125" customFormat="1" x14ac:dyDescent="0.2">
      <c r="A1438" s="109"/>
      <c r="B1438" s="109"/>
      <c r="C1438" s="109"/>
      <c r="D1438" s="317"/>
      <c r="E1438" s="110"/>
      <c r="F1438" s="317"/>
      <c r="G1438" s="110"/>
      <c r="H1438" s="109"/>
      <c r="I1438" s="111" t="s">
        <v>1079</v>
      </c>
      <c r="J1438" s="172" t="str">
        <f t="shared" si="41"/>
        <v/>
      </c>
      <c r="K1438" s="171">
        <f t="shared" ref="K1438:K1501" si="42">IF(A1438=1,1,+K1437+G1437)</f>
        <v>593</v>
      </c>
      <c r="L1438" s="109"/>
      <c r="M1438" s="205"/>
    </row>
    <row r="1439" spans="1:13" s="125" customFormat="1" x14ac:dyDescent="0.2">
      <c r="A1439" s="109"/>
      <c r="B1439" s="109"/>
      <c r="C1439" s="109"/>
      <c r="D1439" s="317"/>
      <c r="E1439" s="110"/>
      <c r="F1439" s="317"/>
      <c r="G1439" s="110"/>
      <c r="H1439" s="109"/>
      <c r="I1439" s="111" t="s">
        <v>1080</v>
      </c>
      <c r="J1439" s="172" t="str">
        <f t="shared" si="41"/>
        <v/>
      </c>
      <c r="K1439" s="171">
        <f t="shared" si="42"/>
        <v>593</v>
      </c>
      <c r="L1439" s="109"/>
      <c r="M1439" s="205"/>
    </row>
    <row r="1440" spans="1:13" s="125" customFormat="1" x14ac:dyDescent="0.2">
      <c r="A1440" s="109"/>
      <c r="B1440" s="109"/>
      <c r="C1440" s="109"/>
      <c r="D1440" s="317"/>
      <c r="E1440" s="110"/>
      <c r="F1440" s="317"/>
      <c r="G1440" s="110"/>
      <c r="H1440" s="109"/>
      <c r="I1440" s="111" t="s">
        <v>1081</v>
      </c>
      <c r="J1440" s="172" t="str">
        <f t="shared" si="41"/>
        <v/>
      </c>
      <c r="K1440" s="171">
        <f t="shared" si="42"/>
        <v>593</v>
      </c>
      <c r="L1440" s="109"/>
      <c r="M1440" s="205"/>
    </row>
    <row r="1441" spans="1:13" s="125" customFormat="1" x14ac:dyDescent="0.2">
      <c r="A1441" s="109"/>
      <c r="B1441" s="109"/>
      <c r="C1441" s="109"/>
      <c r="D1441" s="317"/>
      <c r="E1441" s="110"/>
      <c r="F1441" s="317"/>
      <c r="G1441" s="110"/>
      <c r="H1441" s="109"/>
      <c r="I1441" s="111" t="s">
        <v>1082</v>
      </c>
      <c r="J1441" s="172" t="str">
        <f t="shared" si="41"/>
        <v/>
      </c>
      <c r="K1441" s="171">
        <f t="shared" si="42"/>
        <v>593</v>
      </c>
      <c r="L1441" s="109"/>
      <c r="M1441" s="205"/>
    </row>
    <row r="1442" spans="1:13" s="125" customFormat="1" x14ac:dyDescent="0.2">
      <c r="A1442" s="109"/>
      <c r="B1442" s="109"/>
      <c r="C1442" s="109"/>
      <c r="D1442" s="317"/>
      <c r="E1442" s="110"/>
      <c r="F1442" s="317"/>
      <c r="G1442" s="110"/>
      <c r="H1442" s="109"/>
      <c r="I1442" s="111" t="s">
        <v>1083</v>
      </c>
      <c r="J1442" s="172" t="str">
        <f t="shared" si="41"/>
        <v/>
      </c>
      <c r="K1442" s="171">
        <f t="shared" si="42"/>
        <v>593</v>
      </c>
      <c r="L1442" s="109"/>
      <c r="M1442" s="205"/>
    </row>
    <row r="1443" spans="1:13" s="125" customFormat="1" x14ac:dyDescent="0.2">
      <c r="A1443" s="109"/>
      <c r="B1443" s="109"/>
      <c r="C1443" s="109"/>
      <c r="D1443" s="317"/>
      <c r="E1443" s="110"/>
      <c r="F1443" s="317"/>
      <c r="G1443" s="110"/>
      <c r="H1443" s="109"/>
      <c r="I1443" s="111"/>
      <c r="J1443" s="172" t="str">
        <f t="shared" si="41"/>
        <v/>
      </c>
      <c r="K1443" s="171">
        <f t="shared" si="42"/>
        <v>593</v>
      </c>
      <c r="L1443" s="109"/>
      <c r="M1443" s="205"/>
    </row>
    <row r="1444" spans="1:13" s="125" customFormat="1" x14ac:dyDescent="0.2">
      <c r="A1444" s="109">
        <v>41</v>
      </c>
      <c r="B1444" s="109" t="s">
        <v>1090</v>
      </c>
      <c r="C1444" s="109"/>
      <c r="D1444" s="317"/>
      <c r="E1444" s="110"/>
      <c r="F1444" s="317" t="s">
        <v>701</v>
      </c>
      <c r="G1444" s="110">
        <v>12</v>
      </c>
      <c r="H1444" s="109"/>
      <c r="I1444" s="111" t="s">
        <v>1091</v>
      </c>
      <c r="J1444" s="172">
        <f t="shared" si="41"/>
        <v>593</v>
      </c>
      <c r="K1444" s="171">
        <f t="shared" si="42"/>
        <v>593</v>
      </c>
      <c r="L1444" s="109"/>
      <c r="M1444" s="205"/>
    </row>
    <row r="1445" spans="1:13" s="125" customFormat="1" x14ac:dyDescent="0.2">
      <c r="A1445" s="109"/>
      <c r="B1445" s="109"/>
      <c r="C1445" s="109"/>
      <c r="D1445" s="317"/>
      <c r="E1445" s="110"/>
      <c r="F1445" s="317"/>
      <c r="G1445" s="110"/>
      <c r="H1445" s="109"/>
      <c r="I1445" s="111"/>
      <c r="J1445" s="172" t="str">
        <f t="shared" si="41"/>
        <v/>
      </c>
      <c r="K1445" s="171">
        <f t="shared" si="42"/>
        <v>605</v>
      </c>
      <c r="L1445" s="109"/>
      <c r="M1445" s="205"/>
    </row>
    <row r="1446" spans="1:13" s="125" customFormat="1" x14ac:dyDescent="0.2">
      <c r="A1446" s="109">
        <v>42</v>
      </c>
      <c r="B1446" s="109" t="s">
        <v>1092</v>
      </c>
      <c r="C1446" s="109"/>
      <c r="D1446" s="317"/>
      <c r="E1446" s="110"/>
      <c r="F1446" s="317" t="s">
        <v>701</v>
      </c>
      <c r="G1446" s="110">
        <v>10</v>
      </c>
      <c r="H1446" s="109"/>
      <c r="I1446" s="111" t="s">
        <v>1093</v>
      </c>
      <c r="J1446" s="172">
        <f t="shared" si="41"/>
        <v>605</v>
      </c>
      <c r="K1446" s="171">
        <f t="shared" si="42"/>
        <v>605</v>
      </c>
      <c r="L1446" s="109"/>
      <c r="M1446" s="205"/>
    </row>
    <row r="1447" spans="1:13" s="125" customFormat="1" x14ac:dyDescent="0.2">
      <c r="A1447" s="217"/>
      <c r="D1447" s="318"/>
      <c r="E1447" s="126"/>
      <c r="F1447" s="318"/>
      <c r="G1447" s="215"/>
      <c r="I1447" s="216" t="s">
        <v>1</v>
      </c>
      <c r="J1447" s="172" t="str">
        <f t="shared" si="41"/>
        <v/>
      </c>
      <c r="K1447" s="171">
        <f t="shared" si="42"/>
        <v>615</v>
      </c>
      <c r="L1447" s="109"/>
      <c r="M1447" s="205"/>
    </row>
    <row r="1448" spans="1:13" x14ac:dyDescent="0.2">
      <c r="A1448" s="191">
        <v>43</v>
      </c>
      <c r="B1448" s="121" t="s">
        <v>782</v>
      </c>
      <c r="F1448" s="317" t="s">
        <v>772</v>
      </c>
      <c r="G1448" s="204">
        <f>D1296-J1446-G1446+1</f>
        <v>236</v>
      </c>
      <c r="H1448" s="191" t="s">
        <v>1</v>
      </c>
      <c r="I1448" s="145" t="s">
        <v>965</v>
      </c>
      <c r="J1448" s="172">
        <f t="shared" si="41"/>
        <v>615</v>
      </c>
      <c r="K1448" s="171">
        <f t="shared" si="42"/>
        <v>615</v>
      </c>
    </row>
    <row r="1449" spans="1:13" ht="15.75" thickBot="1" x14ac:dyDescent="0.25">
      <c r="A1449" s="191"/>
      <c r="G1449" s="204"/>
      <c r="J1449" s="172" t="str">
        <f t="shared" si="41"/>
        <v/>
      </c>
      <c r="K1449" s="171"/>
    </row>
    <row r="1450" spans="1:13" ht="16.5" thickTop="1" thickBot="1" x14ac:dyDescent="0.25">
      <c r="B1450" s="218" t="s">
        <v>755</v>
      </c>
      <c r="C1450" s="139"/>
      <c r="D1450" s="323" t="s">
        <v>706</v>
      </c>
      <c r="E1450" s="118"/>
      <c r="F1450" s="321"/>
      <c r="G1450" s="118"/>
      <c r="H1450" s="117"/>
      <c r="I1450" s="152"/>
      <c r="J1450" s="172" t="str">
        <f t="shared" si="41"/>
        <v/>
      </c>
      <c r="K1450" s="171"/>
    </row>
    <row r="1451" spans="1:13" ht="15.75" thickTop="1" x14ac:dyDescent="0.2">
      <c r="B1451" s="138"/>
      <c r="D1451" s="321"/>
      <c r="E1451" s="118"/>
      <c r="F1451" s="321"/>
      <c r="G1451" s="118"/>
      <c r="H1451" s="117"/>
      <c r="J1451" s="172" t="str">
        <f t="shared" si="41"/>
        <v/>
      </c>
      <c r="K1451" s="171"/>
    </row>
    <row r="1452" spans="1:13" x14ac:dyDescent="0.2">
      <c r="A1452" s="219" t="s">
        <v>1</v>
      </c>
      <c r="B1452" s="220" t="s">
        <v>756</v>
      </c>
      <c r="C1452" s="221"/>
      <c r="D1452" s="336" t="s">
        <v>681</v>
      </c>
      <c r="E1452" s="219"/>
      <c r="F1452" s="336"/>
      <c r="G1452" s="219"/>
      <c r="H1452" s="221"/>
      <c r="I1452" s="222"/>
      <c r="J1452" s="172" t="str">
        <f t="shared" si="41"/>
        <v/>
      </c>
      <c r="K1452" s="171"/>
    </row>
    <row r="1453" spans="1:13" x14ac:dyDescent="0.2">
      <c r="A1453" s="221"/>
      <c r="B1453" s="220" t="s">
        <v>757</v>
      </c>
      <c r="C1453" s="130"/>
      <c r="D1453" s="336">
        <f xml:space="preserve"> F13</f>
        <v>200</v>
      </c>
      <c r="E1453" s="219" t="s">
        <v>758</v>
      </c>
      <c r="F1453" s="336"/>
      <c r="G1453" s="219"/>
      <c r="H1453" s="221"/>
      <c r="I1453" s="223"/>
      <c r="J1453" s="172" t="str">
        <f t="shared" si="41"/>
        <v/>
      </c>
      <c r="K1453" s="171"/>
    </row>
    <row r="1454" spans="1:13" x14ac:dyDescent="0.2">
      <c r="A1454" s="221"/>
      <c r="B1454" s="221"/>
      <c r="C1454" s="221"/>
      <c r="D1454" s="336"/>
      <c r="E1454" s="219"/>
      <c r="F1454" s="336"/>
      <c r="G1454" s="219"/>
      <c r="H1454" s="221"/>
      <c r="I1454" s="223"/>
      <c r="J1454" s="172" t="str">
        <f t="shared" si="41"/>
        <v/>
      </c>
      <c r="K1454" s="171"/>
    </row>
    <row r="1455" spans="1:13" s="108" customFormat="1" x14ac:dyDescent="0.2">
      <c r="A1455" s="165" t="s">
        <v>759</v>
      </c>
      <c r="B1455" s="166" t="s">
        <v>712</v>
      </c>
      <c r="C1455" s="167"/>
      <c r="D1455" s="327" t="s">
        <v>713</v>
      </c>
      <c r="E1455" s="168"/>
      <c r="F1455" s="327" t="s">
        <v>760</v>
      </c>
      <c r="G1455" s="156" t="s">
        <v>715</v>
      </c>
      <c r="H1455" s="167"/>
      <c r="I1455" s="169" t="s">
        <v>716</v>
      </c>
      <c r="J1455" s="172">
        <f t="shared" si="41"/>
        <v>0</v>
      </c>
      <c r="K1455" s="171"/>
    </row>
    <row r="1456" spans="1:13" x14ac:dyDescent="0.2">
      <c r="A1456" s="117" t="s">
        <v>1</v>
      </c>
      <c r="B1456" s="117"/>
      <c r="C1456" s="117"/>
      <c r="D1456" s="321"/>
      <c r="E1456" s="118"/>
      <c r="F1456" s="321"/>
      <c r="G1456" s="118"/>
      <c r="H1456" s="117"/>
      <c r="I1456" s="144"/>
      <c r="J1456" s="172" t="str">
        <f t="shared" si="41"/>
        <v/>
      </c>
      <c r="K1456" s="171"/>
    </row>
    <row r="1457" spans="1:11" x14ac:dyDescent="0.2">
      <c r="A1457" s="121" t="s">
        <v>1</v>
      </c>
      <c r="B1457" s="121" t="s">
        <v>762</v>
      </c>
      <c r="J1457" s="172" t="str">
        <f t="shared" si="41"/>
        <v/>
      </c>
      <c r="K1457" s="171"/>
    </row>
    <row r="1458" spans="1:11" x14ac:dyDescent="0.2">
      <c r="A1458" s="109">
        <v>1</v>
      </c>
      <c r="B1458" s="121" t="s">
        <v>763</v>
      </c>
      <c r="D1458" s="317" t="s">
        <v>1095</v>
      </c>
      <c r="F1458" s="317" t="s">
        <v>701</v>
      </c>
      <c r="G1458" s="110">
        <v>4</v>
      </c>
      <c r="I1458" s="145" t="s">
        <v>765</v>
      </c>
      <c r="J1458" s="172">
        <f t="shared" si="41"/>
        <v>4</v>
      </c>
      <c r="K1458" s="171">
        <f t="shared" si="42"/>
        <v>1</v>
      </c>
    </row>
    <row r="1459" spans="1:11" x14ac:dyDescent="0.2">
      <c r="J1459" s="172" t="str">
        <f t="shared" si="41"/>
        <v/>
      </c>
      <c r="K1459" s="171">
        <f t="shared" si="42"/>
        <v>5</v>
      </c>
    </row>
    <row r="1460" spans="1:11" x14ac:dyDescent="0.2">
      <c r="A1460" s="109">
        <v>2</v>
      </c>
      <c r="B1460" s="121" t="s">
        <v>766</v>
      </c>
      <c r="D1460" s="317" t="s">
        <v>767</v>
      </c>
      <c r="F1460" s="317" t="s">
        <v>701</v>
      </c>
      <c r="G1460" s="110">
        <v>1</v>
      </c>
      <c r="I1460" s="145" t="s">
        <v>768</v>
      </c>
      <c r="J1460" s="172">
        <f t="shared" si="41"/>
        <v>5</v>
      </c>
      <c r="K1460" s="171">
        <f t="shared" si="42"/>
        <v>5</v>
      </c>
    </row>
    <row r="1461" spans="1:11" x14ac:dyDescent="0.2">
      <c r="J1461" s="172" t="str">
        <f t="shared" si="41"/>
        <v/>
      </c>
      <c r="K1461" s="171">
        <f t="shared" si="42"/>
        <v>6</v>
      </c>
    </row>
    <row r="1462" spans="1:11" x14ac:dyDescent="0.2">
      <c r="A1462" s="109">
        <v>3</v>
      </c>
      <c r="B1462" s="121" t="s">
        <v>769</v>
      </c>
      <c r="D1462" s="317" t="s">
        <v>770</v>
      </c>
      <c r="F1462" s="317" t="s">
        <v>701</v>
      </c>
      <c r="G1462" s="110">
        <v>4</v>
      </c>
      <c r="I1462" s="145" t="s">
        <v>768</v>
      </c>
      <c r="J1462" s="172">
        <f t="shared" si="41"/>
        <v>6</v>
      </c>
      <c r="K1462" s="171">
        <f t="shared" si="42"/>
        <v>6</v>
      </c>
    </row>
    <row r="1463" spans="1:11" x14ac:dyDescent="0.2">
      <c r="J1463" s="172" t="str">
        <f t="shared" si="41"/>
        <v/>
      </c>
      <c r="K1463" s="171">
        <f t="shared" si="42"/>
        <v>10</v>
      </c>
    </row>
    <row r="1464" spans="1:11" x14ac:dyDescent="0.2">
      <c r="A1464" s="109">
        <v>4</v>
      </c>
      <c r="B1464" s="121" t="s">
        <v>771</v>
      </c>
      <c r="F1464" s="317" t="s">
        <v>772</v>
      </c>
      <c r="G1464" s="110">
        <v>1</v>
      </c>
      <c r="I1464" s="145" t="s">
        <v>773</v>
      </c>
      <c r="J1464" s="172">
        <f t="shared" si="41"/>
        <v>10</v>
      </c>
      <c r="K1464" s="171">
        <f t="shared" si="42"/>
        <v>10</v>
      </c>
    </row>
    <row r="1465" spans="1:11" x14ac:dyDescent="0.2">
      <c r="J1465" s="172" t="str">
        <f t="shared" si="41"/>
        <v/>
      </c>
      <c r="K1465" s="171">
        <f t="shared" si="42"/>
        <v>11</v>
      </c>
    </row>
    <row r="1466" spans="1:11" x14ac:dyDescent="0.2">
      <c r="B1466" s="173" t="s">
        <v>1096</v>
      </c>
      <c r="J1466" s="172" t="str">
        <f t="shared" si="41"/>
        <v/>
      </c>
      <c r="K1466" s="171">
        <f t="shared" si="42"/>
        <v>11</v>
      </c>
    </row>
    <row r="1467" spans="1:11" x14ac:dyDescent="0.2">
      <c r="J1467" s="172" t="str">
        <f t="shared" si="41"/>
        <v/>
      </c>
      <c r="K1467" s="171">
        <f t="shared" si="42"/>
        <v>11</v>
      </c>
    </row>
    <row r="1468" spans="1:11" x14ac:dyDescent="0.2">
      <c r="A1468" s="154">
        <v>5</v>
      </c>
      <c r="B1468" s="121" t="s">
        <v>1097</v>
      </c>
      <c r="D1468" s="317" t="s">
        <v>1</v>
      </c>
      <c r="F1468" s="317" t="s">
        <v>701</v>
      </c>
      <c r="G1468" s="110">
        <v>4</v>
      </c>
      <c r="I1468" s="111" t="s">
        <v>1098</v>
      </c>
      <c r="J1468" s="172">
        <f t="shared" si="41"/>
        <v>11</v>
      </c>
      <c r="K1468" s="171">
        <f t="shared" si="42"/>
        <v>11</v>
      </c>
    </row>
    <row r="1469" spans="1:11" x14ac:dyDescent="0.2">
      <c r="A1469" s="154"/>
      <c r="I1469" s="111" t="s">
        <v>1099</v>
      </c>
      <c r="J1469" s="172" t="str">
        <f t="shared" si="41"/>
        <v/>
      </c>
      <c r="K1469" s="171">
        <f t="shared" si="42"/>
        <v>15</v>
      </c>
    </row>
    <row r="1470" spans="1:11" x14ac:dyDescent="0.2">
      <c r="A1470" s="154"/>
      <c r="J1470" s="172" t="str">
        <f t="shared" si="41"/>
        <v/>
      </c>
      <c r="K1470" s="171">
        <f t="shared" si="42"/>
        <v>15</v>
      </c>
    </row>
    <row r="1471" spans="1:11" x14ac:dyDescent="0.2">
      <c r="A1471" s="154">
        <v>6</v>
      </c>
      <c r="B1471" s="109" t="s">
        <v>1100</v>
      </c>
      <c r="F1471" s="317" t="s">
        <v>701</v>
      </c>
      <c r="G1471" s="110">
        <v>3</v>
      </c>
      <c r="I1471" s="111" t="s">
        <v>1101</v>
      </c>
      <c r="J1471" s="172">
        <f t="shared" si="41"/>
        <v>15</v>
      </c>
      <c r="K1471" s="171">
        <f t="shared" si="42"/>
        <v>15</v>
      </c>
    </row>
    <row r="1472" spans="1:11" x14ac:dyDescent="0.2">
      <c r="A1472" s="154"/>
      <c r="I1472" s="111" t="s">
        <v>1102</v>
      </c>
      <c r="J1472" s="172" t="str">
        <f t="shared" si="41"/>
        <v/>
      </c>
      <c r="K1472" s="171">
        <f t="shared" si="42"/>
        <v>18</v>
      </c>
    </row>
    <row r="1473" spans="1:11" x14ac:dyDescent="0.2">
      <c r="A1473" s="154"/>
      <c r="J1473" s="172" t="str">
        <f t="shared" si="41"/>
        <v/>
      </c>
      <c r="K1473" s="171">
        <f t="shared" si="42"/>
        <v>18</v>
      </c>
    </row>
    <row r="1474" spans="1:11" ht="30" x14ac:dyDescent="0.2">
      <c r="A1474" s="154">
        <v>7</v>
      </c>
      <c r="B1474" s="121" t="s">
        <v>1103</v>
      </c>
      <c r="F1474" s="317" t="s">
        <v>772</v>
      </c>
      <c r="G1474" s="110">
        <v>100</v>
      </c>
      <c r="I1474" s="145" t="s">
        <v>1104</v>
      </c>
      <c r="J1474" s="172">
        <f t="shared" si="41"/>
        <v>18</v>
      </c>
      <c r="K1474" s="171">
        <f t="shared" si="42"/>
        <v>18</v>
      </c>
    </row>
    <row r="1475" spans="1:11" x14ac:dyDescent="0.2">
      <c r="A1475" s="157"/>
      <c r="I1475" s="111" t="s">
        <v>1105</v>
      </c>
      <c r="J1475" s="172" t="str">
        <f t="shared" ref="J1475:J1538" si="43">IF(A1475=1, 4,IF(G1475="", "",+K1475))</f>
        <v/>
      </c>
      <c r="K1475" s="171">
        <f t="shared" si="42"/>
        <v>118</v>
      </c>
    </row>
    <row r="1476" spans="1:11" x14ac:dyDescent="0.2">
      <c r="I1476" s="111" t="s">
        <v>1106</v>
      </c>
      <c r="J1476" s="172" t="str">
        <f t="shared" si="43"/>
        <v/>
      </c>
      <c r="K1476" s="171">
        <f t="shared" si="42"/>
        <v>118</v>
      </c>
    </row>
    <row r="1477" spans="1:11" x14ac:dyDescent="0.2">
      <c r="J1477" s="172" t="str">
        <f t="shared" si="43"/>
        <v/>
      </c>
      <c r="K1477" s="171">
        <f t="shared" si="42"/>
        <v>118</v>
      </c>
    </row>
    <row r="1478" spans="1:11" ht="15.75" thickBot="1" x14ac:dyDescent="0.25">
      <c r="A1478" s="109">
        <v>8</v>
      </c>
      <c r="B1478" s="121" t="s">
        <v>782</v>
      </c>
      <c r="F1478" s="317" t="s">
        <v>772</v>
      </c>
      <c r="G1478" s="204">
        <f>D1453-J1474-G1474+1</f>
        <v>83</v>
      </c>
      <c r="I1478" s="145" t="s">
        <v>965</v>
      </c>
      <c r="J1478" s="172">
        <f t="shared" si="43"/>
        <v>118</v>
      </c>
      <c r="K1478" s="171">
        <f t="shared" si="42"/>
        <v>118</v>
      </c>
    </row>
    <row r="1479" spans="1:11" ht="16.5" thickTop="1" thickBot="1" x14ac:dyDescent="0.25">
      <c r="B1479" s="218" t="s">
        <v>755</v>
      </c>
      <c r="C1479" s="139"/>
      <c r="D1479" s="323" t="s">
        <v>977</v>
      </c>
      <c r="E1479" s="118"/>
      <c r="F1479" s="321"/>
      <c r="G1479" s="118"/>
      <c r="H1479" s="117"/>
      <c r="I1479" s="152"/>
      <c r="J1479" s="172" t="str">
        <f t="shared" si="43"/>
        <v/>
      </c>
      <c r="K1479" s="171"/>
    </row>
    <row r="1480" spans="1:11" ht="15.75" thickTop="1" x14ac:dyDescent="0.2">
      <c r="B1480" s="138"/>
      <c r="D1480" s="321"/>
      <c r="E1480" s="118"/>
      <c r="F1480" s="321"/>
      <c r="G1480" s="118"/>
      <c r="H1480" s="117"/>
      <c r="J1480" s="172" t="str">
        <f t="shared" si="43"/>
        <v/>
      </c>
      <c r="K1480" s="171"/>
    </row>
    <row r="1481" spans="1:11" x14ac:dyDescent="0.2">
      <c r="A1481" s="219" t="s">
        <v>1</v>
      </c>
      <c r="B1481" s="220" t="s">
        <v>912</v>
      </c>
      <c r="C1481" s="221"/>
      <c r="D1481" s="336" t="s">
        <v>681</v>
      </c>
      <c r="E1481" s="219"/>
      <c r="F1481" s="336"/>
      <c r="G1481" s="219"/>
      <c r="H1481" s="221"/>
      <c r="I1481" s="222"/>
      <c r="J1481" s="172" t="str">
        <f t="shared" si="43"/>
        <v/>
      </c>
      <c r="K1481" s="171"/>
    </row>
    <row r="1482" spans="1:11" x14ac:dyDescent="0.2">
      <c r="A1482" s="221"/>
      <c r="B1482" s="220" t="s">
        <v>757</v>
      </c>
      <c r="C1482" s="130"/>
      <c r="D1482" s="336">
        <f xml:space="preserve"> G13</f>
        <v>200</v>
      </c>
      <c r="E1482" s="219" t="s">
        <v>758</v>
      </c>
      <c r="F1482" s="336"/>
      <c r="G1482" s="219"/>
      <c r="H1482" s="221"/>
      <c r="I1482" s="223"/>
      <c r="J1482" s="172" t="str">
        <f t="shared" si="43"/>
        <v/>
      </c>
      <c r="K1482" s="171"/>
    </row>
    <row r="1483" spans="1:11" x14ac:dyDescent="0.2">
      <c r="A1483" s="221"/>
      <c r="B1483" s="221"/>
      <c r="C1483" s="221"/>
      <c r="D1483" s="336"/>
      <c r="E1483" s="219"/>
      <c r="F1483" s="336"/>
      <c r="G1483" s="219"/>
      <c r="H1483" s="221"/>
      <c r="I1483" s="223"/>
      <c r="J1483" s="172" t="str">
        <f t="shared" si="43"/>
        <v/>
      </c>
      <c r="K1483" s="171"/>
    </row>
    <row r="1484" spans="1:11" s="108" customFormat="1" x14ac:dyDescent="0.2">
      <c r="A1484" s="165" t="s">
        <v>759</v>
      </c>
      <c r="B1484" s="166" t="s">
        <v>712</v>
      </c>
      <c r="C1484" s="167"/>
      <c r="D1484" s="327" t="s">
        <v>713</v>
      </c>
      <c r="E1484" s="168"/>
      <c r="F1484" s="327" t="s">
        <v>760</v>
      </c>
      <c r="G1484" s="156" t="s">
        <v>715</v>
      </c>
      <c r="H1484" s="167"/>
      <c r="I1484" s="169" t="s">
        <v>716</v>
      </c>
      <c r="J1484" s="172">
        <f t="shared" si="43"/>
        <v>0</v>
      </c>
      <c r="K1484" s="171"/>
    </row>
    <row r="1485" spans="1:11" x14ac:dyDescent="0.2">
      <c r="A1485" s="117" t="s">
        <v>1</v>
      </c>
      <c r="B1485" s="117"/>
      <c r="C1485" s="117"/>
      <c r="D1485" s="321"/>
      <c r="E1485" s="118"/>
      <c r="F1485" s="321"/>
      <c r="G1485" s="118"/>
      <c r="H1485" s="117"/>
      <c r="I1485" s="144"/>
      <c r="J1485" s="172" t="str">
        <f t="shared" si="43"/>
        <v/>
      </c>
      <c r="K1485" s="171"/>
    </row>
    <row r="1486" spans="1:11" x14ac:dyDescent="0.2">
      <c r="A1486" s="121" t="s">
        <v>1</v>
      </c>
      <c r="B1486" s="121" t="s">
        <v>762</v>
      </c>
      <c r="J1486" s="172" t="str">
        <f t="shared" si="43"/>
        <v/>
      </c>
      <c r="K1486" s="171"/>
    </row>
    <row r="1487" spans="1:11" x14ac:dyDescent="0.2">
      <c r="A1487" s="109">
        <v>1</v>
      </c>
      <c r="B1487" s="121" t="s">
        <v>763</v>
      </c>
      <c r="D1487" s="317" t="s">
        <v>1095</v>
      </c>
      <c r="F1487" s="317" t="s">
        <v>701</v>
      </c>
      <c r="G1487" s="110">
        <v>4</v>
      </c>
      <c r="I1487" s="145" t="s">
        <v>765</v>
      </c>
      <c r="J1487" s="172">
        <f t="shared" si="43"/>
        <v>4</v>
      </c>
      <c r="K1487" s="171">
        <f t="shared" si="42"/>
        <v>1</v>
      </c>
    </row>
    <row r="1488" spans="1:11" x14ac:dyDescent="0.2">
      <c r="J1488" s="172" t="str">
        <f t="shared" si="43"/>
        <v/>
      </c>
      <c r="K1488" s="171">
        <f t="shared" si="42"/>
        <v>5</v>
      </c>
    </row>
    <row r="1489" spans="1:11" x14ac:dyDescent="0.2">
      <c r="A1489" s="109">
        <v>2</v>
      </c>
      <c r="B1489" s="121" t="s">
        <v>766</v>
      </c>
      <c r="D1489" s="317" t="s">
        <v>767</v>
      </c>
      <c r="F1489" s="317" t="s">
        <v>701</v>
      </c>
      <c r="G1489" s="110">
        <v>1</v>
      </c>
      <c r="I1489" s="145" t="s">
        <v>768</v>
      </c>
      <c r="J1489" s="172">
        <f t="shared" si="43"/>
        <v>5</v>
      </c>
      <c r="K1489" s="171">
        <f t="shared" si="42"/>
        <v>5</v>
      </c>
    </row>
    <row r="1490" spans="1:11" x14ac:dyDescent="0.2">
      <c r="J1490" s="172" t="str">
        <f t="shared" si="43"/>
        <v/>
      </c>
      <c r="K1490" s="171">
        <f t="shared" si="42"/>
        <v>6</v>
      </c>
    </row>
    <row r="1491" spans="1:11" x14ac:dyDescent="0.2">
      <c r="A1491" s="109">
        <v>3</v>
      </c>
      <c r="B1491" s="121" t="s">
        <v>769</v>
      </c>
      <c r="D1491" s="317" t="s">
        <v>770</v>
      </c>
      <c r="F1491" s="317" t="s">
        <v>701</v>
      </c>
      <c r="G1491" s="110">
        <v>4</v>
      </c>
      <c r="I1491" s="145" t="s">
        <v>768</v>
      </c>
      <c r="J1491" s="172">
        <f t="shared" si="43"/>
        <v>6</v>
      </c>
      <c r="K1491" s="171">
        <f t="shared" si="42"/>
        <v>6</v>
      </c>
    </row>
    <row r="1492" spans="1:11" x14ac:dyDescent="0.2">
      <c r="J1492" s="172" t="str">
        <f t="shared" si="43"/>
        <v/>
      </c>
      <c r="K1492" s="171">
        <f t="shared" si="42"/>
        <v>10</v>
      </c>
    </row>
    <row r="1493" spans="1:11" x14ac:dyDescent="0.2">
      <c r="A1493" s="109">
        <v>4</v>
      </c>
      <c r="B1493" s="121" t="s">
        <v>771</v>
      </c>
      <c r="F1493" s="317" t="s">
        <v>772</v>
      </c>
      <c r="G1493" s="110">
        <v>1</v>
      </c>
      <c r="I1493" s="145" t="s">
        <v>773</v>
      </c>
      <c r="J1493" s="172">
        <f t="shared" si="43"/>
        <v>10</v>
      </c>
      <c r="K1493" s="171">
        <f t="shared" si="42"/>
        <v>10</v>
      </c>
    </row>
    <row r="1494" spans="1:11" x14ac:dyDescent="0.2">
      <c r="J1494" s="172" t="str">
        <f t="shared" si="43"/>
        <v/>
      </c>
      <c r="K1494" s="171">
        <f t="shared" si="42"/>
        <v>11</v>
      </c>
    </row>
    <row r="1495" spans="1:11" x14ac:dyDescent="0.2">
      <c r="B1495" s="173" t="s">
        <v>1096</v>
      </c>
      <c r="J1495" s="172" t="str">
        <f t="shared" si="43"/>
        <v/>
      </c>
      <c r="K1495" s="171">
        <f t="shared" si="42"/>
        <v>11</v>
      </c>
    </row>
    <row r="1496" spans="1:11" x14ac:dyDescent="0.2">
      <c r="J1496" s="172" t="str">
        <f t="shared" si="43"/>
        <v/>
      </c>
      <c r="K1496" s="171">
        <f t="shared" si="42"/>
        <v>11</v>
      </c>
    </row>
    <row r="1497" spans="1:11" x14ac:dyDescent="0.2">
      <c r="A1497" s="154">
        <v>5</v>
      </c>
      <c r="B1497" s="121" t="s">
        <v>1097</v>
      </c>
      <c r="D1497" s="317" t="s">
        <v>1</v>
      </c>
      <c r="F1497" s="317" t="s">
        <v>701</v>
      </c>
      <c r="G1497" s="110">
        <v>4</v>
      </c>
      <c r="I1497" s="111" t="s">
        <v>1098</v>
      </c>
      <c r="J1497" s="172">
        <f t="shared" si="43"/>
        <v>11</v>
      </c>
      <c r="K1497" s="171">
        <f t="shared" si="42"/>
        <v>11</v>
      </c>
    </row>
    <row r="1498" spans="1:11" x14ac:dyDescent="0.2">
      <c r="A1498" s="154"/>
      <c r="I1498" s="111" t="s">
        <v>1099</v>
      </c>
      <c r="J1498" s="172" t="str">
        <f t="shared" si="43"/>
        <v/>
      </c>
      <c r="K1498" s="171">
        <f t="shared" si="42"/>
        <v>15</v>
      </c>
    </row>
    <row r="1499" spans="1:11" x14ac:dyDescent="0.2">
      <c r="A1499" s="154"/>
      <c r="J1499" s="172" t="str">
        <f t="shared" si="43"/>
        <v/>
      </c>
      <c r="K1499" s="171">
        <f t="shared" si="42"/>
        <v>15</v>
      </c>
    </row>
    <row r="1500" spans="1:11" x14ac:dyDescent="0.2">
      <c r="A1500" s="154">
        <v>6</v>
      </c>
      <c r="B1500" s="109" t="s">
        <v>1100</v>
      </c>
      <c r="F1500" s="317" t="s">
        <v>701</v>
      </c>
      <c r="G1500" s="110">
        <v>3</v>
      </c>
      <c r="I1500" s="111" t="s">
        <v>1101</v>
      </c>
      <c r="J1500" s="172">
        <f t="shared" si="43"/>
        <v>15</v>
      </c>
      <c r="K1500" s="171">
        <f t="shared" si="42"/>
        <v>15</v>
      </c>
    </row>
    <row r="1501" spans="1:11" x14ac:dyDescent="0.2">
      <c r="A1501" s="154"/>
      <c r="I1501" s="111" t="s">
        <v>1102</v>
      </c>
      <c r="J1501" s="172" t="str">
        <f t="shared" si="43"/>
        <v/>
      </c>
      <c r="K1501" s="171">
        <f t="shared" si="42"/>
        <v>18</v>
      </c>
    </row>
    <row r="1502" spans="1:11" x14ac:dyDescent="0.2">
      <c r="A1502" s="154"/>
      <c r="J1502" s="172" t="str">
        <f t="shared" si="43"/>
        <v/>
      </c>
      <c r="K1502" s="171">
        <f t="shared" ref="K1502:K1565" si="44">IF(A1502=1,1,+K1501+G1501)</f>
        <v>18</v>
      </c>
    </row>
    <row r="1503" spans="1:11" ht="30" x14ac:dyDescent="0.2">
      <c r="A1503" s="154">
        <v>7</v>
      </c>
      <c r="B1503" s="121" t="s">
        <v>1103</v>
      </c>
      <c r="F1503" s="317" t="s">
        <v>772</v>
      </c>
      <c r="G1503" s="110">
        <v>100</v>
      </c>
      <c r="I1503" s="145" t="s">
        <v>1104</v>
      </c>
      <c r="J1503" s="172">
        <f t="shared" si="43"/>
        <v>18</v>
      </c>
      <c r="K1503" s="171">
        <f t="shared" si="44"/>
        <v>18</v>
      </c>
    </row>
    <row r="1504" spans="1:11" x14ac:dyDescent="0.2">
      <c r="A1504" s="157"/>
      <c r="I1504" s="111" t="s">
        <v>1105</v>
      </c>
      <c r="J1504" s="172" t="str">
        <f t="shared" si="43"/>
        <v/>
      </c>
      <c r="K1504" s="171">
        <f t="shared" si="44"/>
        <v>118</v>
      </c>
    </row>
    <row r="1505" spans="1:11" x14ac:dyDescent="0.2">
      <c r="I1505" s="111" t="s">
        <v>1106</v>
      </c>
      <c r="J1505" s="172" t="str">
        <f t="shared" si="43"/>
        <v/>
      </c>
      <c r="K1505" s="171">
        <f t="shared" si="44"/>
        <v>118</v>
      </c>
    </row>
    <row r="1506" spans="1:11" x14ac:dyDescent="0.2">
      <c r="B1506" s="121"/>
      <c r="I1506" s="145"/>
      <c r="J1506" s="172" t="str">
        <f t="shared" si="43"/>
        <v/>
      </c>
      <c r="K1506" s="171">
        <f t="shared" si="44"/>
        <v>118</v>
      </c>
    </row>
    <row r="1507" spans="1:11" ht="15.75" thickBot="1" x14ac:dyDescent="0.25">
      <c r="A1507" s="109">
        <v>8</v>
      </c>
      <c r="B1507" s="121" t="s">
        <v>782</v>
      </c>
      <c r="F1507" s="317" t="s">
        <v>772</v>
      </c>
      <c r="G1507" s="204">
        <f>D1482-J1503-G1503+1</f>
        <v>83</v>
      </c>
      <c r="I1507" s="145" t="s">
        <v>965</v>
      </c>
      <c r="J1507" s="172">
        <f t="shared" si="43"/>
        <v>118</v>
      </c>
      <c r="K1507" s="171">
        <f t="shared" si="44"/>
        <v>118</v>
      </c>
    </row>
    <row r="1508" spans="1:11" ht="16.5" thickTop="1" thickBot="1" x14ac:dyDescent="0.25">
      <c r="A1508" s="191"/>
      <c r="B1508" s="224" t="s">
        <v>755</v>
      </c>
      <c r="C1508" s="139"/>
      <c r="D1508" s="323" t="s">
        <v>706</v>
      </c>
      <c r="E1508" s="118"/>
      <c r="F1508" s="321"/>
      <c r="G1508" s="193"/>
      <c r="H1508" s="117"/>
      <c r="I1508" s="152"/>
      <c r="J1508" s="172" t="str">
        <f t="shared" si="43"/>
        <v/>
      </c>
      <c r="K1508" s="171"/>
    </row>
    <row r="1509" spans="1:11" ht="15.75" thickTop="1" x14ac:dyDescent="0.2">
      <c r="A1509" s="191"/>
      <c r="B1509" s="138"/>
      <c r="D1509" s="321"/>
      <c r="E1509" s="118"/>
      <c r="F1509" s="321"/>
      <c r="G1509" s="193"/>
      <c r="H1509" s="117"/>
      <c r="J1509" s="172" t="str">
        <f t="shared" si="43"/>
        <v/>
      </c>
      <c r="K1509" s="171"/>
    </row>
    <row r="1510" spans="1:11" x14ac:dyDescent="0.2">
      <c r="A1510" s="225" t="s">
        <v>1</v>
      </c>
      <c r="B1510" s="226" t="s">
        <v>756</v>
      </c>
      <c r="C1510" s="227"/>
      <c r="D1510" s="337" t="s">
        <v>683</v>
      </c>
      <c r="E1510" s="228"/>
      <c r="F1510" s="337"/>
      <c r="G1510" s="225"/>
      <c r="H1510" s="227"/>
      <c r="I1510" s="229"/>
      <c r="J1510" s="172" t="str">
        <f t="shared" si="43"/>
        <v/>
      </c>
      <c r="K1510" s="171"/>
    </row>
    <row r="1511" spans="1:11" x14ac:dyDescent="0.2">
      <c r="A1511" s="230"/>
      <c r="B1511" s="226" t="s">
        <v>757</v>
      </c>
      <c r="C1511" s="131"/>
      <c r="D1511" s="337">
        <f>+F14</f>
        <v>850</v>
      </c>
      <c r="E1511" s="228" t="s">
        <v>758</v>
      </c>
      <c r="F1511" s="337"/>
      <c r="G1511" s="225"/>
      <c r="H1511" s="227"/>
      <c r="I1511" s="231"/>
      <c r="J1511" s="172" t="str">
        <f t="shared" si="43"/>
        <v/>
      </c>
      <c r="K1511" s="171"/>
    </row>
    <row r="1512" spans="1:11" x14ac:dyDescent="0.2">
      <c r="A1512" s="230"/>
      <c r="B1512" s="227"/>
      <c r="C1512" s="227"/>
      <c r="D1512" s="337"/>
      <c r="E1512" s="228"/>
      <c r="F1512" s="337"/>
      <c r="G1512" s="225"/>
      <c r="H1512" s="227"/>
      <c r="I1512" s="231"/>
      <c r="J1512" s="172" t="str">
        <f t="shared" si="43"/>
        <v/>
      </c>
      <c r="K1512" s="171"/>
    </row>
    <row r="1513" spans="1:11" s="108" customFormat="1" x14ac:dyDescent="0.2">
      <c r="A1513" s="201" t="s">
        <v>759</v>
      </c>
      <c r="B1513" s="166" t="s">
        <v>712</v>
      </c>
      <c r="C1513" s="167"/>
      <c r="D1513" s="327" t="s">
        <v>713</v>
      </c>
      <c r="E1513" s="168"/>
      <c r="F1513" s="327" t="s">
        <v>760</v>
      </c>
      <c r="G1513" s="156" t="s">
        <v>715</v>
      </c>
      <c r="H1513" s="167"/>
      <c r="I1513" s="169" t="s">
        <v>716</v>
      </c>
      <c r="J1513" s="172">
        <f t="shared" si="43"/>
        <v>0</v>
      </c>
      <c r="K1513" s="171"/>
    </row>
    <row r="1514" spans="1:11" x14ac:dyDescent="0.2">
      <c r="A1514" s="202" t="s">
        <v>1</v>
      </c>
      <c r="B1514" s="117"/>
      <c r="C1514" s="117"/>
      <c r="D1514" s="321"/>
      <c r="E1514" s="118"/>
      <c r="F1514" s="321"/>
      <c r="G1514" s="193"/>
      <c r="H1514" s="117"/>
      <c r="I1514" s="144"/>
      <c r="J1514" s="172" t="str">
        <f t="shared" si="43"/>
        <v/>
      </c>
      <c r="K1514" s="171"/>
    </row>
    <row r="1515" spans="1:11" x14ac:dyDescent="0.2">
      <c r="A1515" s="203"/>
      <c r="B1515" s="121" t="s">
        <v>762</v>
      </c>
      <c r="G1515" s="204"/>
      <c r="J1515" s="172" t="str">
        <f t="shared" si="43"/>
        <v/>
      </c>
      <c r="K1515" s="171"/>
    </row>
    <row r="1516" spans="1:11" x14ac:dyDescent="0.2">
      <c r="A1516" s="191">
        <v>1</v>
      </c>
      <c r="B1516" s="121" t="s">
        <v>763</v>
      </c>
      <c r="D1516" s="317" t="s">
        <v>1107</v>
      </c>
      <c r="F1516" s="317" t="s">
        <v>701</v>
      </c>
      <c r="G1516" s="204">
        <v>4</v>
      </c>
      <c r="I1516" s="145" t="s">
        <v>765</v>
      </c>
      <c r="J1516" s="172">
        <f t="shared" si="43"/>
        <v>4</v>
      </c>
      <c r="K1516" s="171">
        <f t="shared" si="44"/>
        <v>1</v>
      </c>
    </row>
    <row r="1517" spans="1:11" x14ac:dyDescent="0.2">
      <c r="A1517" s="191"/>
      <c r="G1517" s="204"/>
      <c r="J1517" s="172" t="str">
        <f t="shared" si="43"/>
        <v/>
      </c>
      <c r="K1517" s="171">
        <f t="shared" si="44"/>
        <v>5</v>
      </c>
    </row>
    <row r="1518" spans="1:11" x14ac:dyDescent="0.2">
      <c r="A1518" s="191">
        <v>2</v>
      </c>
      <c r="B1518" s="121" t="s">
        <v>766</v>
      </c>
      <c r="D1518" s="317" t="s">
        <v>767</v>
      </c>
      <c r="F1518" s="317" t="s">
        <v>701</v>
      </c>
      <c r="G1518" s="204">
        <v>1</v>
      </c>
      <c r="I1518" s="145" t="s">
        <v>768</v>
      </c>
      <c r="J1518" s="172">
        <f t="shared" si="43"/>
        <v>5</v>
      </c>
      <c r="K1518" s="171">
        <f t="shared" si="44"/>
        <v>5</v>
      </c>
    </row>
    <row r="1519" spans="1:11" x14ac:dyDescent="0.2">
      <c r="A1519" s="191"/>
      <c r="G1519" s="204"/>
      <c r="J1519" s="172" t="str">
        <f t="shared" si="43"/>
        <v/>
      </c>
      <c r="K1519" s="171">
        <f t="shared" si="44"/>
        <v>6</v>
      </c>
    </row>
    <row r="1520" spans="1:11" x14ac:dyDescent="0.2">
      <c r="A1520" s="191">
        <v>3</v>
      </c>
      <c r="B1520" s="121" t="s">
        <v>769</v>
      </c>
      <c r="D1520" s="317" t="s">
        <v>770</v>
      </c>
      <c r="F1520" s="317" t="s">
        <v>701</v>
      </c>
      <c r="G1520" s="204">
        <v>4</v>
      </c>
      <c r="I1520" s="145" t="s">
        <v>768</v>
      </c>
      <c r="J1520" s="172">
        <f t="shared" si="43"/>
        <v>6</v>
      </c>
      <c r="K1520" s="171">
        <f t="shared" si="44"/>
        <v>6</v>
      </c>
    </row>
    <row r="1521" spans="1:11" x14ac:dyDescent="0.2">
      <c r="A1521" s="191"/>
      <c r="G1521" s="204"/>
      <c r="J1521" s="172" t="str">
        <f t="shared" si="43"/>
        <v/>
      </c>
      <c r="K1521" s="171">
        <f t="shared" si="44"/>
        <v>10</v>
      </c>
    </row>
    <row r="1522" spans="1:11" x14ac:dyDescent="0.2">
      <c r="A1522" s="191">
        <v>4</v>
      </c>
      <c r="B1522" s="121" t="s">
        <v>771</v>
      </c>
      <c r="F1522" s="317" t="s">
        <v>772</v>
      </c>
      <c r="G1522" s="204">
        <v>1</v>
      </c>
      <c r="I1522" s="145" t="s">
        <v>773</v>
      </c>
      <c r="J1522" s="172">
        <f t="shared" si="43"/>
        <v>10</v>
      </c>
      <c r="K1522" s="171">
        <f t="shared" si="44"/>
        <v>10</v>
      </c>
    </row>
    <row r="1523" spans="1:11" x14ac:dyDescent="0.2">
      <c r="A1523" s="191"/>
      <c r="G1523" s="204"/>
      <c r="J1523" s="172" t="str">
        <f t="shared" si="43"/>
        <v/>
      </c>
      <c r="K1523" s="171">
        <f t="shared" si="44"/>
        <v>11</v>
      </c>
    </row>
    <row r="1524" spans="1:11" x14ac:dyDescent="0.2">
      <c r="A1524" s="191"/>
      <c r="B1524" s="173" t="s">
        <v>1007</v>
      </c>
      <c r="G1524" s="204"/>
      <c r="J1524" s="172" t="str">
        <f t="shared" si="43"/>
        <v/>
      </c>
      <c r="K1524" s="171">
        <f t="shared" si="44"/>
        <v>11</v>
      </c>
    </row>
    <row r="1525" spans="1:11" x14ac:dyDescent="0.2">
      <c r="A1525" s="191"/>
      <c r="G1525" s="204"/>
      <c r="J1525" s="172" t="str">
        <f t="shared" si="43"/>
        <v/>
      </c>
      <c r="K1525" s="171">
        <f t="shared" si="44"/>
        <v>11</v>
      </c>
    </row>
    <row r="1526" spans="1:11" x14ac:dyDescent="0.2">
      <c r="A1526" s="191">
        <v>5</v>
      </c>
      <c r="B1526" s="121" t="s">
        <v>1008</v>
      </c>
      <c r="F1526" s="317" t="s">
        <v>772</v>
      </c>
      <c r="G1526" s="204">
        <v>5</v>
      </c>
      <c r="I1526" s="145" t="s">
        <v>1009</v>
      </c>
      <c r="J1526" s="172">
        <f t="shared" si="43"/>
        <v>11</v>
      </c>
      <c r="K1526" s="171">
        <f t="shared" si="44"/>
        <v>11</v>
      </c>
    </row>
    <row r="1527" spans="1:11" x14ac:dyDescent="0.2">
      <c r="A1527" s="191"/>
      <c r="G1527" s="204"/>
      <c r="I1527" s="145" t="s">
        <v>1010</v>
      </c>
      <c r="J1527" s="172" t="str">
        <f t="shared" si="43"/>
        <v/>
      </c>
      <c r="K1527" s="171">
        <f t="shared" si="44"/>
        <v>16</v>
      </c>
    </row>
    <row r="1528" spans="1:11" x14ac:dyDescent="0.2">
      <c r="A1528" s="191"/>
      <c r="G1528" s="204"/>
      <c r="J1528" s="172" t="str">
        <f t="shared" si="43"/>
        <v/>
      </c>
      <c r="K1528" s="171">
        <f t="shared" si="44"/>
        <v>16</v>
      </c>
    </row>
    <row r="1529" spans="1:11" x14ac:dyDescent="0.2">
      <c r="A1529" s="191">
        <v>6</v>
      </c>
      <c r="B1529" s="121" t="s">
        <v>1011</v>
      </c>
      <c r="F1529" s="317" t="s">
        <v>772</v>
      </c>
      <c r="G1529" s="204">
        <v>30</v>
      </c>
      <c r="I1529" s="145" t="s">
        <v>1012</v>
      </c>
      <c r="J1529" s="172">
        <f t="shared" si="43"/>
        <v>16</v>
      </c>
      <c r="K1529" s="171">
        <f t="shared" si="44"/>
        <v>16</v>
      </c>
    </row>
    <row r="1530" spans="1:11" x14ac:dyDescent="0.2">
      <c r="A1530" s="191"/>
      <c r="B1530" s="121"/>
      <c r="G1530" s="204"/>
      <c r="I1530" s="145" t="s">
        <v>894</v>
      </c>
      <c r="J1530" s="172" t="str">
        <f t="shared" si="43"/>
        <v/>
      </c>
      <c r="K1530" s="171">
        <f t="shared" si="44"/>
        <v>46</v>
      </c>
    </row>
    <row r="1531" spans="1:11" x14ac:dyDescent="0.2">
      <c r="A1531" s="191"/>
      <c r="G1531" s="204"/>
      <c r="J1531" s="172" t="str">
        <f t="shared" si="43"/>
        <v/>
      </c>
      <c r="K1531" s="171">
        <f t="shared" si="44"/>
        <v>46</v>
      </c>
    </row>
    <row r="1532" spans="1:11" x14ac:dyDescent="0.2">
      <c r="A1532" s="191">
        <v>7</v>
      </c>
      <c r="B1532" s="121" t="s">
        <v>1013</v>
      </c>
      <c r="F1532" s="317" t="s">
        <v>772</v>
      </c>
      <c r="G1532" s="204">
        <v>6</v>
      </c>
      <c r="I1532" s="145" t="s">
        <v>1014</v>
      </c>
      <c r="J1532" s="172">
        <f t="shared" si="43"/>
        <v>46</v>
      </c>
      <c r="K1532" s="171">
        <f t="shared" si="44"/>
        <v>46</v>
      </c>
    </row>
    <row r="1533" spans="1:11" x14ac:dyDescent="0.2">
      <c r="A1533" s="191"/>
      <c r="G1533" s="204"/>
      <c r="I1533" s="145" t="s">
        <v>894</v>
      </c>
      <c r="J1533" s="172" t="str">
        <f t="shared" si="43"/>
        <v/>
      </c>
      <c r="K1533" s="171">
        <f t="shared" si="44"/>
        <v>52</v>
      </c>
    </row>
    <row r="1534" spans="1:11" x14ac:dyDescent="0.2">
      <c r="A1534" s="191"/>
      <c r="G1534" s="204"/>
      <c r="J1534" s="172" t="str">
        <f t="shared" si="43"/>
        <v/>
      </c>
      <c r="K1534" s="171">
        <f t="shared" si="44"/>
        <v>52</v>
      </c>
    </row>
    <row r="1535" spans="1:11" x14ac:dyDescent="0.2">
      <c r="A1535" s="191">
        <v>8</v>
      </c>
      <c r="B1535" s="121" t="s">
        <v>71</v>
      </c>
      <c r="F1535" s="317" t="s">
        <v>772</v>
      </c>
      <c r="G1535" s="204">
        <v>6</v>
      </c>
      <c r="I1535" s="145" t="s">
        <v>1015</v>
      </c>
      <c r="J1535" s="172">
        <f t="shared" si="43"/>
        <v>52</v>
      </c>
      <c r="K1535" s="171">
        <f t="shared" si="44"/>
        <v>52</v>
      </c>
    </row>
    <row r="1536" spans="1:11" x14ac:dyDescent="0.2">
      <c r="A1536" s="191"/>
      <c r="G1536" s="204"/>
      <c r="I1536" s="145" t="s">
        <v>894</v>
      </c>
      <c r="J1536" s="172" t="str">
        <f t="shared" si="43"/>
        <v/>
      </c>
      <c r="K1536" s="171">
        <f t="shared" si="44"/>
        <v>58</v>
      </c>
    </row>
    <row r="1537" spans="1:11" x14ac:dyDescent="0.2">
      <c r="A1537" s="191"/>
      <c r="G1537" s="204"/>
      <c r="I1537" s="145"/>
      <c r="J1537" s="172" t="str">
        <f t="shared" si="43"/>
        <v/>
      </c>
      <c r="K1537" s="171">
        <f t="shared" si="44"/>
        <v>58</v>
      </c>
    </row>
    <row r="1538" spans="1:11" x14ac:dyDescent="0.2">
      <c r="A1538" s="191">
        <v>9</v>
      </c>
      <c r="B1538" s="121" t="s">
        <v>72</v>
      </c>
      <c r="F1538" s="317" t="s">
        <v>772</v>
      </c>
      <c r="G1538" s="204">
        <v>5</v>
      </c>
      <c r="I1538" s="145" t="s">
        <v>1016</v>
      </c>
      <c r="J1538" s="172">
        <f t="shared" si="43"/>
        <v>58</v>
      </c>
      <c r="K1538" s="171">
        <f t="shared" si="44"/>
        <v>58</v>
      </c>
    </row>
    <row r="1539" spans="1:11" x14ac:dyDescent="0.2">
      <c r="A1539" s="191"/>
      <c r="G1539" s="204"/>
      <c r="I1539" s="145" t="s">
        <v>894</v>
      </c>
      <c r="J1539" s="172" t="str">
        <f t="shared" ref="J1539:J1602" si="45">IF(A1539=1, 4,IF(G1539="", "",+K1539))</f>
        <v/>
      </c>
      <c r="K1539" s="171">
        <f t="shared" si="44"/>
        <v>63</v>
      </c>
    </row>
    <row r="1540" spans="1:11" x14ac:dyDescent="0.2">
      <c r="A1540" s="191"/>
      <c r="G1540" s="204"/>
      <c r="J1540" s="172" t="str">
        <f t="shared" si="45"/>
        <v/>
      </c>
      <c r="K1540" s="171">
        <f t="shared" si="44"/>
        <v>63</v>
      </c>
    </row>
    <row r="1541" spans="1:11" x14ac:dyDescent="0.2">
      <c r="A1541" s="191">
        <v>10</v>
      </c>
      <c r="B1541" s="121" t="s">
        <v>73</v>
      </c>
      <c r="F1541" s="317" t="s">
        <v>772</v>
      </c>
      <c r="G1541" s="204">
        <v>3</v>
      </c>
      <c r="I1541" s="145" t="s">
        <v>1017</v>
      </c>
      <c r="J1541" s="172">
        <f t="shared" si="45"/>
        <v>63</v>
      </c>
      <c r="K1541" s="171">
        <f t="shared" si="44"/>
        <v>63</v>
      </c>
    </row>
    <row r="1542" spans="1:11" x14ac:dyDescent="0.2">
      <c r="A1542" s="191"/>
      <c r="G1542" s="204"/>
      <c r="I1542" s="145" t="s">
        <v>894</v>
      </c>
      <c r="J1542" s="172" t="str">
        <f t="shared" si="45"/>
        <v/>
      </c>
      <c r="K1542" s="171">
        <f t="shared" si="44"/>
        <v>66</v>
      </c>
    </row>
    <row r="1543" spans="1:11" x14ac:dyDescent="0.2">
      <c r="A1543" s="191"/>
      <c r="G1543" s="204"/>
      <c r="I1543" s="145"/>
      <c r="J1543" s="172" t="str">
        <f t="shared" si="45"/>
        <v/>
      </c>
      <c r="K1543" s="171">
        <f t="shared" si="44"/>
        <v>66</v>
      </c>
    </row>
    <row r="1544" spans="1:11" x14ac:dyDescent="0.2">
      <c r="A1544" s="191">
        <v>11</v>
      </c>
      <c r="B1544" s="121" t="s">
        <v>1018</v>
      </c>
      <c r="F1544" s="317" t="s">
        <v>772</v>
      </c>
      <c r="G1544" s="204">
        <v>3</v>
      </c>
      <c r="I1544" s="145" t="s">
        <v>1019</v>
      </c>
      <c r="J1544" s="172">
        <f t="shared" si="45"/>
        <v>66</v>
      </c>
      <c r="K1544" s="171">
        <f t="shared" si="44"/>
        <v>66</v>
      </c>
    </row>
    <row r="1545" spans="1:11" x14ac:dyDescent="0.2">
      <c r="A1545" s="191"/>
      <c r="G1545" s="204"/>
      <c r="I1545" s="145" t="s">
        <v>894</v>
      </c>
      <c r="J1545" s="172" t="str">
        <f t="shared" si="45"/>
        <v/>
      </c>
      <c r="K1545" s="171">
        <f t="shared" si="44"/>
        <v>69</v>
      </c>
    </row>
    <row r="1546" spans="1:11" x14ac:dyDescent="0.2">
      <c r="A1546" s="191"/>
      <c r="G1546" s="204"/>
      <c r="I1546" s="145"/>
      <c r="J1546" s="172" t="str">
        <f t="shared" si="45"/>
        <v/>
      </c>
      <c r="K1546" s="171">
        <f t="shared" si="44"/>
        <v>69</v>
      </c>
    </row>
    <row r="1547" spans="1:11" x14ac:dyDescent="0.2">
      <c r="A1547" s="191">
        <v>12</v>
      </c>
      <c r="B1547" s="121" t="s">
        <v>1020</v>
      </c>
      <c r="F1547" s="317" t="s">
        <v>772</v>
      </c>
      <c r="G1547" s="204">
        <v>3</v>
      </c>
      <c r="I1547" s="145" t="s">
        <v>1021</v>
      </c>
      <c r="J1547" s="172">
        <f t="shared" si="45"/>
        <v>69</v>
      </c>
      <c r="K1547" s="171">
        <f t="shared" si="44"/>
        <v>69</v>
      </c>
    </row>
    <row r="1548" spans="1:11" x14ac:dyDescent="0.2">
      <c r="A1548" s="191"/>
      <c r="G1548" s="204"/>
      <c r="I1548" s="145" t="s">
        <v>894</v>
      </c>
      <c r="J1548" s="172" t="str">
        <f t="shared" si="45"/>
        <v/>
      </c>
      <c r="K1548" s="171">
        <f t="shared" si="44"/>
        <v>72</v>
      </c>
    </row>
    <row r="1549" spans="1:11" x14ac:dyDescent="0.2">
      <c r="A1549" s="191"/>
      <c r="G1549" s="204"/>
      <c r="J1549" s="172" t="str">
        <f t="shared" si="45"/>
        <v/>
      </c>
      <c r="K1549" s="171">
        <f t="shared" si="44"/>
        <v>72</v>
      </c>
    </row>
    <row r="1550" spans="1:11" x14ac:dyDescent="0.2">
      <c r="A1550" s="191">
        <v>13</v>
      </c>
      <c r="B1550" s="121" t="s">
        <v>74</v>
      </c>
      <c r="F1550" s="317" t="s">
        <v>772</v>
      </c>
      <c r="G1550" s="204">
        <v>3</v>
      </c>
      <c r="I1550" s="145" t="s">
        <v>1022</v>
      </c>
      <c r="J1550" s="172">
        <f t="shared" si="45"/>
        <v>72</v>
      </c>
      <c r="K1550" s="171">
        <f t="shared" si="44"/>
        <v>72</v>
      </c>
    </row>
    <row r="1551" spans="1:11" x14ac:dyDescent="0.2">
      <c r="A1551" s="191"/>
      <c r="G1551" s="204"/>
      <c r="I1551" s="145" t="s">
        <v>894</v>
      </c>
      <c r="J1551" s="172" t="str">
        <f t="shared" si="45"/>
        <v/>
      </c>
      <c r="K1551" s="171">
        <f t="shared" si="44"/>
        <v>75</v>
      </c>
    </row>
    <row r="1552" spans="1:11" x14ac:dyDescent="0.2">
      <c r="A1552" s="191"/>
      <c r="G1552" s="204"/>
      <c r="I1552" s="145"/>
      <c r="J1552" s="172" t="str">
        <f t="shared" si="45"/>
        <v/>
      </c>
      <c r="K1552" s="171">
        <f t="shared" si="44"/>
        <v>75</v>
      </c>
    </row>
    <row r="1553" spans="1:11" x14ac:dyDescent="0.2">
      <c r="A1553" s="191">
        <v>14</v>
      </c>
      <c r="B1553" s="121" t="s">
        <v>75</v>
      </c>
      <c r="F1553" s="317" t="s">
        <v>772</v>
      </c>
      <c r="G1553" s="204">
        <v>3</v>
      </c>
      <c r="I1553" s="145" t="s">
        <v>1023</v>
      </c>
      <c r="J1553" s="172">
        <f t="shared" si="45"/>
        <v>75</v>
      </c>
      <c r="K1553" s="171">
        <f t="shared" si="44"/>
        <v>75</v>
      </c>
    </row>
    <row r="1554" spans="1:11" x14ac:dyDescent="0.2">
      <c r="A1554" s="191"/>
      <c r="G1554" s="204"/>
      <c r="I1554" s="145" t="s">
        <v>894</v>
      </c>
      <c r="J1554" s="172" t="str">
        <f t="shared" si="45"/>
        <v/>
      </c>
      <c r="K1554" s="171">
        <f t="shared" si="44"/>
        <v>78</v>
      </c>
    </row>
    <row r="1555" spans="1:11" x14ac:dyDescent="0.2">
      <c r="A1555" s="191"/>
      <c r="G1555" s="204"/>
      <c r="I1555" s="145"/>
      <c r="J1555" s="172" t="str">
        <f t="shared" si="45"/>
        <v/>
      </c>
      <c r="K1555" s="171">
        <f t="shared" si="44"/>
        <v>78</v>
      </c>
    </row>
    <row r="1556" spans="1:11" x14ac:dyDescent="0.2">
      <c r="A1556" s="191">
        <v>15</v>
      </c>
      <c r="B1556" s="121" t="s">
        <v>1024</v>
      </c>
      <c r="F1556" s="317" t="s">
        <v>772</v>
      </c>
      <c r="G1556" s="204">
        <v>5</v>
      </c>
      <c r="I1556" s="145" t="s">
        <v>1025</v>
      </c>
      <c r="J1556" s="172">
        <f t="shared" si="45"/>
        <v>78</v>
      </c>
      <c r="K1556" s="171">
        <f t="shared" si="44"/>
        <v>78</v>
      </c>
    </row>
    <row r="1557" spans="1:11" x14ac:dyDescent="0.2">
      <c r="A1557" s="191"/>
      <c r="G1557" s="204"/>
      <c r="I1557" s="145" t="s">
        <v>894</v>
      </c>
      <c r="J1557" s="172" t="str">
        <f t="shared" si="45"/>
        <v/>
      </c>
      <c r="K1557" s="171">
        <f t="shared" si="44"/>
        <v>83</v>
      </c>
    </row>
    <row r="1558" spans="1:11" x14ac:dyDescent="0.2">
      <c r="A1558" s="191"/>
      <c r="G1558" s="204"/>
      <c r="J1558" s="172" t="str">
        <f t="shared" si="45"/>
        <v/>
      </c>
      <c r="K1558" s="171">
        <f t="shared" si="44"/>
        <v>83</v>
      </c>
    </row>
    <row r="1559" spans="1:11" x14ac:dyDescent="0.2">
      <c r="A1559" s="191">
        <v>16</v>
      </c>
      <c r="B1559" s="121" t="s">
        <v>76</v>
      </c>
      <c r="F1559" s="317" t="s">
        <v>772</v>
      </c>
      <c r="G1559" s="204">
        <v>5</v>
      </c>
      <c r="I1559" s="145" t="s">
        <v>1026</v>
      </c>
      <c r="J1559" s="172">
        <f t="shared" si="45"/>
        <v>83</v>
      </c>
      <c r="K1559" s="171">
        <f t="shared" si="44"/>
        <v>83</v>
      </c>
    </row>
    <row r="1560" spans="1:11" x14ac:dyDescent="0.2">
      <c r="A1560" s="191"/>
      <c r="G1560" s="204"/>
      <c r="I1560" s="145" t="s">
        <v>1010</v>
      </c>
      <c r="J1560" s="172" t="str">
        <f t="shared" si="45"/>
        <v/>
      </c>
      <c r="K1560" s="171">
        <f t="shared" si="44"/>
        <v>88</v>
      </c>
    </row>
    <row r="1561" spans="1:11" x14ac:dyDescent="0.2">
      <c r="A1561" s="191"/>
      <c r="G1561" s="204"/>
      <c r="I1561" s="145"/>
      <c r="J1561" s="172" t="str">
        <f t="shared" si="45"/>
        <v/>
      </c>
      <c r="K1561" s="171">
        <f t="shared" si="44"/>
        <v>88</v>
      </c>
    </row>
    <row r="1562" spans="1:11" x14ac:dyDescent="0.2">
      <c r="A1562" s="191">
        <v>17</v>
      </c>
      <c r="B1562" s="121" t="s">
        <v>77</v>
      </c>
      <c r="F1562" s="317" t="s">
        <v>772</v>
      </c>
      <c r="G1562" s="204">
        <v>30</v>
      </c>
      <c r="I1562" s="145" t="s">
        <v>1027</v>
      </c>
      <c r="J1562" s="172">
        <f t="shared" si="45"/>
        <v>88</v>
      </c>
      <c r="K1562" s="171">
        <f t="shared" si="44"/>
        <v>88</v>
      </c>
    </row>
    <row r="1563" spans="1:11" x14ac:dyDescent="0.2">
      <c r="A1563" s="191"/>
      <c r="G1563" s="204"/>
      <c r="I1563" s="145" t="s">
        <v>894</v>
      </c>
      <c r="J1563" s="172" t="str">
        <f t="shared" si="45"/>
        <v/>
      </c>
      <c r="K1563" s="171">
        <f t="shared" si="44"/>
        <v>118</v>
      </c>
    </row>
    <row r="1564" spans="1:11" x14ac:dyDescent="0.2">
      <c r="A1564" s="191"/>
      <c r="G1564" s="204"/>
      <c r="I1564" s="145"/>
      <c r="J1564" s="172" t="str">
        <f t="shared" si="45"/>
        <v/>
      </c>
      <c r="K1564" s="171">
        <f t="shared" si="44"/>
        <v>118</v>
      </c>
    </row>
    <row r="1565" spans="1:11" ht="30" x14ac:dyDescent="0.2">
      <c r="A1565" s="191">
        <v>18</v>
      </c>
      <c r="B1565" s="109" t="s">
        <v>1028</v>
      </c>
      <c r="F1565" s="317" t="s">
        <v>772</v>
      </c>
      <c r="G1565" s="204">
        <v>120</v>
      </c>
      <c r="I1565" s="145" t="s">
        <v>1029</v>
      </c>
      <c r="J1565" s="172">
        <f t="shared" si="45"/>
        <v>118</v>
      </c>
      <c r="K1565" s="171">
        <f t="shared" si="44"/>
        <v>118</v>
      </c>
    </row>
    <row r="1566" spans="1:11" x14ac:dyDescent="0.2">
      <c r="A1566" s="191"/>
      <c r="G1566" s="204"/>
      <c r="J1566" s="172" t="str">
        <f t="shared" si="45"/>
        <v/>
      </c>
      <c r="K1566" s="171">
        <f t="shared" ref="K1566:K1629" si="46">IF(A1566=1,1,+K1565+G1565)</f>
        <v>238</v>
      </c>
    </row>
    <row r="1567" spans="1:11" x14ac:dyDescent="0.2">
      <c r="A1567" s="191">
        <v>19</v>
      </c>
      <c r="B1567" s="121" t="s">
        <v>78</v>
      </c>
      <c r="F1567" s="317" t="s">
        <v>772</v>
      </c>
      <c r="G1567" s="204">
        <v>55</v>
      </c>
      <c r="I1567" s="145" t="s">
        <v>1030</v>
      </c>
      <c r="J1567" s="172">
        <f t="shared" si="45"/>
        <v>238</v>
      </c>
      <c r="K1567" s="171">
        <f t="shared" si="46"/>
        <v>238</v>
      </c>
    </row>
    <row r="1568" spans="1:11" x14ac:dyDescent="0.2">
      <c r="A1568" s="191"/>
      <c r="G1568" s="204"/>
      <c r="I1568" s="145" t="s">
        <v>894</v>
      </c>
      <c r="J1568" s="172" t="str">
        <f t="shared" si="45"/>
        <v/>
      </c>
      <c r="K1568" s="171">
        <f t="shared" si="46"/>
        <v>293</v>
      </c>
    </row>
    <row r="1569" spans="1:11" x14ac:dyDescent="0.2">
      <c r="A1569" s="191"/>
      <c r="G1569" s="204"/>
      <c r="J1569" s="172" t="str">
        <f t="shared" si="45"/>
        <v/>
      </c>
      <c r="K1569" s="171">
        <f t="shared" si="46"/>
        <v>293</v>
      </c>
    </row>
    <row r="1570" spans="1:11" x14ac:dyDescent="0.2">
      <c r="A1570" s="191"/>
      <c r="G1570" s="204"/>
      <c r="I1570" s="145"/>
      <c r="J1570" s="172" t="str">
        <f t="shared" si="45"/>
        <v/>
      </c>
      <c r="K1570" s="171">
        <f t="shared" si="46"/>
        <v>293</v>
      </c>
    </row>
    <row r="1571" spans="1:11" x14ac:dyDescent="0.2">
      <c r="A1571" s="191">
        <v>20</v>
      </c>
      <c r="B1571" s="109" t="s">
        <v>954</v>
      </c>
      <c r="F1571" s="317" t="s">
        <v>701</v>
      </c>
      <c r="G1571" s="204">
        <v>6</v>
      </c>
      <c r="I1571" s="145" t="s">
        <v>1031</v>
      </c>
      <c r="J1571" s="172">
        <f t="shared" si="45"/>
        <v>293</v>
      </c>
      <c r="K1571" s="171">
        <f t="shared" si="46"/>
        <v>293</v>
      </c>
    </row>
    <row r="1572" spans="1:11" x14ac:dyDescent="0.2">
      <c r="A1572" s="191"/>
      <c r="G1572" s="204"/>
      <c r="I1572" s="111" t="s">
        <v>1032</v>
      </c>
      <c r="J1572" s="172" t="str">
        <f t="shared" si="45"/>
        <v/>
      </c>
      <c r="K1572" s="171">
        <f t="shared" si="46"/>
        <v>299</v>
      </c>
    </row>
    <row r="1573" spans="1:11" x14ac:dyDescent="0.2">
      <c r="A1573" s="191"/>
      <c r="G1573" s="204"/>
      <c r="I1573" s="145"/>
      <c r="J1573" s="172" t="str">
        <f t="shared" si="45"/>
        <v/>
      </c>
      <c r="K1573" s="171">
        <f t="shared" si="46"/>
        <v>299</v>
      </c>
    </row>
    <row r="1574" spans="1:11" x14ac:dyDescent="0.2">
      <c r="A1574" s="191">
        <v>21</v>
      </c>
      <c r="B1574" s="109" t="s">
        <v>819</v>
      </c>
      <c r="F1574" s="317" t="s">
        <v>772</v>
      </c>
      <c r="G1574" s="204">
        <v>9</v>
      </c>
      <c r="I1574" s="145" t="s">
        <v>1033</v>
      </c>
      <c r="J1574" s="172">
        <f t="shared" si="45"/>
        <v>299</v>
      </c>
      <c r="K1574" s="171">
        <f t="shared" si="46"/>
        <v>299</v>
      </c>
    </row>
    <row r="1575" spans="1:11" x14ac:dyDescent="0.2">
      <c r="A1575" s="191"/>
      <c r="G1575" s="204"/>
      <c r="I1575" s="145" t="s">
        <v>971</v>
      </c>
      <c r="J1575" s="172" t="str">
        <f t="shared" si="45"/>
        <v/>
      </c>
      <c r="K1575" s="171">
        <f t="shared" si="46"/>
        <v>308</v>
      </c>
    </row>
    <row r="1576" spans="1:11" x14ac:dyDescent="0.2">
      <c r="A1576" s="191"/>
      <c r="G1576" s="204"/>
      <c r="I1576" s="145" t="s">
        <v>972</v>
      </c>
      <c r="J1576" s="172" t="str">
        <f t="shared" si="45"/>
        <v/>
      </c>
      <c r="K1576" s="171">
        <f t="shared" si="46"/>
        <v>308</v>
      </c>
    </row>
    <row r="1577" spans="1:11" x14ac:dyDescent="0.2">
      <c r="A1577" s="191"/>
      <c r="G1577" s="204"/>
      <c r="I1577" s="145" t="s">
        <v>973</v>
      </c>
      <c r="J1577" s="172" t="str">
        <f t="shared" si="45"/>
        <v/>
      </c>
      <c r="K1577" s="171">
        <f t="shared" si="46"/>
        <v>308</v>
      </c>
    </row>
    <row r="1578" spans="1:11" x14ac:dyDescent="0.2">
      <c r="A1578" s="191"/>
      <c r="G1578" s="204"/>
      <c r="I1578" s="145" t="s">
        <v>894</v>
      </c>
      <c r="J1578" s="172" t="str">
        <f t="shared" si="45"/>
        <v/>
      </c>
      <c r="K1578" s="171">
        <f t="shared" si="46"/>
        <v>308</v>
      </c>
    </row>
    <row r="1579" spans="1:11" x14ac:dyDescent="0.2">
      <c r="A1579" s="191"/>
      <c r="G1579" s="204"/>
      <c r="I1579" s="145"/>
      <c r="J1579" s="172" t="str">
        <f t="shared" si="45"/>
        <v/>
      </c>
      <c r="K1579" s="171">
        <f t="shared" si="46"/>
        <v>308</v>
      </c>
    </row>
    <row r="1580" spans="1:11" x14ac:dyDescent="0.2">
      <c r="A1580" s="191"/>
      <c r="B1580" s="173" t="s">
        <v>1034</v>
      </c>
      <c r="G1580" s="204"/>
      <c r="I1580" s="145"/>
      <c r="J1580" s="172" t="str">
        <f t="shared" si="45"/>
        <v/>
      </c>
      <c r="K1580" s="171">
        <f t="shared" si="46"/>
        <v>308</v>
      </c>
    </row>
    <row r="1581" spans="1:11" x14ac:dyDescent="0.2">
      <c r="A1581" s="191"/>
      <c r="G1581" s="204"/>
      <c r="I1581" s="145"/>
      <c r="J1581" s="172" t="str">
        <f t="shared" si="45"/>
        <v/>
      </c>
      <c r="K1581" s="171">
        <f t="shared" si="46"/>
        <v>308</v>
      </c>
    </row>
    <row r="1582" spans="1:11" x14ac:dyDescent="0.2">
      <c r="A1582" s="191">
        <v>22</v>
      </c>
      <c r="B1582" s="121" t="s">
        <v>1008</v>
      </c>
      <c r="F1582" s="317" t="s">
        <v>772</v>
      </c>
      <c r="G1582" s="204">
        <v>5</v>
      </c>
      <c r="I1582" s="145" t="s">
        <v>1009</v>
      </c>
      <c r="J1582" s="172">
        <f t="shared" si="45"/>
        <v>308</v>
      </c>
      <c r="K1582" s="171">
        <f t="shared" si="46"/>
        <v>308</v>
      </c>
    </row>
    <row r="1583" spans="1:11" x14ac:dyDescent="0.2">
      <c r="A1583" s="191"/>
      <c r="G1583" s="204"/>
      <c r="I1583" s="145" t="s">
        <v>1010</v>
      </c>
      <c r="J1583" s="172" t="str">
        <f t="shared" si="45"/>
        <v/>
      </c>
      <c r="K1583" s="171">
        <f t="shared" si="46"/>
        <v>313</v>
      </c>
    </row>
    <row r="1584" spans="1:11" x14ac:dyDescent="0.2">
      <c r="A1584" s="191"/>
      <c r="G1584" s="204"/>
      <c r="J1584" s="172" t="str">
        <f t="shared" si="45"/>
        <v/>
      </c>
      <c r="K1584" s="171">
        <f t="shared" si="46"/>
        <v>313</v>
      </c>
    </row>
    <row r="1585" spans="1:11" x14ac:dyDescent="0.2">
      <c r="A1585" s="191">
        <v>23</v>
      </c>
      <c r="B1585" s="121" t="s">
        <v>1011</v>
      </c>
      <c r="F1585" s="317" t="s">
        <v>772</v>
      </c>
      <c r="G1585" s="204">
        <v>30</v>
      </c>
      <c r="I1585" s="145" t="s">
        <v>1012</v>
      </c>
      <c r="J1585" s="172">
        <f t="shared" si="45"/>
        <v>313</v>
      </c>
      <c r="K1585" s="171">
        <f t="shared" si="46"/>
        <v>313</v>
      </c>
    </row>
    <row r="1586" spans="1:11" x14ac:dyDescent="0.2">
      <c r="A1586" s="191"/>
      <c r="B1586" s="121"/>
      <c r="G1586" s="204"/>
      <c r="I1586" s="145" t="s">
        <v>894</v>
      </c>
      <c r="J1586" s="172" t="str">
        <f t="shared" si="45"/>
        <v/>
      </c>
      <c r="K1586" s="171">
        <f t="shared" si="46"/>
        <v>343</v>
      </c>
    </row>
    <row r="1587" spans="1:11" x14ac:dyDescent="0.2">
      <c r="A1587" s="191"/>
      <c r="G1587" s="204"/>
      <c r="J1587" s="172" t="str">
        <f t="shared" si="45"/>
        <v/>
      </c>
      <c r="K1587" s="171">
        <f t="shared" si="46"/>
        <v>343</v>
      </c>
    </row>
    <row r="1588" spans="1:11" x14ac:dyDescent="0.2">
      <c r="A1588" s="191">
        <v>24</v>
      </c>
      <c r="B1588" s="121" t="s">
        <v>1013</v>
      </c>
      <c r="F1588" s="317" t="s">
        <v>772</v>
      </c>
      <c r="G1588" s="204">
        <v>6</v>
      </c>
      <c r="I1588" s="145" t="s">
        <v>1014</v>
      </c>
      <c r="J1588" s="172">
        <f t="shared" si="45"/>
        <v>343</v>
      </c>
      <c r="K1588" s="171">
        <f t="shared" si="46"/>
        <v>343</v>
      </c>
    </row>
    <row r="1589" spans="1:11" x14ac:dyDescent="0.2">
      <c r="A1589" s="191"/>
      <c r="G1589" s="204"/>
      <c r="I1589" s="145" t="s">
        <v>894</v>
      </c>
      <c r="J1589" s="172" t="str">
        <f t="shared" si="45"/>
        <v/>
      </c>
      <c r="K1589" s="171">
        <f t="shared" si="46"/>
        <v>349</v>
      </c>
    </row>
    <row r="1590" spans="1:11" x14ac:dyDescent="0.2">
      <c r="A1590" s="191"/>
      <c r="G1590" s="204"/>
      <c r="J1590" s="172" t="str">
        <f t="shared" si="45"/>
        <v/>
      </c>
      <c r="K1590" s="171">
        <f t="shared" si="46"/>
        <v>349</v>
      </c>
    </row>
    <row r="1591" spans="1:11" x14ac:dyDescent="0.2">
      <c r="A1591" s="191">
        <v>25</v>
      </c>
      <c r="B1591" s="121" t="s">
        <v>71</v>
      </c>
      <c r="F1591" s="317" t="s">
        <v>772</v>
      </c>
      <c r="G1591" s="204">
        <v>6</v>
      </c>
      <c r="I1591" s="145" t="s">
        <v>1015</v>
      </c>
      <c r="J1591" s="172">
        <f t="shared" si="45"/>
        <v>349</v>
      </c>
      <c r="K1591" s="171">
        <f t="shared" si="46"/>
        <v>349</v>
      </c>
    </row>
    <row r="1592" spans="1:11" x14ac:dyDescent="0.2">
      <c r="A1592" s="191"/>
      <c r="G1592" s="204"/>
      <c r="I1592" s="145" t="s">
        <v>894</v>
      </c>
      <c r="J1592" s="172" t="str">
        <f t="shared" si="45"/>
        <v/>
      </c>
      <c r="K1592" s="171">
        <f t="shared" si="46"/>
        <v>355</v>
      </c>
    </row>
    <row r="1593" spans="1:11" x14ac:dyDescent="0.2">
      <c r="A1593" s="191"/>
      <c r="G1593" s="204"/>
      <c r="I1593" s="145"/>
      <c r="J1593" s="172" t="str">
        <f t="shared" si="45"/>
        <v/>
      </c>
      <c r="K1593" s="171">
        <f t="shared" si="46"/>
        <v>355</v>
      </c>
    </row>
    <row r="1594" spans="1:11" x14ac:dyDescent="0.2">
      <c r="A1594" s="191">
        <v>26</v>
      </c>
      <c r="B1594" s="121" t="s">
        <v>72</v>
      </c>
      <c r="F1594" s="317" t="s">
        <v>772</v>
      </c>
      <c r="G1594" s="204">
        <v>5</v>
      </c>
      <c r="I1594" s="145" t="s">
        <v>1016</v>
      </c>
      <c r="J1594" s="172">
        <f t="shared" si="45"/>
        <v>355</v>
      </c>
      <c r="K1594" s="171">
        <f t="shared" si="46"/>
        <v>355</v>
      </c>
    </row>
    <row r="1595" spans="1:11" x14ac:dyDescent="0.2">
      <c r="A1595" s="191"/>
      <c r="G1595" s="204"/>
      <c r="I1595" s="145" t="s">
        <v>894</v>
      </c>
      <c r="J1595" s="172" t="str">
        <f t="shared" si="45"/>
        <v/>
      </c>
      <c r="K1595" s="171">
        <f t="shared" si="46"/>
        <v>360</v>
      </c>
    </row>
    <row r="1596" spans="1:11" x14ac:dyDescent="0.2">
      <c r="A1596" s="191"/>
      <c r="G1596" s="204"/>
      <c r="J1596" s="172" t="str">
        <f t="shared" si="45"/>
        <v/>
      </c>
      <c r="K1596" s="171">
        <f t="shared" si="46"/>
        <v>360</v>
      </c>
    </row>
    <row r="1597" spans="1:11" x14ac:dyDescent="0.2">
      <c r="A1597" s="191">
        <v>27</v>
      </c>
      <c r="B1597" s="121" t="s">
        <v>73</v>
      </c>
      <c r="F1597" s="317" t="s">
        <v>772</v>
      </c>
      <c r="G1597" s="204">
        <v>3</v>
      </c>
      <c r="I1597" s="145" t="s">
        <v>1017</v>
      </c>
      <c r="J1597" s="172">
        <f t="shared" si="45"/>
        <v>360</v>
      </c>
      <c r="K1597" s="171">
        <f t="shared" si="46"/>
        <v>360</v>
      </c>
    </row>
    <row r="1598" spans="1:11" x14ac:dyDescent="0.2">
      <c r="A1598" s="191"/>
      <c r="G1598" s="204"/>
      <c r="I1598" s="145" t="s">
        <v>894</v>
      </c>
      <c r="J1598" s="172" t="str">
        <f t="shared" si="45"/>
        <v/>
      </c>
      <c r="K1598" s="171">
        <f t="shared" si="46"/>
        <v>363</v>
      </c>
    </row>
    <row r="1599" spans="1:11" x14ac:dyDescent="0.2">
      <c r="A1599" s="191"/>
      <c r="G1599" s="204"/>
      <c r="I1599" s="145"/>
      <c r="J1599" s="172" t="str">
        <f t="shared" si="45"/>
        <v/>
      </c>
      <c r="K1599" s="171">
        <f t="shared" si="46"/>
        <v>363</v>
      </c>
    </row>
    <row r="1600" spans="1:11" x14ac:dyDescent="0.2">
      <c r="A1600" s="191">
        <v>28</v>
      </c>
      <c r="B1600" s="121" t="s">
        <v>1018</v>
      </c>
      <c r="F1600" s="317" t="s">
        <v>772</v>
      </c>
      <c r="G1600" s="204">
        <v>3</v>
      </c>
      <c r="I1600" s="145" t="s">
        <v>1019</v>
      </c>
      <c r="J1600" s="172">
        <f t="shared" si="45"/>
        <v>363</v>
      </c>
      <c r="K1600" s="171">
        <f t="shared" si="46"/>
        <v>363</v>
      </c>
    </row>
    <row r="1601" spans="1:11" x14ac:dyDescent="0.2">
      <c r="A1601" s="191"/>
      <c r="G1601" s="204"/>
      <c r="I1601" s="145" t="s">
        <v>894</v>
      </c>
      <c r="J1601" s="172" t="str">
        <f t="shared" si="45"/>
        <v/>
      </c>
      <c r="K1601" s="171">
        <f t="shared" si="46"/>
        <v>366</v>
      </c>
    </row>
    <row r="1602" spans="1:11" x14ac:dyDescent="0.2">
      <c r="A1602" s="191"/>
      <c r="G1602" s="204"/>
      <c r="I1602" s="145"/>
      <c r="J1602" s="172" t="str">
        <f t="shared" si="45"/>
        <v/>
      </c>
      <c r="K1602" s="171">
        <f t="shared" si="46"/>
        <v>366</v>
      </c>
    </row>
    <row r="1603" spans="1:11" x14ac:dyDescent="0.2">
      <c r="A1603" s="191">
        <v>29</v>
      </c>
      <c r="B1603" s="121" t="s">
        <v>1020</v>
      </c>
      <c r="F1603" s="317" t="s">
        <v>772</v>
      </c>
      <c r="G1603" s="204">
        <v>3</v>
      </c>
      <c r="I1603" s="145" t="s">
        <v>1021</v>
      </c>
      <c r="J1603" s="172">
        <f t="shared" ref="J1603:J1666" si="47">IF(A1603=1, 4,IF(G1603="", "",+K1603))</f>
        <v>366</v>
      </c>
      <c r="K1603" s="171">
        <f t="shared" si="46"/>
        <v>366</v>
      </c>
    </row>
    <row r="1604" spans="1:11" x14ac:dyDescent="0.2">
      <c r="A1604" s="191"/>
      <c r="G1604" s="204"/>
      <c r="I1604" s="145" t="s">
        <v>894</v>
      </c>
      <c r="J1604" s="172" t="str">
        <f t="shared" si="47"/>
        <v/>
      </c>
      <c r="K1604" s="171">
        <f t="shared" si="46"/>
        <v>369</v>
      </c>
    </row>
    <row r="1605" spans="1:11" x14ac:dyDescent="0.2">
      <c r="A1605" s="191"/>
      <c r="G1605" s="204"/>
      <c r="J1605" s="172" t="str">
        <f t="shared" si="47"/>
        <v/>
      </c>
      <c r="K1605" s="171">
        <f t="shared" si="46"/>
        <v>369</v>
      </c>
    </row>
    <row r="1606" spans="1:11" x14ac:dyDescent="0.2">
      <c r="A1606" s="191">
        <v>30</v>
      </c>
      <c r="B1606" s="121" t="s">
        <v>74</v>
      </c>
      <c r="F1606" s="317" t="s">
        <v>772</v>
      </c>
      <c r="G1606" s="204">
        <v>3</v>
      </c>
      <c r="I1606" s="145" t="s">
        <v>1022</v>
      </c>
      <c r="J1606" s="172">
        <f t="shared" si="47"/>
        <v>369</v>
      </c>
      <c r="K1606" s="171">
        <f t="shared" si="46"/>
        <v>369</v>
      </c>
    </row>
    <row r="1607" spans="1:11" x14ac:dyDescent="0.2">
      <c r="A1607" s="191"/>
      <c r="G1607" s="204"/>
      <c r="I1607" s="145" t="s">
        <v>894</v>
      </c>
      <c r="J1607" s="172" t="str">
        <f t="shared" si="47"/>
        <v/>
      </c>
      <c r="K1607" s="171">
        <f t="shared" si="46"/>
        <v>372</v>
      </c>
    </row>
    <row r="1608" spans="1:11" x14ac:dyDescent="0.2">
      <c r="A1608" s="191"/>
      <c r="G1608" s="204"/>
      <c r="I1608" s="145"/>
      <c r="J1608" s="172" t="str">
        <f t="shared" si="47"/>
        <v/>
      </c>
      <c r="K1608" s="171">
        <f t="shared" si="46"/>
        <v>372</v>
      </c>
    </row>
    <row r="1609" spans="1:11" x14ac:dyDescent="0.2">
      <c r="A1609" s="191">
        <v>31</v>
      </c>
      <c r="B1609" s="121" t="s">
        <v>75</v>
      </c>
      <c r="F1609" s="317" t="s">
        <v>772</v>
      </c>
      <c r="G1609" s="204">
        <v>3</v>
      </c>
      <c r="I1609" s="145" t="s">
        <v>1023</v>
      </c>
      <c r="J1609" s="172">
        <f t="shared" si="47"/>
        <v>372</v>
      </c>
      <c r="K1609" s="171">
        <f t="shared" si="46"/>
        <v>372</v>
      </c>
    </row>
    <row r="1610" spans="1:11" x14ac:dyDescent="0.2">
      <c r="A1610" s="191"/>
      <c r="G1610" s="204"/>
      <c r="I1610" s="145" t="s">
        <v>894</v>
      </c>
      <c r="J1610" s="172" t="str">
        <f t="shared" si="47"/>
        <v/>
      </c>
      <c r="K1610" s="171">
        <f t="shared" si="46"/>
        <v>375</v>
      </c>
    </row>
    <row r="1611" spans="1:11" x14ac:dyDescent="0.2">
      <c r="A1611" s="191"/>
      <c r="G1611" s="204"/>
      <c r="I1611" s="145"/>
      <c r="J1611" s="172" t="str">
        <f t="shared" si="47"/>
        <v/>
      </c>
      <c r="K1611" s="171">
        <f t="shared" si="46"/>
        <v>375</v>
      </c>
    </row>
    <row r="1612" spans="1:11" x14ac:dyDescent="0.2">
      <c r="A1612" s="191">
        <v>32</v>
      </c>
      <c r="B1612" s="121" t="s">
        <v>1024</v>
      </c>
      <c r="F1612" s="317" t="s">
        <v>772</v>
      </c>
      <c r="G1612" s="204">
        <v>5</v>
      </c>
      <c r="I1612" s="145" t="s">
        <v>1025</v>
      </c>
      <c r="J1612" s="172">
        <f t="shared" si="47"/>
        <v>375</v>
      </c>
      <c r="K1612" s="171">
        <f t="shared" si="46"/>
        <v>375</v>
      </c>
    </row>
    <row r="1613" spans="1:11" x14ac:dyDescent="0.2">
      <c r="A1613" s="191"/>
      <c r="G1613" s="204"/>
      <c r="I1613" s="145" t="s">
        <v>894</v>
      </c>
      <c r="J1613" s="172" t="str">
        <f t="shared" si="47"/>
        <v/>
      </c>
      <c r="K1613" s="171">
        <f t="shared" si="46"/>
        <v>380</v>
      </c>
    </row>
    <row r="1614" spans="1:11" x14ac:dyDescent="0.2">
      <c r="A1614" s="191"/>
      <c r="G1614" s="204"/>
      <c r="J1614" s="172" t="str">
        <f t="shared" si="47"/>
        <v/>
      </c>
      <c r="K1614" s="171">
        <f t="shared" si="46"/>
        <v>380</v>
      </c>
    </row>
    <row r="1615" spans="1:11" x14ac:dyDescent="0.2">
      <c r="A1615" s="191">
        <v>33</v>
      </c>
      <c r="B1615" s="121" t="s">
        <v>76</v>
      </c>
      <c r="F1615" s="317" t="s">
        <v>772</v>
      </c>
      <c r="G1615" s="204">
        <v>5</v>
      </c>
      <c r="I1615" s="145" t="s">
        <v>1026</v>
      </c>
      <c r="J1615" s="172">
        <f t="shared" si="47"/>
        <v>380</v>
      </c>
      <c r="K1615" s="171">
        <f t="shared" si="46"/>
        <v>380</v>
      </c>
    </row>
    <row r="1616" spans="1:11" x14ac:dyDescent="0.2">
      <c r="A1616" s="191"/>
      <c r="G1616" s="204"/>
      <c r="I1616" s="145" t="s">
        <v>1010</v>
      </c>
      <c r="J1616" s="172" t="str">
        <f t="shared" si="47"/>
        <v/>
      </c>
      <c r="K1616" s="171">
        <f t="shared" si="46"/>
        <v>385</v>
      </c>
    </row>
    <row r="1617" spans="1:11" x14ac:dyDescent="0.2">
      <c r="A1617" s="191"/>
      <c r="G1617" s="204"/>
      <c r="I1617" s="145"/>
      <c r="J1617" s="172" t="str">
        <f t="shared" si="47"/>
        <v/>
      </c>
      <c r="K1617" s="171">
        <f t="shared" si="46"/>
        <v>385</v>
      </c>
    </row>
    <row r="1618" spans="1:11" x14ac:dyDescent="0.2">
      <c r="A1618" s="191">
        <v>34</v>
      </c>
      <c r="B1618" s="121" t="s">
        <v>77</v>
      </c>
      <c r="F1618" s="317" t="s">
        <v>772</v>
      </c>
      <c r="G1618" s="204">
        <v>30</v>
      </c>
      <c r="I1618" s="145" t="s">
        <v>1027</v>
      </c>
      <c r="J1618" s="172">
        <f t="shared" si="47"/>
        <v>385</v>
      </c>
      <c r="K1618" s="171">
        <f t="shared" si="46"/>
        <v>385</v>
      </c>
    </row>
    <row r="1619" spans="1:11" x14ac:dyDescent="0.2">
      <c r="A1619" s="191"/>
      <c r="G1619" s="204"/>
      <c r="I1619" s="145" t="s">
        <v>894</v>
      </c>
      <c r="J1619" s="172" t="str">
        <f t="shared" si="47"/>
        <v/>
      </c>
      <c r="K1619" s="171">
        <f t="shared" si="46"/>
        <v>415</v>
      </c>
    </row>
    <row r="1620" spans="1:11" x14ac:dyDescent="0.2">
      <c r="A1620" s="191"/>
      <c r="G1620" s="204"/>
      <c r="I1620" s="145"/>
      <c r="J1620" s="172" t="str">
        <f t="shared" si="47"/>
        <v/>
      </c>
      <c r="K1620" s="171">
        <f t="shared" si="46"/>
        <v>415</v>
      </c>
    </row>
    <row r="1621" spans="1:11" ht="30" x14ac:dyDescent="0.2">
      <c r="A1621" s="191">
        <v>35</v>
      </c>
      <c r="B1621" s="109" t="s">
        <v>1035</v>
      </c>
      <c r="F1621" s="317" t="s">
        <v>772</v>
      </c>
      <c r="G1621" s="204">
        <v>120</v>
      </c>
      <c r="I1621" s="145" t="s">
        <v>1036</v>
      </c>
      <c r="J1621" s="172">
        <f t="shared" si="47"/>
        <v>415</v>
      </c>
      <c r="K1621" s="171">
        <f t="shared" si="46"/>
        <v>415</v>
      </c>
    </row>
    <row r="1622" spans="1:11" x14ac:dyDescent="0.2">
      <c r="A1622" s="191"/>
      <c r="G1622" s="204"/>
      <c r="I1622" s="145"/>
      <c r="J1622" s="172" t="str">
        <f t="shared" si="47"/>
        <v/>
      </c>
      <c r="K1622" s="171">
        <f t="shared" si="46"/>
        <v>535</v>
      </c>
    </row>
    <row r="1623" spans="1:11" x14ac:dyDescent="0.2">
      <c r="A1623" s="191">
        <v>36</v>
      </c>
      <c r="B1623" s="121" t="s">
        <v>78</v>
      </c>
      <c r="F1623" s="317" t="s">
        <v>772</v>
      </c>
      <c r="G1623" s="204">
        <v>55</v>
      </c>
      <c r="I1623" s="145" t="s">
        <v>1030</v>
      </c>
      <c r="J1623" s="172">
        <f t="shared" si="47"/>
        <v>535</v>
      </c>
      <c r="K1623" s="171">
        <f t="shared" si="46"/>
        <v>535</v>
      </c>
    </row>
    <row r="1624" spans="1:11" x14ac:dyDescent="0.2">
      <c r="A1624" s="191"/>
      <c r="G1624" s="204"/>
      <c r="I1624" s="145" t="s">
        <v>894</v>
      </c>
      <c r="J1624" s="172" t="str">
        <f t="shared" si="47"/>
        <v/>
      </c>
      <c r="K1624" s="171">
        <f t="shared" si="46"/>
        <v>590</v>
      </c>
    </row>
    <row r="1625" spans="1:11" x14ac:dyDescent="0.2">
      <c r="A1625" s="191"/>
      <c r="G1625" s="204"/>
      <c r="J1625" s="172" t="str">
        <f t="shared" si="47"/>
        <v/>
      </c>
      <c r="K1625" s="171">
        <f t="shared" si="46"/>
        <v>590</v>
      </c>
    </row>
    <row r="1626" spans="1:11" x14ac:dyDescent="0.2">
      <c r="A1626" s="191">
        <v>37</v>
      </c>
      <c r="B1626" s="109" t="s">
        <v>954</v>
      </c>
      <c r="F1626" s="317" t="s">
        <v>701</v>
      </c>
      <c r="G1626" s="204">
        <v>6</v>
      </c>
      <c r="I1626" s="145" t="s">
        <v>1031</v>
      </c>
      <c r="J1626" s="172">
        <f t="shared" si="47"/>
        <v>590</v>
      </c>
      <c r="K1626" s="171">
        <f t="shared" si="46"/>
        <v>590</v>
      </c>
    </row>
    <row r="1627" spans="1:11" x14ac:dyDescent="0.2">
      <c r="A1627" s="191"/>
      <c r="G1627" s="204"/>
      <c r="I1627" s="111" t="s">
        <v>1032</v>
      </c>
      <c r="J1627" s="172" t="str">
        <f t="shared" si="47"/>
        <v/>
      </c>
      <c r="K1627" s="171">
        <f t="shared" si="46"/>
        <v>596</v>
      </c>
    </row>
    <row r="1628" spans="1:11" x14ac:dyDescent="0.2">
      <c r="A1628" s="191"/>
      <c r="G1628" s="204"/>
      <c r="I1628" s="145"/>
      <c r="J1628" s="172" t="str">
        <f t="shared" si="47"/>
        <v/>
      </c>
      <c r="K1628" s="171">
        <f t="shared" si="46"/>
        <v>596</v>
      </c>
    </row>
    <row r="1629" spans="1:11" x14ac:dyDescent="0.2">
      <c r="A1629" s="191">
        <v>38</v>
      </c>
      <c r="B1629" s="109" t="s">
        <v>819</v>
      </c>
      <c r="F1629" s="317" t="s">
        <v>772</v>
      </c>
      <c r="G1629" s="204">
        <v>9</v>
      </c>
      <c r="I1629" s="145" t="s">
        <v>1033</v>
      </c>
      <c r="J1629" s="172">
        <f t="shared" si="47"/>
        <v>596</v>
      </c>
      <c r="K1629" s="171">
        <f t="shared" si="46"/>
        <v>596</v>
      </c>
    </row>
    <row r="1630" spans="1:11" x14ac:dyDescent="0.2">
      <c r="A1630" s="191"/>
      <c r="G1630" s="204"/>
      <c r="I1630" s="145" t="s">
        <v>971</v>
      </c>
      <c r="J1630" s="172" t="str">
        <f t="shared" si="47"/>
        <v/>
      </c>
      <c r="K1630" s="171">
        <f t="shared" ref="K1630:K1693" si="48">IF(A1630=1,1,+K1629+G1629)</f>
        <v>605</v>
      </c>
    </row>
    <row r="1631" spans="1:11" x14ac:dyDescent="0.2">
      <c r="A1631" s="191"/>
      <c r="G1631" s="204"/>
      <c r="I1631" s="145" t="s">
        <v>972</v>
      </c>
      <c r="J1631" s="172" t="str">
        <f t="shared" si="47"/>
        <v/>
      </c>
      <c r="K1631" s="171">
        <f t="shared" si="48"/>
        <v>605</v>
      </c>
    </row>
    <row r="1632" spans="1:11" x14ac:dyDescent="0.2">
      <c r="A1632" s="191"/>
      <c r="G1632" s="204"/>
      <c r="I1632" s="145" t="s">
        <v>973</v>
      </c>
      <c r="J1632" s="172" t="str">
        <f t="shared" si="47"/>
        <v/>
      </c>
      <c r="K1632" s="171">
        <f t="shared" si="48"/>
        <v>605</v>
      </c>
    </row>
    <row r="1633" spans="1:11" x14ac:dyDescent="0.2">
      <c r="A1633" s="191"/>
      <c r="G1633" s="204"/>
      <c r="I1633" s="145" t="s">
        <v>894</v>
      </c>
      <c r="J1633" s="172" t="str">
        <f t="shared" si="47"/>
        <v/>
      </c>
      <c r="K1633" s="171">
        <f t="shared" si="48"/>
        <v>605</v>
      </c>
    </row>
    <row r="1634" spans="1:11" x14ac:dyDescent="0.2">
      <c r="A1634" s="191"/>
      <c r="G1634" s="204"/>
      <c r="I1634" s="145"/>
      <c r="J1634" s="172" t="str">
        <f t="shared" si="47"/>
        <v/>
      </c>
      <c r="K1634" s="171">
        <f t="shared" si="48"/>
        <v>605</v>
      </c>
    </row>
    <row r="1635" spans="1:11" x14ac:dyDescent="0.2">
      <c r="A1635" s="191"/>
      <c r="B1635" s="173" t="s">
        <v>1037</v>
      </c>
      <c r="G1635" s="204"/>
      <c r="I1635" s="145"/>
      <c r="J1635" s="172" t="str">
        <f t="shared" si="47"/>
        <v/>
      </c>
      <c r="K1635" s="171">
        <f t="shared" si="48"/>
        <v>605</v>
      </c>
    </row>
    <row r="1636" spans="1:11" x14ac:dyDescent="0.2">
      <c r="A1636" s="191"/>
      <c r="G1636" s="204"/>
      <c r="I1636" s="145"/>
      <c r="J1636" s="172" t="str">
        <f t="shared" si="47"/>
        <v/>
      </c>
      <c r="K1636" s="171">
        <f t="shared" si="48"/>
        <v>605</v>
      </c>
    </row>
    <row r="1637" spans="1:11" ht="30" x14ac:dyDescent="0.2">
      <c r="A1637" s="191">
        <v>39</v>
      </c>
      <c r="B1637" s="109" t="s">
        <v>1042</v>
      </c>
      <c r="F1637" s="317" t="s">
        <v>701</v>
      </c>
      <c r="G1637" s="204">
        <v>1</v>
      </c>
      <c r="I1637" s="145" t="s">
        <v>1039</v>
      </c>
      <c r="J1637" s="172">
        <f t="shared" si="47"/>
        <v>605</v>
      </c>
      <c r="K1637" s="171">
        <f t="shared" si="48"/>
        <v>605</v>
      </c>
    </row>
    <row r="1638" spans="1:11" x14ac:dyDescent="0.2">
      <c r="A1638" s="191"/>
      <c r="G1638" s="204"/>
      <c r="I1638" s="145" t="s">
        <v>1040</v>
      </c>
      <c r="J1638" s="172" t="str">
        <f t="shared" si="47"/>
        <v/>
      </c>
      <c r="K1638" s="171">
        <f t="shared" si="48"/>
        <v>606</v>
      </c>
    </row>
    <row r="1639" spans="1:11" x14ac:dyDescent="0.2">
      <c r="A1639" s="191"/>
      <c r="G1639" s="204"/>
      <c r="I1639" s="145" t="s">
        <v>1041</v>
      </c>
      <c r="J1639" s="172" t="str">
        <f t="shared" si="47"/>
        <v/>
      </c>
      <c r="K1639" s="171">
        <f t="shared" si="48"/>
        <v>606</v>
      </c>
    </row>
    <row r="1640" spans="1:11" x14ac:dyDescent="0.2">
      <c r="A1640" s="191"/>
      <c r="G1640" s="204"/>
      <c r="I1640" s="145"/>
      <c r="J1640" s="172" t="str">
        <f t="shared" si="47"/>
        <v/>
      </c>
      <c r="K1640" s="171">
        <f t="shared" si="48"/>
        <v>606</v>
      </c>
    </row>
    <row r="1641" spans="1:11" ht="15.75" thickBot="1" x14ac:dyDescent="0.25">
      <c r="A1641" s="191">
        <v>40</v>
      </c>
      <c r="B1641" s="121" t="s">
        <v>782</v>
      </c>
      <c r="F1641" s="317" t="s">
        <v>772</v>
      </c>
      <c r="G1641" s="204">
        <f>D1511-J1637-G1637+1</f>
        <v>245</v>
      </c>
      <c r="I1641" s="145" t="s">
        <v>965</v>
      </c>
      <c r="J1641" s="172">
        <f t="shared" si="47"/>
        <v>606</v>
      </c>
      <c r="K1641" s="171">
        <f t="shared" si="48"/>
        <v>606</v>
      </c>
    </row>
    <row r="1642" spans="1:11" ht="16.5" thickTop="1" thickBot="1" x14ac:dyDescent="0.25">
      <c r="A1642" s="191"/>
      <c r="B1642" s="224" t="s">
        <v>755</v>
      </c>
      <c r="C1642" s="139"/>
      <c r="D1642" s="323" t="s">
        <v>706</v>
      </c>
      <c r="E1642" s="118"/>
      <c r="F1642" s="321"/>
      <c r="G1642" s="193"/>
      <c r="H1642" s="117"/>
      <c r="I1642" s="152"/>
      <c r="J1642" s="172" t="str">
        <f t="shared" si="47"/>
        <v/>
      </c>
      <c r="K1642" s="171"/>
    </row>
    <row r="1643" spans="1:11" ht="15.75" thickTop="1" x14ac:dyDescent="0.2">
      <c r="A1643" s="191"/>
      <c r="B1643" s="138"/>
      <c r="D1643" s="321"/>
      <c r="E1643" s="118"/>
      <c r="F1643" s="321"/>
      <c r="G1643" s="193"/>
      <c r="H1643" s="117"/>
      <c r="J1643" s="172" t="str">
        <f t="shared" si="47"/>
        <v/>
      </c>
      <c r="K1643" s="171"/>
    </row>
    <row r="1644" spans="1:11" x14ac:dyDescent="0.2">
      <c r="A1644" s="225" t="s">
        <v>1</v>
      </c>
      <c r="B1644" s="226" t="s">
        <v>912</v>
      </c>
      <c r="C1644" s="227"/>
      <c r="D1644" s="337" t="s">
        <v>683</v>
      </c>
      <c r="E1644" s="228"/>
      <c r="F1644" s="337"/>
      <c r="G1644" s="225"/>
      <c r="H1644" s="227"/>
      <c r="I1644" s="229"/>
      <c r="J1644" s="172" t="str">
        <f t="shared" si="47"/>
        <v/>
      </c>
      <c r="K1644" s="171"/>
    </row>
    <row r="1645" spans="1:11" x14ac:dyDescent="0.2">
      <c r="A1645" s="230"/>
      <c r="B1645" s="226" t="s">
        <v>757</v>
      </c>
      <c r="C1645" s="131"/>
      <c r="D1645" s="338">
        <f>+G14</f>
        <v>850</v>
      </c>
      <c r="E1645" s="228" t="s">
        <v>758</v>
      </c>
      <c r="F1645" s="337"/>
      <c r="G1645" s="225"/>
      <c r="H1645" s="227"/>
      <c r="I1645" s="231"/>
      <c r="J1645" s="172" t="str">
        <f t="shared" si="47"/>
        <v/>
      </c>
      <c r="K1645" s="171"/>
    </row>
    <row r="1646" spans="1:11" x14ac:dyDescent="0.2">
      <c r="A1646" s="230"/>
      <c r="B1646" s="227"/>
      <c r="C1646" s="227"/>
      <c r="D1646" s="337"/>
      <c r="E1646" s="228"/>
      <c r="F1646" s="337"/>
      <c r="G1646" s="225"/>
      <c r="H1646" s="227"/>
      <c r="I1646" s="231"/>
      <c r="J1646" s="172" t="str">
        <f t="shared" si="47"/>
        <v/>
      </c>
      <c r="K1646" s="171"/>
    </row>
    <row r="1647" spans="1:11" s="108" customFormat="1" x14ac:dyDescent="0.2">
      <c r="A1647" s="201" t="s">
        <v>759</v>
      </c>
      <c r="B1647" s="166" t="s">
        <v>712</v>
      </c>
      <c r="C1647" s="167"/>
      <c r="D1647" s="327" t="s">
        <v>713</v>
      </c>
      <c r="E1647" s="168"/>
      <c r="F1647" s="327" t="s">
        <v>760</v>
      </c>
      <c r="G1647" s="156" t="s">
        <v>715</v>
      </c>
      <c r="H1647" s="167"/>
      <c r="I1647" s="169" t="s">
        <v>716</v>
      </c>
      <c r="J1647" s="172">
        <f t="shared" si="47"/>
        <v>0</v>
      </c>
      <c r="K1647" s="171"/>
    </row>
    <row r="1648" spans="1:11" x14ac:dyDescent="0.2">
      <c r="A1648" s="202" t="s">
        <v>1</v>
      </c>
      <c r="B1648" s="117"/>
      <c r="C1648" s="117"/>
      <c r="D1648" s="321"/>
      <c r="E1648" s="118"/>
      <c r="F1648" s="321"/>
      <c r="G1648" s="193"/>
      <c r="H1648" s="117"/>
      <c r="I1648" s="144"/>
      <c r="J1648" s="172" t="str">
        <f t="shared" si="47"/>
        <v/>
      </c>
      <c r="K1648" s="171"/>
    </row>
    <row r="1649" spans="1:11" x14ac:dyDescent="0.2">
      <c r="A1649" s="203" t="s">
        <v>1</v>
      </c>
      <c r="B1649" s="121" t="s">
        <v>762</v>
      </c>
      <c r="G1649" s="204"/>
      <c r="J1649" s="172" t="str">
        <f t="shared" si="47"/>
        <v/>
      </c>
      <c r="K1649" s="171"/>
    </row>
    <row r="1650" spans="1:11" x14ac:dyDescent="0.2">
      <c r="A1650" s="191">
        <v>1</v>
      </c>
      <c r="B1650" s="121" t="s">
        <v>763</v>
      </c>
      <c r="D1650" s="317" t="s">
        <v>1107</v>
      </c>
      <c r="F1650" s="317" t="s">
        <v>701</v>
      </c>
      <c r="G1650" s="204">
        <v>4</v>
      </c>
      <c r="I1650" s="145" t="s">
        <v>765</v>
      </c>
      <c r="J1650" s="172">
        <f t="shared" si="47"/>
        <v>4</v>
      </c>
      <c r="K1650" s="171">
        <f t="shared" si="48"/>
        <v>1</v>
      </c>
    </row>
    <row r="1651" spans="1:11" x14ac:dyDescent="0.2">
      <c r="A1651" s="191"/>
      <c r="G1651" s="204"/>
      <c r="J1651" s="172" t="str">
        <f t="shared" si="47"/>
        <v/>
      </c>
      <c r="K1651" s="171">
        <f t="shared" si="48"/>
        <v>5</v>
      </c>
    </row>
    <row r="1652" spans="1:11" x14ac:dyDescent="0.2">
      <c r="A1652" s="191">
        <v>2</v>
      </c>
      <c r="B1652" s="121" t="s">
        <v>766</v>
      </c>
      <c r="D1652" s="317" t="s">
        <v>767</v>
      </c>
      <c r="F1652" s="317" t="s">
        <v>701</v>
      </c>
      <c r="G1652" s="204">
        <v>1</v>
      </c>
      <c r="I1652" s="145" t="s">
        <v>768</v>
      </c>
      <c r="J1652" s="172">
        <f t="shared" si="47"/>
        <v>5</v>
      </c>
      <c r="K1652" s="171">
        <f t="shared" si="48"/>
        <v>5</v>
      </c>
    </row>
    <row r="1653" spans="1:11" x14ac:dyDescent="0.2">
      <c r="A1653" s="191"/>
      <c r="G1653" s="204"/>
      <c r="J1653" s="172" t="str">
        <f t="shared" si="47"/>
        <v/>
      </c>
      <c r="K1653" s="171">
        <f t="shared" si="48"/>
        <v>6</v>
      </c>
    </row>
    <row r="1654" spans="1:11" x14ac:dyDescent="0.2">
      <c r="A1654" s="191">
        <v>3</v>
      </c>
      <c r="B1654" s="121" t="s">
        <v>769</v>
      </c>
      <c r="D1654" s="317" t="s">
        <v>770</v>
      </c>
      <c r="F1654" s="317" t="s">
        <v>701</v>
      </c>
      <c r="G1654" s="204">
        <v>4</v>
      </c>
      <c r="I1654" s="145" t="s">
        <v>768</v>
      </c>
      <c r="J1654" s="172">
        <f t="shared" si="47"/>
        <v>6</v>
      </c>
      <c r="K1654" s="171">
        <f t="shared" si="48"/>
        <v>6</v>
      </c>
    </row>
    <row r="1655" spans="1:11" x14ac:dyDescent="0.2">
      <c r="A1655" s="191"/>
      <c r="G1655" s="204"/>
      <c r="J1655" s="172" t="str">
        <f t="shared" si="47"/>
        <v/>
      </c>
      <c r="K1655" s="171">
        <f t="shared" si="48"/>
        <v>10</v>
      </c>
    </row>
    <row r="1656" spans="1:11" x14ac:dyDescent="0.2">
      <c r="A1656" s="191">
        <v>4</v>
      </c>
      <c r="B1656" s="121" t="s">
        <v>771</v>
      </c>
      <c r="F1656" s="317" t="s">
        <v>772</v>
      </c>
      <c r="G1656" s="204">
        <v>1</v>
      </c>
      <c r="I1656" s="145" t="s">
        <v>773</v>
      </c>
      <c r="J1656" s="172">
        <f t="shared" si="47"/>
        <v>10</v>
      </c>
      <c r="K1656" s="171">
        <f t="shared" si="48"/>
        <v>10</v>
      </c>
    </row>
    <row r="1657" spans="1:11" x14ac:dyDescent="0.2">
      <c r="A1657" s="191"/>
      <c r="G1657" s="204"/>
      <c r="J1657" s="172" t="str">
        <f t="shared" si="47"/>
        <v/>
      </c>
      <c r="K1657" s="171">
        <f t="shared" si="48"/>
        <v>11</v>
      </c>
    </row>
    <row r="1658" spans="1:11" x14ac:dyDescent="0.2">
      <c r="A1658" s="191"/>
      <c r="B1658" s="173" t="s">
        <v>1007</v>
      </c>
      <c r="G1658" s="204"/>
      <c r="J1658" s="172" t="str">
        <f t="shared" si="47"/>
        <v/>
      </c>
      <c r="K1658" s="171">
        <f t="shared" si="48"/>
        <v>11</v>
      </c>
    </row>
    <row r="1659" spans="1:11" x14ac:dyDescent="0.2">
      <c r="A1659" s="191"/>
      <c r="G1659" s="204"/>
      <c r="J1659" s="172" t="str">
        <f t="shared" si="47"/>
        <v/>
      </c>
      <c r="K1659" s="171">
        <f t="shared" si="48"/>
        <v>11</v>
      </c>
    </row>
    <row r="1660" spans="1:11" x14ac:dyDescent="0.2">
      <c r="A1660" s="191">
        <v>5</v>
      </c>
      <c r="B1660" s="121" t="s">
        <v>1008</v>
      </c>
      <c r="F1660" s="317" t="s">
        <v>772</v>
      </c>
      <c r="G1660" s="204">
        <v>5</v>
      </c>
      <c r="I1660" s="145" t="s">
        <v>1009</v>
      </c>
      <c r="J1660" s="172">
        <f t="shared" si="47"/>
        <v>11</v>
      </c>
      <c r="K1660" s="171">
        <f t="shared" si="48"/>
        <v>11</v>
      </c>
    </row>
    <row r="1661" spans="1:11" x14ac:dyDescent="0.2">
      <c r="A1661" s="191"/>
      <c r="G1661" s="204"/>
      <c r="I1661" s="145" t="s">
        <v>1010</v>
      </c>
      <c r="J1661" s="172" t="str">
        <f t="shared" si="47"/>
        <v/>
      </c>
      <c r="K1661" s="171">
        <f t="shared" si="48"/>
        <v>16</v>
      </c>
    </row>
    <row r="1662" spans="1:11" x14ac:dyDescent="0.2">
      <c r="A1662" s="191"/>
      <c r="G1662" s="204"/>
      <c r="J1662" s="172" t="str">
        <f t="shared" si="47"/>
        <v/>
      </c>
      <c r="K1662" s="171">
        <f t="shared" si="48"/>
        <v>16</v>
      </c>
    </row>
    <row r="1663" spans="1:11" x14ac:dyDescent="0.2">
      <c r="A1663" s="191">
        <v>6</v>
      </c>
      <c r="B1663" s="121" t="s">
        <v>1011</v>
      </c>
      <c r="F1663" s="317" t="s">
        <v>772</v>
      </c>
      <c r="G1663" s="204">
        <v>30</v>
      </c>
      <c r="I1663" s="145" t="s">
        <v>1012</v>
      </c>
      <c r="J1663" s="172">
        <f t="shared" si="47"/>
        <v>16</v>
      </c>
      <c r="K1663" s="171">
        <f t="shared" si="48"/>
        <v>16</v>
      </c>
    </row>
    <row r="1664" spans="1:11" x14ac:dyDescent="0.2">
      <c r="A1664" s="191"/>
      <c r="B1664" s="121"/>
      <c r="G1664" s="204"/>
      <c r="I1664" s="145" t="s">
        <v>894</v>
      </c>
      <c r="J1664" s="172" t="str">
        <f t="shared" si="47"/>
        <v/>
      </c>
      <c r="K1664" s="171">
        <f t="shared" si="48"/>
        <v>46</v>
      </c>
    </row>
    <row r="1665" spans="1:11" x14ac:dyDescent="0.2">
      <c r="A1665" s="191"/>
      <c r="G1665" s="204"/>
      <c r="J1665" s="172" t="str">
        <f t="shared" si="47"/>
        <v/>
      </c>
      <c r="K1665" s="171">
        <f t="shared" si="48"/>
        <v>46</v>
      </c>
    </row>
    <row r="1666" spans="1:11" x14ac:dyDescent="0.2">
      <c r="A1666" s="191">
        <v>7</v>
      </c>
      <c r="B1666" s="121" t="s">
        <v>1013</v>
      </c>
      <c r="F1666" s="317" t="s">
        <v>772</v>
      </c>
      <c r="G1666" s="204">
        <v>6</v>
      </c>
      <c r="I1666" s="145" t="s">
        <v>1014</v>
      </c>
      <c r="J1666" s="172">
        <f t="shared" si="47"/>
        <v>46</v>
      </c>
      <c r="K1666" s="171">
        <f t="shared" si="48"/>
        <v>46</v>
      </c>
    </row>
    <row r="1667" spans="1:11" x14ac:dyDescent="0.2">
      <c r="A1667" s="191"/>
      <c r="G1667" s="204"/>
      <c r="I1667" s="145" t="s">
        <v>894</v>
      </c>
      <c r="J1667" s="172" t="str">
        <f t="shared" ref="J1667:J1730" si="49">IF(A1667=1, 4,IF(G1667="", "",+K1667))</f>
        <v/>
      </c>
      <c r="K1667" s="171">
        <f t="shared" si="48"/>
        <v>52</v>
      </c>
    </row>
    <row r="1668" spans="1:11" x14ac:dyDescent="0.2">
      <c r="A1668" s="191"/>
      <c r="G1668" s="204"/>
      <c r="J1668" s="172" t="str">
        <f t="shared" si="49"/>
        <v/>
      </c>
      <c r="K1668" s="171">
        <f t="shared" si="48"/>
        <v>52</v>
      </c>
    </row>
    <row r="1669" spans="1:11" x14ac:dyDescent="0.2">
      <c r="A1669" s="191">
        <v>8</v>
      </c>
      <c r="B1669" s="121" t="s">
        <v>71</v>
      </c>
      <c r="F1669" s="317" t="s">
        <v>772</v>
      </c>
      <c r="G1669" s="204">
        <v>6</v>
      </c>
      <c r="I1669" s="145" t="s">
        <v>1015</v>
      </c>
      <c r="J1669" s="172">
        <f t="shared" si="49"/>
        <v>52</v>
      </c>
      <c r="K1669" s="171">
        <f t="shared" si="48"/>
        <v>52</v>
      </c>
    </row>
    <row r="1670" spans="1:11" x14ac:dyDescent="0.2">
      <c r="A1670" s="191"/>
      <c r="G1670" s="204"/>
      <c r="I1670" s="145" t="s">
        <v>894</v>
      </c>
      <c r="J1670" s="172" t="str">
        <f t="shared" si="49"/>
        <v/>
      </c>
      <c r="K1670" s="171">
        <f t="shared" si="48"/>
        <v>58</v>
      </c>
    </row>
    <row r="1671" spans="1:11" x14ac:dyDescent="0.2">
      <c r="A1671" s="191"/>
      <c r="G1671" s="204"/>
      <c r="I1671" s="145"/>
      <c r="J1671" s="172" t="str">
        <f t="shared" si="49"/>
        <v/>
      </c>
      <c r="K1671" s="171">
        <f t="shared" si="48"/>
        <v>58</v>
      </c>
    </row>
    <row r="1672" spans="1:11" x14ac:dyDescent="0.2">
      <c r="A1672" s="191">
        <v>9</v>
      </c>
      <c r="B1672" s="121" t="s">
        <v>72</v>
      </c>
      <c r="F1672" s="317" t="s">
        <v>772</v>
      </c>
      <c r="G1672" s="204">
        <v>5</v>
      </c>
      <c r="I1672" s="145" t="s">
        <v>1016</v>
      </c>
      <c r="J1672" s="172">
        <f t="shared" si="49"/>
        <v>58</v>
      </c>
      <c r="K1672" s="171">
        <f t="shared" si="48"/>
        <v>58</v>
      </c>
    </row>
    <row r="1673" spans="1:11" x14ac:dyDescent="0.2">
      <c r="A1673" s="191"/>
      <c r="G1673" s="204"/>
      <c r="I1673" s="145" t="s">
        <v>894</v>
      </c>
      <c r="J1673" s="172" t="str">
        <f t="shared" si="49"/>
        <v/>
      </c>
      <c r="K1673" s="171">
        <f t="shared" si="48"/>
        <v>63</v>
      </c>
    </row>
    <row r="1674" spans="1:11" x14ac:dyDescent="0.2">
      <c r="A1674" s="191"/>
      <c r="G1674" s="204"/>
      <c r="J1674" s="172" t="str">
        <f t="shared" si="49"/>
        <v/>
      </c>
      <c r="K1674" s="171">
        <f t="shared" si="48"/>
        <v>63</v>
      </c>
    </row>
    <row r="1675" spans="1:11" x14ac:dyDescent="0.2">
      <c r="A1675" s="191">
        <v>10</v>
      </c>
      <c r="B1675" s="121" t="s">
        <v>73</v>
      </c>
      <c r="F1675" s="317" t="s">
        <v>772</v>
      </c>
      <c r="G1675" s="204">
        <v>3</v>
      </c>
      <c r="I1675" s="145" t="s">
        <v>1017</v>
      </c>
      <c r="J1675" s="172">
        <f t="shared" si="49"/>
        <v>63</v>
      </c>
      <c r="K1675" s="171">
        <f t="shared" si="48"/>
        <v>63</v>
      </c>
    </row>
    <row r="1676" spans="1:11" x14ac:dyDescent="0.2">
      <c r="A1676" s="191"/>
      <c r="G1676" s="204"/>
      <c r="I1676" s="145" t="s">
        <v>894</v>
      </c>
      <c r="J1676" s="172" t="str">
        <f t="shared" si="49"/>
        <v/>
      </c>
      <c r="K1676" s="171">
        <f t="shared" si="48"/>
        <v>66</v>
      </c>
    </row>
    <row r="1677" spans="1:11" x14ac:dyDescent="0.2">
      <c r="A1677" s="191"/>
      <c r="G1677" s="204"/>
      <c r="I1677" s="145"/>
      <c r="J1677" s="172" t="str">
        <f t="shared" si="49"/>
        <v/>
      </c>
      <c r="K1677" s="171">
        <f t="shared" si="48"/>
        <v>66</v>
      </c>
    </row>
    <row r="1678" spans="1:11" x14ac:dyDescent="0.2">
      <c r="A1678" s="191">
        <v>11</v>
      </c>
      <c r="B1678" s="121" t="s">
        <v>1018</v>
      </c>
      <c r="F1678" s="317" t="s">
        <v>772</v>
      </c>
      <c r="G1678" s="204">
        <v>3</v>
      </c>
      <c r="I1678" s="145" t="s">
        <v>1019</v>
      </c>
      <c r="J1678" s="172">
        <f t="shared" si="49"/>
        <v>66</v>
      </c>
      <c r="K1678" s="171">
        <f t="shared" si="48"/>
        <v>66</v>
      </c>
    </row>
    <row r="1679" spans="1:11" x14ac:dyDescent="0.2">
      <c r="A1679" s="191"/>
      <c r="G1679" s="204"/>
      <c r="I1679" s="145" t="s">
        <v>894</v>
      </c>
      <c r="J1679" s="172" t="str">
        <f t="shared" si="49"/>
        <v/>
      </c>
      <c r="K1679" s="171">
        <f t="shared" si="48"/>
        <v>69</v>
      </c>
    </row>
    <row r="1680" spans="1:11" x14ac:dyDescent="0.2">
      <c r="A1680" s="191"/>
      <c r="G1680" s="204"/>
      <c r="I1680" s="145"/>
      <c r="J1680" s="172" t="str">
        <f t="shared" si="49"/>
        <v/>
      </c>
      <c r="K1680" s="171">
        <f t="shared" si="48"/>
        <v>69</v>
      </c>
    </row>
    <row r="1681" spans="1:11" x14ac:dyDescent="0.2">
      <c r="A1681" s="191">
        <v>12</v>
      </c>
      <c r="B1681" s="121" t="s">
        <v>1020</v>
      </c>
      <c r="F1681" s="317" t="s">
        <v>772</v>
      </c>
      <c r="G1681" s="204">
        <v>3</v>
      </c>
      <c r="I1681" s="145" t="s">
        <v>1021</v>
      </c>
      <c r="J1681" s="172">
        <f t="shared" si="49"/>
        <v>69</v>
      </c>
      <c r="K1681" s="171">
        <f t="shared" si="48"/>
        <v>69</v>
      </c>
    </row>
    <row r="1682" spans="1:11" x14ac:dyDescent="0.2">
      <c r="A1682" s="191"/>
      <c r="G1682" s="204"/>
      <c r="I1682" s="145" t="s">
        <v>894</v>
      </c>
      <c r="J1682" s="172" t="str">
        <f t="shared" si="49"/>
        <v/>
      </c>
      <c r="K1682" s="171">
        <f t="shared" si="48"/>
        <v>72</v>
      </c>
    </row>
    <row r="1683" spans="1:11" x14ac:dyDescent="0.2">
      <c r="A1683" s="191"/>
      <c r="G1683" s="204"/>
      <c r="J1683" s="172" t="str">
        <f t="shared" si="49"/>
        <v/>
      </c>
      <c r="K1683" s="171">
        <f t="shared" si="48"/>
        <v>72</v>
      </c>
    </row>
    <row r="1684" spans="1:11" x14ac:dyDescent="0.2">
      <c r="A1684" s="191">
        <v>13</v>
      </c>
      <c r="B1684" s="121" t="s">
        <v>74</v>
      </c>
      <c r="F1684" s="317" t="s">
        <v>772</v>
      </c>
      <c r="G1684" s="204">
        <v>3</v>
      </c>
      <c r="I1684" s="145" t="s">
        <v>1022</v>
      </c>
      <c r="J1684" s="172">
        <f t="shared" si="49"/>
        <v>72</v>
      </c>
      <c r="K1684" s="171">
        <f t="shared" si="48"/>
        <v>72</v>
      </c>
    </row>
    <row r="1685" spans="1:11" x14ac:dyDescent="0.2">
      <c r="A1685" s="191"/>
      <c r="G1685" s="204"/>
      <c r="I1685" s="145" t="s">
        <v>894</v>
      </c>
      <c r="J1685" s="172" t="str">
        <f t="shared" si="49"/>
        <v/>
      </c>
      <c r="K1685" s="171">
        <f t="shared" si="48"/>
        <v>75</v>
      </c>
    </row>
    <row r="1686" spans="1:11" x14ac:dyDescent="0.2">
      <c r="A1686" s="191"/>
      <c r="G1686" s="204"/>
      <c r="I1686" s="145"/>
      <c r="J1686" s="172" t="str">
        <f t="shared" si="49"/>
        <v/>
      </c>
      <c r="K1686" s="171">
        <f t="shared" si="48"/>
        <v>75</v>
      </c>
    </row>
    <row r="1687" spans="1:11" x14ac:dyDescent="0.2">
      <c r="A1687" s="191">
        <v>14</v>
      </c>
      <c r="B1687" s="121" t="s">
        <v>75</v>
      </c>
      <c r="F1687" s="317" t="s">
        <v>772</v>
      </c>
      <c r="G1687" s="204">
        <v>3</v>
      </c>
      <c r="I1687" s="145" t="s">
        <v>1023</v>
      </c>
      <c r="J1687" s="172">
        <f t="shared" si="49"/>
        <v>75</v>
      </c>
      <c r="K1687" s="171">
        <f t="shared" si="48"/>
        <v>75</v>
      </c>
    </row>
    <row r="1688" spans="1:11" x14ac:dyDescent="0.2">
      <c r="A1688" s="191"/>
      <c r="G1688" s="204"/>
      <c r="I1688" s="145" t="s">
        <v>894</v>
      </c>
      <c r="J1688" s="172" t="str">
        <f t="shared" si="49"/>
        <v/>
      </c>
      <c r="K1688" s="171">
        <f t="shared" si="48"/>
        <v>78</v>
      </c>
    </row>
    <row r="1689" spans="1:11" x14ac:dyDescent="0.2">
      <c r="A1689" s="191"/>
      <c r="G1689" s="204"/>
      <c r="I1689" s="145"/>
      <c r="J1689" s="172" t="str">
        <f t="shared" si="49"/>
        <v/>
      </c>
      <c r="K1689" s="171">
        <f t="shared" si="48"/>
        <v>78</v>
      </c>
    </row>
    <row r="1690" spans="1:11" x14ac:dyDescent="0.2">
      <c r="A1690" s="191">
        <v>15</v>
      </c>
      <c r="B1690" s="121" t="s">
        <v>1024</v>
      </c>
      <c r="F1690" s="317" t="s">
        <v>772</v>
      </c>
      <c r="G1690" s="204">
        <v>5</v>
      </c>
      <c r="I1690" s="145" t="s">
        <v>1025</v>
      </c>
      <c r="J1690" s="172">
        <f t="shared" si="49"/>
        <v>78</v>
      </c>
      <c r="K1690" s="171">
        <f t="shared" si="48"/>
        <v>78</v>
      </c>
    </row>
    <row r="1691" spans="1:11" x14ac:dyDescent="0.2">
      <c r="A1691" s="191"/>
      <c r="G1691" s="204"/>
      <c r="I1691" s="145" t="s">
        <v>894</v>
      </c>
      <c r="J1691" s="172" t="str">
        <f t="shared" si="49"/>
        <v/>
      </c>
      <c r="K1691" s="171">
        <f t="shared" si="48"/>
        <v>83</v>
      </c>
    </row>
    <row r="1692" spans="1:11" x14ac:dyDescent="0.2">
      <c r="A1692" s="191"/>
      <c r="G1692" s="204"/>
      <c r="J1692" s="172" t="str">
        <f t="shared" si="49"/>
        <v/>
      </c>
      <c r="K1692" s="171">
        <f t="shared" si="48"/>
        <v>83</v>
      </c>
    </row>
    <row r="1693" spans="1:11" x14ac:dyDescent="0.2">
      <c r="A1693" s="191">
        <v>16</v>
      </c>
      <c r="B1693" s="121" t="s">
        <v>76</v>
      </c>
      <c r="F1693" s="317" t="s">
        <v>772</v>
      </c>
      <c r="G1693" s="204">
        <v>5</v>
      </c>
      <c r="I1693" s="145" t="s">
        <v>1026</v>
      </c>
      <c r="J1693" s="172">
        <f t="shared" si="49"/>
        <v>83</v>
      </c>
      <c r="K1693" s="171">
        <f t="shared" si="48"/>
        <v>83</v>
      </c>
    </row>
    <row r="1694" spans="1:11" x14ac:dyDescent="0.2">
      <c r="A1694" s="191"/>
      <c r="G1694" s="204"/>
      <c r="I1694" s="145" t="s">
        <v>1010</v>
      </c>
      <c r="J1694" s="172" t="str">
        <f t="shared" si="49"/>
        <v/>
      </c>
      <c r="K1694" s="171">
        <f t="shared" ref="K1694:K1757" si="50">IF(A1694=1,1,+K1693+G1693)</f>
        <v>88</v>
      </c>
    </row>
    <row r="1695" spans="1:11" x14ac:dyDescent="0.2">
      <c r="A1695" s="191"/>
      <c r="G1695" s="204"/>
      <c r="I1695" s="145"/>
      <c r="J1695" s="172" t="str">
        <f t="shared" si="49"/>
        <v/>
      </c>
      <c r="K1695" s="171">
        <f t="shared" si="50"/>
        <v>88</v>
      </c>
    </row>
    <row r="1696" spans="1:11" x14ac:dyDescent="0.2">
      <c r="A1696" s="191">
        <v>17</v>
      </c>
      <c r="B1696" s="121" t="s">
        <v>77</v>
      </c>
      <c r="F1696" s="317" t="s">
        <v>772</v>
      </c>
      <c r="G1696" s="204">
        <v>30</v>
      </c>
      <c r="I1696" s="145" t="s">
        <v>1027</v>
      </c>
      <c r="J1696" s="172">
        <f t="shared" si="49"/>
        <v>88</v>
      </c>
      <c r="K1696" s="171">
        <f t="shared" si="50"/>
        <v>88</v>
      </c>
    </row>
    <row r="1697" spans="1:11" x14ac:dyDescent="0.2">
      <c r="A1697" s="191"/>
      <c r="G1697" s="204"/>
      <c r="I1697" s="145" t="s">
        <v>894</v>
      </c>
      <c r="J1697" s="172" t="str">
        <f t="shared" si="49"/>
        <v/>
      </c>
      <c r="K1697" s="171">
        <f t="shared" si="50"/>
        <v>118</v>
      </c>
    </row>
    <row r="1698" spans="1:11" x14ac:dyDescent="0.2">
      <c r="A1698" s="191"/>
      <c r="G1698" s="204"/>
      <c r="I1698" s="145"/>
      <c r="J1698" s="172" t="str">
        <f t="shared" si="49"/>
        <v/>
      </c>
      <c r="K1698" s="171">
        <f t="shared" si="50"/>
        <v>118</v>
      </c>
    </row>
    <row r="1699" spans="1:11" ht="30" x14ac:dyDescent="0.2">
      <c r="A1699" s="191">
        <v>18</v>
      </c>
      <c r="B1699" s="109" t="s">
        <v>1028</v>
      </c>
      <c r="F1699" s="317" t="s">
        <v>772</v>
      </c>
      <c r="G1699" s="204">
        <v>120</v>
      </c>
      <c r="I1699" s="145" t="s">
        <v>1029</v>
      </c>
      <c r="J1699" s="172">
        <f t="shared" si="49"/>
        <v>118</v>
      </c>
      <c r="K1699" s="171">
        <f t="shared" si="50"/>
        <v>118</v>
      </c>
    </row>
    <row r="1700" spans="1:11" x14ac:dyDescent="0.2">
      <c r="A1700" s="191"/>
      <c r="G1700" s="204"/>
      <c r="J1700" s="172" t="str">
        <f t="shared" si="49"/>
        <v/>
      </c>
      <c r="K1700" s="171">
        <f t="shared" si="50"/>
        <v>238</v>
      </c>
    </row>
    <row r="1701" spans="1:11" x14ac:dyDescent="0.2">
      <c r="A1701" s="191">
        <v>19</v>
      </c>
      <c r="B1701" s="121" t="s">
        <v>78</v>
      </c>
      <c r="F1701" s="317" t="s">
        <v>772</v>
      </c>
      <c r="G1701" s="204">
        <v>55</v>
      </c>
      <c r="I1701" s="145" t="s">
        <v>1030</v>
      </c>
      <c r="J1701" s="172">
        <f t="shared" si="49"/>
        <v>238</v>
      </c>
      <c r="K1701" s="171">
        <f t="shared" si="50"/>
        <v>238</v>
      </c>
    </row>
    <row r="1702" spans="1:11" x14ac:dyDescent="0.2">
      <c r="A1702" s="191"/>
      <c r="G1702" s="204"/>
      <c r="I1702" s="145" t="s">
        <v>894</v>
      </c>
      <c r="J1702" s="172" t="str">
        <f t="shared" si="49"/>
        <v/>
      </c>
      <c r="K1702" s="171">
        <f t="shared" si="50"/>
        <v>293</v>
      </c>
    </row>
    <row r="1703" spans="1:11" x14ac:dyDescent="0.2">
      <c r="A1703" s="191"/>
      <c r="G1703" s="204"/>
      <c r="J1703" s="172" t="str">
        <f t="shared" si="49"/>
        <v/>
      </c>
      <c r="K1703" s="171">
        <f t="shared" si="50"/>
        <v>293</v>
      </c>
    </row>
    <row r="1704" spans="1:11" x14ac:dyDescent="0.2">
      <c r="A1704" s="191"/>
      <c r="B1704" s="121"/>
      <c r="G1704" s="204"/>
      <c r="I1704" s="145"/>
      <c r="J1704" s="172" t="str">
        <f t="shared" si="49"/>
        <v/>
      </c>
      <c r="K1704" s="171">
        <f t="shared" si="50"/>
        <v>293</v>
      </c>
    </row>
    <row r="1705" spans="1:11" x14ac:dyDescent="0.2">
      <c r="A1705" s="191">
        <v>20</v>
      </c>
      <c r="B1705" s="109" t="s">
        <v>954</v>
      </c>
      <c r="F1705" s="317" t="s">
        <v>701</v>
      </c>
      <c r="G1705" s="204">
        <v>6</v>
      </c>
      <c r="I1705" s="145" t="s">
        <v>1031</v>
      </c>
      <c r="J1705" s="172">
        <f t="shared" si="49"/>
        <v>293</v>
      </c>
      <c r="K1705" s="171">
        <f t="shared" si="50"/>
        <v>293</v>
      </c>
    </row>
    <row r="1706" spans="1:11" x14ac:dyDescent="0.2">
      <c r="A1706" s="191"/>
      <c r="G1706" s="204"/>
      <c r="I1706" s="111" t="s">
        <v>1032</v>
      </c>
      <c r="J1706" s="172" t="str">
        <f t="shared" si="49"/>
        <v/>
      </c>
      <c r="K1706" s="171">
        <f t="shared" si="50"/>
        <v>299</v>
      </c>
    </row>
    <row r="1707" spans="1:11" x14ac:dyDescent="0.2">
      <c r="A1707" s="191"/>
      <c r="G1707" s="204"/>
      <c r="I1707" s="145"/>
      <c r="J1707" s="172" t="str">
        <f t="shared" si="49"/>
        <v/>
      </c>
      <c r="K1707" s="171">
        <f t="shared" si="50"/>
        <v>299</v>
      </c>
    </row>
    <row r="1708" spans="1:11" x14ac:dyDescent="0.2">
      <c r="A1708" s="191">
        <v>21</v>
      </c>
      <c r="B1708" s="109" t="s">
        <v>819</v>
      </c>
      <c r="F1708" s="317" t="s">
        <v>772</v>
      </c>
      <c r="G1708" s="204">
        <v>9</v>
      </c>
      <c r="I1708" s="145" t="s">
        <v>1033</v>
      </c>
      <c r="J1708" s="172">
        <f t="shared" si="49"/>
        <v>299</v>
      </c>
      <c r="K1708" s="171">
        <f t="shared" si="50"/>
        <v>299</v>
      </c>
    </row>
    <row r="1709" spans="1:11" x14ac:dyDescent="0.2">
      <c r="A1709" s="191"/>
      <c r="G1709" s="204"/>
      <c r="I1709" s="145" t="s">
        <v>971</v>
      </c>
      <c r="J1709" s="172" t="str">
        <f t="shared" si="49"/>
        <v/>
      </c>
      <c r="K1709" s="171">
        <f t="shared" si="50"/>
        <v>308</v>
      </c>
    </row>
    <row r="1710" spans="1:11" x14ac:dyDescent="0.2">
      <c r="A1710" s="191"/>
      <c r="G1710" s="204"/>
      <c r="I1710" s="145" t="s">
        <v>972</v>
      </c>
      <c r="J1710" s="172" t="str">
        <f t="shared" si="49"/>
        <v/>
      </c>
      <c r="K1710" s="171">
        <f t="shared" si="50"/>
        <v>308</v>
      </c>
    </row>
    <row r="1711" spans="1:11" x14ac:dyDescent="0.2">
      <c r="A1711" s="191"/>
      <c r="G1711" s="204"/>
      <c r="I1711" s="145" t="s">
        <v>973</v>
      </c>
      <c r="J1711" s="172" t="str">
        <f t="shared" si="49"/>
        <v/>
      </c>
      <c r="K1711" s="171">
        <f t="shared" si="50"/>
        <v>308</v>
      </c>
    </row>
    <row r="1712" spans="1:11" x14ac:dyDescent="0.2">
      <c r="A1712" s="191"/>
      <c r="G1712" s="204"/>
      <c r="I1712" s="145" t="s">
        <v>894</v>
      </c>
      <c r="J1712" s="172" t="str">
        <f t="shared" si="49"/>
        <v/>
      </c>
      <c r="K1712" s="171">
        <f t="shared" si="50"/>
        <v>308</v>
      </c>
    </row>
    <row r="1713" spans="1:11" x14ac:dyDescent="0.2">
      <c r="A1713" s="191"/>
      <c r="G1713" s="204"/>
      <c r="I1713" s="145"/>
      <c r="J1713" s="172" t="str">
        <f t="shared" si="49"/>
        <v/>
      </c>
      <c r="K1713" s="171">
        <f t="shared" si="50"/>
        <v>308</v>
      </c>
    </row>
    <row r="1714" spans="1:11" x14ac:dyDescent="0.2">
      <c r="A1714" s="191"/>
      <c r="B1714" s="173" t="s">
        <v>1034</v>
      </c>
      <c r="G1714" s="204"/>
      <c r="I1714" s="145"/>
      <c r="J1714" s="172" t="str">
        <f t="shared" si="49"/>
        <v/>
      </c>
      <c r="K1714" s="171">
        <f t="shared" si="50"/>
        <v>308</v>
      </c>
    </row>
    <row r="1715" spans="1:11" x14ac:dyDescent="0.2">
      <c r="A1715" s="191"/>
      <c r="G1715" s="204"/>
      <c r="I1715" s="145"/>
      <c r="J1715" s="172" t="str">
        <f t="shared" si="49"/>
        <v/>
      </c>
      <c r="K1715" s="171">
        <f t="shared" si="50"/>
        <v>308</v>
      </c>
    </row>
    <row r="1716" spans="1:11" x14ac:dyDescent="0.2">
      <c r="A1716" s="191">
        <v>22</v>
      </c>
      <c r="B1716" s="121" t="s">
        <v>1008</v>
      </c>
      <c r="F1716" s="317" t="s">
        <v>772</v>
      </c>
      <c r="G1716" s="204">
        <v>5</v>
      </c>
      <c r="I1716" s="145" t="s">
        <v>1009</v>
      </c>
      <c r="J1716" s="172">
        <f t="shared" si="49"/>
        <v>308</v>
      </c>
      <c r="K1716" s="171">
        <f t="shared" si="50"/>
        <v>308</v>
      </c>
    </row>
    <row r="1717" spans="1:11" x14ac:dyDescent="0.2">
      <c r="A1717" s="191"/>
      <c r="G1717" s="204"/>
      <c r="I1717" s="145" t="s">
        <v>1010</v>
      </c>
      <c r="J1717" s="172" t="str">
        <f t="shared" si="49"/>
        <v/>
      </c>
      <c r="K1717" s="171">
        <f t="shared" si="50"/>
        <v>313</v>
      </c>
    </row>
    <row r="1718" spans="1:11" x14ac:dyDescent="0.2">
      <c r="A1718" s="191"/>
      <c r="G1718" s="204"/>
      <c r="J1718" s="172" t="str">
        <f t="shared" si="49"/>
        <v/>
      </c>
      <c r="K1718" s="171">
        <f t="shared" si="50"/>
        <v>313</v>
      </c>
    </row>
    <row r="1719" spans="1:11" x14ac:dyDescent="0.2">
      <c r="A1719" s="191">
        <v>23</v>
      </c>
      <c r="B1719" s="121" t="s">
        <v>1011</v>
      </c>
      <c r="F1719" s="317" t="s">
        <v>772</v>
      </c>
      <c r="G1719" s="204">
        <v>30</v>
      </c>
      <c r="I1719" s="145" t="s">
        <v>1012</v>
      </c>
      <c r="J1719" s="172">
        <f t="shared" si="49"/>
        <v>313</v>
      </c>
      <c r="K1719" s="171">
        <f t="shared" si="50"/>
        <v>313</v>
      </c>
    </row>
    <row r="1720" spans="1:11" x14ac:dyDescent="0.2">
      <c r="A1720" s="191"/>
      <c r="B1720" s="121"/>
      <c r="G1720" s="204"/>
      <c r="I1720" s="145" t="s">
        <v>894</v>
      </c>
      <c r="J1720" s="172" t="str">
        <f t="shared" si="49"/>
        <v/>
      </c>
      <c r="K1720" s="171">
        <f t="shared" si="50"/>
        <v>343</v>
      </c>
    </row>
    <row r="1721" spans="1:11" x14ac:dyDescent="0.2">
      <c r="A1721" s="191"/>
      <c r="G1721" s="204"/>
      <c r="J1721" s="172" t="str">
        <f t="shared" si="49"/>
        <v/>
      </c>
      <c r="K1721" s="171">
        <f t="shared" si="50"/>
        <v>343</v>
      </c>
    </row>
    <row r="1722" spans="1:11" x14ac:dyDescent="0.2">
      <c r="A1722" s="191">
        <v>24</v>
      </c>
      <c r="B1722" s="121" t="s">
        <v>1013</v>
      </c>
      <c r="F1722" s="317" t="s">
        <v>772</v>
      </c>
      <c r="G1722" s="204">
        <v>6</v>
      </c>
      <c r="I1722" s="145" t="s">
        <v>1014</v>
      </c>
      <c r="J1722" s="172">
        <f t="shared" si="49"/>
        <v>343</v>
      </c>
      <c r="K1722" s="171">
        <f t="shared" si="50"/>
        <v>343</v>
      </c>
    </row>
    <row r="1723" spans="1:11" x14ac:dyDescent="0.2">
      <c r="A1723" s="191"/>
      <c r="G1723" s="204"/>
      <c r="I1723" s="145" t="s">
        <v>894</v>
      </c>
      <c r="J1723" s="172" t="str">
        <f t="shared" si="49"/>
        <v/>
      </c>
      <c r="K1723" s="171">
        <f t="shared" si="50"/>
        <v>349</v>
      </c>
    </row>
    <row r="1724" spans="1:11" x14ac:dyDescent="0.2">
      <c r="A1724" s="191"/>
      <c r="G1724" s="204"/>
      <c r="J1724" s="172" t="str">
        <f t="shared" si="49"/>
        <v/>
      </c>
      <c r="K1724" s="171">
        <f t="shared" si="50"/>
        <v>349</v>
      </c>
    </row>
    <row r="1725" spans="1:11" x14ac:dyDescent="0.2">
      <c r="A1725" s="191">
        <v>25</v>
      </c>
      <c r="B1725" s="121" t="s">
        <v>71</v>
      </c>
      <c r="F1725" s="317" t="s">
        <v>772</v>
      </c>
      <c r="G1725" s="204">
        <v>6</v>
      </c>
      <c r="I1725" s="145" t="s">
        <v>1015</v>
      </c>
      <c r="J1725" s="172">
        <f t="shared" si="49"/>
        <v>349</v>
      </c>
      <c r="K1725" s="171">
        <f t="shared" si="50"/>
        <v>349</v>
      </c>
    </row>
    <row r="1726" spans="1:11" x14ac:dyDescent="0.2">
      <c r="A1726" s="191"/>
      <c r="G1726" s="204"/>
      <c r="I1726" s="145" t="s">
        <v>894</v>
      </c>
      <c r="J1726" s="172" t="str">
        <f t="shared" si="49"/>
        <v/>
      </c>
      <c r="K1726" s="171">
        <f t="shared" si="50"/>
        <v>355</v>
      </c>
    </row>
    <row r="1727" spans="1:11" x14ac:dyDescent="0.2">
      <c r="A1727" s="191"/>
      <c r="G1727" s="204"/>
      <c r="I1727" s="145"/>
      <c r="J1727" s="172" t="str">
        <f t="shared" si="49"/>
        <v/>
      </c>
      <c r="K1727" s="171">
        <f t="shared" si="50"/>
        <v>355</v>
      </c>
    </row>
    <row r="1728" spans="1:11" x14ac:dyDescent="0.2">
      <c r="A1728" s="191">
        <v>26</v>
      </c>
      <c r="B1728" s="121" t="s">
        <v>72</v>
      </c>
      <c r="F1728" s="317" t="s">
        <v>772</v>
      </c>
      <c r="G1728" s="204">
        <v>5</v>
      </c>
      <c r="I1728" s="145" t="s">
        <v>1016</v>
      </c>
      <c r="J1728" s="172">
        <f t="shared" si="49"/>
        <v>355</v>
      </c>
      <c r="K1728" s="171">
        <f t="shared" si="50"/>
        <v>355</v>
      </c>
    </row>
    <row r="1729" spans="1:11" x14ac:dyDescent="0.2">
      <c r="A1729" s="191"/>
      <c r="G1729" s="204"/>
      <c r="I1729" s="145" t="s">
        <v>894</v>
      </c>
      <c r="J1729" s="172" t="str">
        <f t="shared" si="49"/>
        <v/>
      </c>
      <c r="K1729" s="171">
        <f t="shared" si="50"/>
        <v>360</v>
      </c>
    </row>
    <row r="1730" spans="1:11" x14ac:dyDescent="0.2">
      <c r="A1730" s="191"/>
      <c r="G1730" s="204"/>
      <c r="J1730" s="172" t="str">
        <f t="shared" si="49"/>
        <v/>
      </c>
      <c r="K1730" s="171">
        <f t="shared" si="50"/>
        <v>360</v>
      </c>
    </row>
    <row r="1731" spans="1:11" x14ac:dyDescent="0.2">
      <c r="A1731" s="191">
        <v>27</v>
      </c>
      <c r="B1731" s="121" t="s">
        <v>73</v>
      </c>
      <c r="F1731" s="317" t="s">
        <v>772</v>
      </c>
      <c r="G1731" s="204">
        <v>3</v>
      </c>
      <c r="I1731" s="145" t="s">
        <v>1017</v>
      </c>
      <c r="J1731" s="172">
        <f t="shared" ref="J1731:J1794" si="51">IF(A1731=1, 4,IF(G1731="", "",+K1731))</f>
        <v>360</v>
      </c>
      <c r="K1731" s="171">
        <f t="shared" si="50"/>
        <v>360</v>
      </c>
    </row>
    <row r="1732" spans="1:11" x14ac:dyDescent="0.2">
      <c r="A1732" s="191"/>
      <c r="G1732" s="204"/>
      <c r="I1732" s="145" t="s">
        <v>894</v>
      </c>
      <c r="J1732" s="172" t="str">
        <f t="shared" si="51"/>
        <v/>
      </c>
      <c r="K1732" s="171">
        <f t="shared" si="50"/>
        <v>363</v>
      </c>
    </row>
    <row r="1733" spans="1:11" x14ac:dyDescent="0.2">
      <c r="A1733" s="191"/>
      <c r="G1733" s="204"/>
      <c r="I1733" s="145"/>
      <c r="J1733" s="172" t="str">
        <f t="shared" si="51"/>
        <v/>
      </c>
      <c r="K1733" s="171">
        <f t="shared" si="50"/>
        <v>363</v>
      </c>
    </row>
    <row r="1734" spans="1:11" x14ac:dyDescent="0.2">
      <c r="A1734" s="191">
        <v>28</v>
      </c>
      <c r="B1734" s="121" t="s">
        <v>1018</v>
      </c>
      <c r="F1734" s="317" t="s">
        <v>772</v>
      </c>
      <c r="G1734" s="204">
        <v>3</v>
      </c>
      <c r="I1734" s="145" t="s">
        <v>1019</v>
      </c>
      <c r="J1734" s="172">
        <f t="shared" si="51"/>
        <v>363</v>
      </c>
      <c r="K1734" s="171">
        <f t="shared" si="50"/>
        <v>363</v>
      </c>
    </row>
    <row r="1735" spans="1:11" x14ac:dyDescent="0.2">
      <c r="A1735" s="191"/>
      <c r="G1735" s="204"/>
      <c r="I1735" s="145" t="s">
        <v>894</v>
      </c>
      <c r="J1735" s="172" t="str">
        <f t="shared" si="51"/>
        <v/>
      </c>
      <c r="K1735" s="171">
        <f t="shared" si="50"/>
        <v>366</v>
      </c>
    </row>
    <row r="1736" spans="1:11" x14ac:dyDescent="0.2">
      <c r="A1736" s="191"/>
      <c r="G1736" s="204"/>
      <c r="I1736" s="145"/>
      <c r="J1736" s="172" t="str">
        <f t="shared" si="51"/>
        <v/>
      </c>
      <c r="K1736" s="171">
        <f t="shared" si="50"/>
        <v>366</v>
      </c>
    </row>
    <row r="1737" spans="1:11" x14ac:dyDescent="0.2">
      <c r="A1737" s="191">
        <v>29</v>
      </c>
      <c r="B1737" s="121" t="s">
        <v>1020</v>
      </c>
      <c r="F1737" s="317" t="s">
        <v>772</v>
      </c>
      <c r="G1737" s="204">
        <v>3</v>
      </c>
      <c r="I1737" s="145" t="s">
        <v>1021</v>
      </c>
      <c r="J1737" s="172">
        <f t="shared" si="51"/>
        <v>366</v>
      </c>
      <c r="K1737" s="171">
        <f t="shared" si="50"/>
        <v>366</v>
      </c>
    </row>
    <row r="1738" spans="1:11" x14ac:dyDescent="0.2">
      <c r="A1738" s="191"/>
      <c r="G1738" s="204"/>
      <c r="I1738" s="145" t="s">
        <v>894</v>
      </c>
      <c r="J1738" s="172" t="str">
        <f t="shared" si="51"/>
        <v/>
      </c>
      <c r="K1738" s="171">
        <f t="shared" si="50"/>
        <v>369</v>
      </c>
    </row>
    <row r="1739" spans="1:11" x14ac:dyDescent="0.2">
      <c r="A1739" s="191"/>
      <c r="G1739" s="204"/>
      <c r="J1739" s="172" t="str">
        <f t="shared" si="51"/>
        <v/>
      </c>
      <c r="K1739" s="171">
        <f t="shared" si="50"/>
        <v>369</v>
      </c>
    </row>
    <row r="1740" spans="1:11" x14ac:dyDescent="0.2">
      <c r="A1740" s="191">
        <v>30</v>
      </c>
      <c r="B1740" s="121" t="s">
        <v>74</v>
      </c>
      <c r="F1740" s="317" t="s">
        <v>772</v>
      </c>
      <c r="G1740" s="204">
        <v>3</v>
      </c>
      <c r="I1740" s="145" t="s">
        <v>1022</v>
      </c>
      <c r="J1740" s="172">
        <f t="shared" si="51"/>
        <v>369</v>
      </c>
      <c r="K1740" s="171">
        <f t="shared" si="50"/>
        <v>369</v>
      </c>
    </row>
    <row r="1741" spans="1:11" x14ac:dyDescent="0.2">
      <c r="A1741" s="191"/>
      <c r="G1741" s="204"/>
      <c r="I1741" s="145" t="s">
        <v>894</v>
      </c>
      <c r="J1741" s="172" t="str">
        <f t="shared" si="51"/>
        <v/>
      </c>
      <c r="K1741" s="171">
        <f t="shared" si="50"/>
        <v>372</v>
      </c>
    </row>
    <row r="1742" spans="1:11" x14ac:dyDescent="0.2">
      <c r="A1742" s="191"/>
      <c r="G1742" s="204"/>
      <c r="I1742" s="145"/>
      <c r="J1742" s="172" t="str">
        <f t="shared" si="51"/>
        <v/>
      </c>
      <c r="K1742" s="171">
        <f t="shared" si="50"/>
        <v>372</v>
      </c>
    </row>
    <row r="1743" spans="1:11" x14ac:dyDescent="0.2">
      <c r="A1743" s="191">
        <v>31</v>
      </c>
      <c r="B1743" s="121" t="s">
        <v>75</v>
      </c>
      <c r="F1743" s="317" t="s">
        <v>772</v>
      </c>
      <c r="G1743" s="204">
        <v>3</v>
      </c>
      <c r="I1743" s="145" t="s">
        <v>1023</v>
      </c>
      <c r="J1743" s="172">
        <f t="shared" si="51"/>
        <v>372</v>
      </c>
      <c r="K1743" s="171">
        <f t="shared" si="50"/>
        <v>372</v>
      </c>
    </row>
    <row r="1744" spans="1:11" x14ac:dyDescent="0.2">
      <c r="A1744" s="191"/>
      <c r="G1744" s="204"/>
      <c r="I1744" s="145" t="s">
        <v>894</v>
      </c>
      <c r="J1744" s="172" t="str">
        <f t="shared" si="51"/>
        <v/>
      </c>
      <c r="K1744" s="171">
        <f t="shared" si="50"/>
        <v>375</v>
      </c>
    </row>
    <row r="1745" spans="1:11" x14ac:dyDescent="0.2">
      <c r="A1745" s="191"/>
      <c r="G1745" s="204"/>
      <c r="I1745" s="145"/>
      <c r="J1745" s="172" t="str">
        <f t="shared" si="51"/>
        <v/>
      </c>
      <c r="K1745" s="171">
        <f t="shared" si="50"/>
        <v>375</v>
      </c>
    </row>
    <row r="1746" spans="1:11" x14ac:dyDescent="0.2">
      <c r="A1746" s="191">
        <v>32</v>
      </c>
      <c r="B1746" s="121" t="s">
        <v>1024</v>
      </c>
      <c r="F1746" s="317" t="s">
        <v>772</v>
      </c>
      <c r="G1746" s="204">
        <v>5</v>
      </c>
      <c r="I1746" s="145" t="s">
        <v>1025</v>
      </c>
      <c r="J1746" s="172">
        <f t="shared" si="51"/>
        <v>375</v>
      </c>
      <c r="K1746" s="171">
        <f t="shared" si="50"/>
        <v>375</v>
      </c>
    </row>
    <row r="1747" spans="1:11" x14ac:dyDescent="0.2">
      <c r="A1747" s="191"/>
      <c r="G1747" s="204"/>
      <c r="I1747" s="145" t="s">
        <v>894</v>
      </c>
      <c r="J1747" s="172" t="str">
        <f t="shared" si="51"/>
        <v/>
      </c>
      <c r="K1747" s="171">
        <f t="shared" si="50"/>
        <v>380</v>
      </c>
    </row>
    <row r="1748" spans="1:11" x14ac:dyDescent="0.2">
      <c r="A1748" s="191"/>
      <c r="G1748" s="204"/>
      <c r="J1748" s="172" t="str">
        <f t="shared" si="51"/>
        <v/>
      </c>
      <c r="K1748" s="171">
        <f t="shared" si="50"/>
        <v>380</v>
      </c>
    </row>
    <row r="1749" spans="1:11" x14ac:dyDescent="0.2">
      <c r="A1749" s="191">
        <v>33</v>
      </c>
      <c r="B1749" s="121" t="s">
        <v>76</v>
      </c>
      <c r="F1749" s="317" t="s">
        <v>772</v>
      </c>
      <c r="G1749" s="204">
        <v>5</v>
      </c>
      <c r="I1749" s="145" t="s">
        <v>1026</v>
      </c>
      <c r="J1749" s="172">
        <f t="shared" si="51"/>
        <v>380</v>
      </c>
      <c r="K1749" s="171">
        <f t="shared" si="50"/>
        <v>380</v>
      </c>
    </row>
    <row r="1750" spans="1:11" x14ac:dyDescent="0.2">
      <c r="A1750" s="191"/>
      <c r="G1750" s="204"/>
      <c r="I1750" s="145" t="s">
        <v>1010</v>
      </c>
      <c r="J1750" s="172" t="str">
        <f t="shared" si="51"/>
        <v/>
      </c>
      <c r="K1750" s="171">
        <f t="shared" si="50"/>
        <v>385</v>
      </c>
    </row>
    <row r="1751" spans="1:11" x14ac:dyDescent="0.2">
      <c r="A1751" s="191"/>
      <c r="G1751" s="204"/>
      <c r="I1751" s="145"/>
      <c r="J1751" s="172" t="str">
        <f t="shared" si="51"/>
        <v/>
      </c>
      <c r="K1751" s="171">
        <f t="shared" si="50"/>
        <v>385</v>
      </c>
    </row>
    <row r="1752" spans="1:11" x14ac:dyDescent="0.2">
      <c r="A1752" s="191">
        <v>34</v>
      </c>
      <c r="B1752" s="121" t="s">
        <v>77</v>
      </c>
      <c r="F1752" s="317" t="s">
        <v>772</v>
      </c>
      <c r="G1752" s="204">
        <v>30</v>
      </c>
      <c r="I1752" s="145" t="s">
        <v>1027</v>
      </c>
      <c r="J1752" s="172">
        <f t="shared" si="51"/>
        <v>385</v>
      </c>
      <c r="K1752" s="171">
        <f t="shared" si="50"/>
        <v>385</v>
      </c>
    </row>
    <row r="1753" spans="1:11" x14ac:dyDescent="0.2">
      <c r="A1753" s="191"/>
      <c r="G1753" s="204"/>
      <c r="I1753" s="145" t="s">
        <v>894</v>
      </c>
      <c r="J1753" s="172" t="str">
        <f t="shared" si="51"/>
        <v/>
      </c>
      <c r="K1753" s="171">
        <f t="shared" si="50"/>
        <v>415</v>
      </c>
    </row>
    <row r="1754" spans="1:11" x14ac:dyDescent="0.2">
      <c r="A1754" s="191"/>
      <c r="G1754" s="204"/>
      <c r="I1754" s="145"/>
      <c r="J1754" s="172" t="str">
        <f t="shared" si="51"/>
        <v/>
      </c>
      <c r="K1754" s="171">
        <f t="shared" si="50"/>
        <v>415</v>
      </c>
    </row>
    <row r="1755" spans="1:11" ht="30" x14ac:dyDescent="0.2">
      <c r="A1755" s="191">
        <v>35</v>
      </c>
      <c r="B1755" s="109" t="s">
        <v>1035</v>
      </c>
      <c r="F1755" s="317" t="s">
        <v>772</v>
      </c>
      <c r="G1755" s="204">
        <v>120</v>
      </c>
      <c r="I1755" s="145" t="s">
        <v>1036</v>
      </c>
      <c r="J1755" s="172">
        <f t="shared" si="51"/>
        <v>415</v>
      </c>
      <c r="K1755" s="171">
        <f t="shared" si="50"/>
        <v>415</v>
      </c>
    </row>
    <row r="1756" spans="1:11" x14ac:dyDescent="0.2">
      <c r="A1756" s="191"/>
      <c r="G1756" s="204"/>
      <c r="I1756" s="145"/>
      <c r="J1756" s="172" t="str">
        <f t="shared" si="51"/>
        <v/>
      </c>
      <c r="K1756" s="171">
        <f t="shared" si="50"/>
        <v>535</v>
      </c>
    </row>
    <row r="1757" spans="1:11" x14ac:dyDescent="0.2">
      <c r="A1757" s="191">
        <v>36</v>
      </c>
      <c r="B1757" s="121" t="s">
        <v>78</v>
      </c>
      <c r="F1757" s="317" t="s">
        <v>772</v>
      </c>
      <c r="G1757" s="204">
        <v>55</v>
      </c>
      <c r="I1757" s="145" t="s">
        <v>1030</v>
      </c>
      <c r="J1757" s="172">
        <f t="shared" si="51"/>
        <v>535</v>
      </c>
      <c r="K1757" s="171">
        <f t="shared" si="50"/>
        <v>535</v>
      </c>
    </row>
    <row r="1758" spans="1:11" x14ac:dyDescent="0.2">
      <c r="A1758" s="191"/>
      <c r="G1758" s="204"/>
      <c r="I1758" s="145" t="s">
        <v>894</v>
      </c>
      <c r="J1758" s="172" t="str">
        <f t="shared" si="51"/>
        <v/>
      </c>
      <c r="K1758" s="171">
        <f t="shared" ref="K1758:K1776" si="52">IF(A1758=1,1,+K1757+G1757)</f>
        <v>590</v>
      </c>
    </row>
    <row r="1759" spans="1:11" x14ac:dyDescent="0.2">
      <c r="A1759" s="191"/>
      <c r="G1759" s="204"/>
      <c r="J1759" s="172" t="str">
        <f t="shared" si="51"/>
        <v/>
      </c>
      <c r="K1759" s="171">
        <f t="shared" si="52"/>
        <v>590</v>
      </c>
    </row>
    <row r="1760" spans="1:11" x14ac:dyDescent="0.2">
      <c r="A1760" s="191"/>
      <c r="G1760" s="204"/>
      <c r="I1760" s="145"/>
      <c r="J1760" s="172" t="str">
        <f t="shared" si="51"/>
        <v/>
      </c>
      <c r="K1760" s="171">
        <f t="shared" si="52"/>
        <v>590</v>
      </c>
    </row>
    <row r="1761" spans="1:11" x14ac:dyDescent="0.2">
      <c r="A1761" s="191">
        <v>37</v>
      </c>
      <c r="B1761" s="109" t="s">
        <v>954</v>
      </c>
      <c r="F1761" s="317" t="s">
        <v>701</v>
      </c>
      <c r="G1761" s="204">
        <v>6</v>
      </c>
      <c r="I1761" s="145" t="s">
        <v>1031</v>
      </c>
      <c r="J1761" s="172">
        <f t="shared" si="51"/>
        <v>590</v>
      </c>
      <c r="K1761" s="171">
        <f t="shared" si="52"/>
        <v>590</v>
      </c>
    </row>
    <row r="1762" spans="1:11" x14ac:dyDescent="0.2">
      <c r="A1762" s="191"/>
      <c r="G1762" s="204"/>
      <c r="I1762" s="111" t="s">
        <v>1032</v>
      </c>
      <c r="J1762" s="172" t="str">
        <f t="shared" si="51"/>
        <v/>
      </c>
      <c r="K1762" s="171">
        <f t="shared" si="52"/>
        <v>596</v>
      </c>
    </row>
    <row r="1763" spans="1:11" x14ac:dyDescent="0.2">
      <c r="A1763" s="191"/>
      <c r="G1763" s="204"/>
      <c r="I1763" s="145"/>
      <c r="J1763" s="172" t="str">
        <f t="shared" si="51"/>
        <v/>
      </c>
      <c r="K1763" s="171">
        <f t="shared" si="52"/>
        <v>596</v>
      </c>
    </row>
    <row r="1764" spans="1:11" x14ac:dyDescent="0.2">
      <c r="A1764" s="191">
        <v>38</v>
      </c>
      <c r="B1764" s="109" t="s">
        <v>819</v>
      </c>
      <c r="F1764" s="317" t="s">
        <v>772</v>
      </c>
      <c r="G1764" s="204">
        <v>9</v>
      </c>
      <c r="I1764" s="145" t="s">
        <v>1033</v>
      </c>
      <c r="J1764" s="172">
        <f t="shared" si="51"/>
        <v>596</v>
      </c>
      <c r="K1764" s="171">
        <f t="shared" si="52"/>
        <v>596</v>
      </c>
    </row>
    <row r="1765" spans="1:11" x14ac:dyDescent="0.2">
      <c r="A1765" s="191"/>
      <c r="G1765" s="204"/>
      <c r="I1765" s="145" t="s">
        <v>971</v>
      </c>
      <c r="J1765" s="172" t="str">
        <f t="shared" si="51"/>
        <v/>
      </c>
      <c r="K1765" s="171">
        <f t="shared" si="52"/>
        <v>605</v>
      </c>
    </row>
    <row r="1766" spans="1:11" x14ac:dyDescent="0.2">
      <c r="A1766" s="191"/>
      <c r="G1766" s="204"/>
      <c r="I1766" s="145" t="s">
        <v>972</v>
      </c>
      <c r="J1766" s="172" t="str">
        <f t="shared" si="51"/>
        <v/>
      </c>
      <c r="K1766" s="171">
        <f t="shared" si="52"/>
        <v>605</v>
      </c>
    </row>
    <row r="1767" spans="1:11" x14ac:dyDescent="0.2">
      <c r="A1767" s="191"/>
      <c r="G1767" s="204"/>
      <c r="I1767" s="145" t="s">
        <v>973</v>
      </c>
      <c r="J1767" s="172" t="str">
        <f t="shared" si="51"/>
        <v/>
      </c>
      <c r="K1767" s="171">
        <f t="shared" si="52"/>
        <v>605</v>
      </c>
    </row>
    <row r="1768" spans="1:11" x14ac:dyDescent="0.2">
      <c r="A1768" s="191"/>
      <c r="G1768" s="204"/>
      <c r="I1768" s="145" t="s">
        <v>894</v>
      </c>
      <c r="J1768" s="172" t="str">
        <f t="shared" si="51"/>
        <v/>
      </c>
      <c r="K1768" s="171">
        <f t="shared" si="52"/>
        <v>605</v>
      </c>
    </row>
    <row r="1769" spans="1:11" x14ac:dyDescent="0.2">
      <c r="A1769" s="191"/>
      <c r="G1769" s="204"/>
      <c r="I1769" s="145"/>
      <c r="J1769" s="172" t="str">
        <f t="shared" si="51"/>
        <v/>
      </c>
      <c r="K1769" s="171">
        <f t="shared" si="52"/>
        <v>605</v>
      </c>
    </row>
    <row r="1770" spans="1:11" x14ac:dyDescent="0.2">
      <c r="A1770" s="191"/>
      <c r="B1770" s="173" t="s">
        <v>1037</v>
      </c>
      <c r="G1770" s="204"/>
      <c r="I1770" s="145"/>
      <c r="J1770" s="172" t="str">
        <f t="shared" si="51"/>
        <v/>
      </c>
      <c r="K1770" s="171">
        <f t="shared" si="52"/>
        <v>605</v>
      </c>
    </row>
    <row r="1771" spans="1:11" x14ac:dyDescent="0.2">
      <c r="A1771" s="191"/>
      <c r="G1771" s="204"/>
      <c r="I1771" s="145"/>
      <c r="J1771" s="172" t="str">
        <f t="shared" si="51"/>
        <v/>
      </c>
      <c r="K1771" s="171">
        <f t="shared" si="52"/>
        <v>605</v>
      </c>
    </row>
    <row r="1772" spans="1:11" ht="30" x14ac:dyDescent="0.2">
      <c r="A1772" s="191">
        <v>39</v>
      </c>
      <c r="B1772" s="109" t="s">
        <v>1042</v>
      </c>
      <c r="F1772" s="317" t="s">
        <v>701</v>
      </c>
      <c r="G1772" s="204">
        <v>1</v>
      </c>
      <c r="I1772" s="145" t="s">
        <v>1039</v>
      </c>
      <c r="J1772" s="172">
        <f t="shared" si="51"/>
        <v>605</v>
      </c>
      <c r="K1772" s="171">
        <f t="shared" si="52"/>
        <v>605</v>
      </c>
    </row>
    <row r="1773" spans="1:11" x14ac:dyDescent="0.2">
      <c r="A1773" s="191"/>
      <c r="G1773" s="204"/>
      <c r="I1773" s="145" t="s">
        <v>1040</v>
      </c>
      <c r="J1773" s="172" t="str">
        <f t="shared" si="51"/>
        <v/>
      </c>
      <c r="K1773" s="171">
        <f t="shared" si="52"/>
        <v>606</v>
      </c>
    </row>
    <row r="1774" spans="1:11" x14ac:dyDescent="0.2">
      <c r="A1774" s="191"/>
      <c r="G1774" s="204"/>
      <c r="I1774" s="145" t="s">
        <v>1041</v>
      </c>
      <c r="J1774" s="172" t="str">
        <f t="shared" si="51"/>
        <v/>
      </c>
      <c r="K1774" s="171">
        <f t="shared" si="52"/>
        <v>606</v>
      </c>
    </row>
    <row r="1775" spans="1:11" x14ac:dyDescent="0.2">
      <c r="A1775" s="191"/>
      <c r="G1775" s="204"/>
      <c r="I1775" s="145"/>
      <c r="J1775" s="172" t="str">
        <f t="shared" si="51"/>
        <v/>
      </c>
      <c r="K1775" s="171">
        <f t="shared" si="52"/>
        <v>606</v>
      </c>
    </row>
    <row r="1776" spans="1:11" ht="15.75" thickBot="1" x14ac:dyDescent="0.25">
      <c r="A1776" s="191">
        <v>40</v>
      </c>
      <c r="B1776" s="121" t="s">
        <v>782</v>
      </c>
      <c r="F1776" s="317" t="s">
        <v>772</v>
      </c>
      <c r="G1776" s="204">
        <f>D1645-J1772-G1772+1</f>
        <v>245</v>
      </c>
      <c r="I1776" s="145" t="s">
        <v>965</v>
      </c>
      <c r="J1776" s="172">
        <f t="shared" si="51"/>
        <v>606</v>
      </c>
      <c r="K1776" s="171">
        <f t="shared" si="52"/>
        <v>606</v>
      </c>
    </row>
    <row r="1777" spans="1:11" ht="16.5" thickTop="1" thickBot="1" x14ac:dyDescent="0.25">
      <c r="B1777" s="232" t="s">
        <v>755</v>
      </c>
      <c r="C1777" s="139"/>
      <c r="D1777" s="323" t="s">
        <v>706</v>
      </c>
      <c r="E1777" s="118"/>
      <c r="F1777" s="321"/>
      <c r="G1777" s="118"/>
      <c r="H1777" s="117"/>
      <c r="I1777" s="152"/>
      <c r="J1777" s="172" t="str">
        <f t="shared" si="51"/>
        <v/>
      </c>
      <c r="K1777" s="171"/>
    </row>
    <row r="1778" spans="1:11" ht="15.75" thickTop="1" x14ac:dyDescent="0.2">
      <c r="B1778" s="138"/>
      <c r="D1778" s="321"/>
      <c r="E1778" s="118"/>
      <c r="F1778" s="321"/>
      <c r="G1778" s="118"/>
      <c r="H1778" s="117"/>
      <c r="J1778" s="172" t="str">
        <f t="shared" si="51"/>
        <v/>
      </c>
      <c r="K1778" s="171"/>
    </row>
    <row r="1779" spans="1:11" x14ac:dyDescent="0.2">
      <c r="A1779" s="233" t="s">
        <v>1</v>
      </c>
      <c r="B1779" s="234" t="s">
        <v>756</v>
      </c>
      <c r="C1779" s="235"/>
      <c r="D1779" s="339" t="s">
        <v>685</v>
      </c>
      <c r="E1779" s="233"/>
      <c r="F1779" s="339"/>
      <c r="G1779" s="233"/>
      <c r="H1779" s="235"/>
      <c r="I1779" s="236"/>
      <c r="J1779" s="172" t="str">
        <f t="shared" si="51"/>
        <v/>
      </c>
      <c r="K1779" s="171"/>
    </row>
    <row r="1780" spans="1:11" x14ac:dyDescent="0.2">
      <c r="A1780" s="235"/>
      <c r="B1780" s="234" t="s">
        <v>757</v>
      </c>
      <c r="C1780" s="132"/>
      <c r="D1780" s="339">
        <f xml:space="preserve"> F15</f>
        <v>200</v>
      </c>
      <c r="E1780" s="233" t="s">
        <v>758</v>
      </c>
      <c r="F1780" s="339"/>
      <c r="G1780" s="233"/>
      <c r="H1780" s="235"/>
      <c r="I1780" s="237"/>
      <c r="J1780" s="172" t="str">
        <f t="shared" si="51"/>
        <v/>
      </c>
      <c r="K1780" s="171"/>
    </row>
    <row r="1781" spans="1:11" x14ac:dyDescent="0.2">
      <c r="A1781" s="235"/>
      <c r="B1781" s="235"/>
      <c r="C1781" s="235"/>
      <c r="D1781" s="339"/>
      <c r="E1781" s="233"/>
      <c r="F1781" s="339"/>
      <c r="G1781" s="233"/>
      <c r="H1781" s="235"/>
      <c r="I1781" s="237"/>
      <c r="J1781" s="172" t="str">
        <f t="shared" si="51"/>
        <v/>
      </c>
      <c r="K1781" s="171"/>
    </row>
    <row r="1782" spans="1:11" s="108" customFormat="1" x14ac:dyDescent="0.2">
      <c r="A1782" s="165" t="s">
        <v>759</v>
      </c>
      <c r="B1782" s="166" t="s">
        <v>712</v>
      </c>
      <c r="C1782" s="167"/>
      <c r="D1782" s="327" t="s">
        <v>713</v>
      </c>
      <c r="E1782" s="168"/>
      <c r="F1782" s="327" t="s">
        <v>760</v>
      </c>
      <c r="G1782" s="156" t="s">
        <v>715</v>
      </c>
      <c r="H1782" s="167"/>
      <c r="I1782" s="169" t="s">
        <v>716</v>
      </c>
      <c r="J1782" s="172">
        <f t="shared" si="51"/>
        <v>0</v>
      </c>
      <c r="K1782" s="171"/>
    </row>
    <row r="1783" spans="1:11" x14ac:dyDescent="0.2">
      <c r="A1783" s="117" t="s">
        <v>1</v>
      </c>
      <c r="B1783" s="117"/>
      <c r="C1783" s="117"/>
      <c r="D1783" s="321"/>
      <c r="E1783" s="118"/>
      <c r="F1783" s="321"/>
      <c r="G1783" s="118"/>
      <c r="H1783" s="117"/>
      <c r="I1783" s="144"/>
      <c r="J1783" s="172" t="str">
        <f t="shared" si="51"/>
        <v/>
      </c>
      <c r="K1783" s="171"/>
    </row>
    <row r="1784" spans="1:11" x14ac:dyDescent="0.2">
      <c r="A1784" s="121" t="s">
        <v>1</v>
      </c>
      <c r="B1784" s="121" t="s">
        <v>762</v>
      </c>
      <c r="J1784" s="172" t="str">
        <f t="shared" si="51"/>
        <v/>
      </c>
      <c r="K1784" s="171"/>
    </row>
    <row r="1785" spans="1:11" x14ac:dyDescent="0.2">
      <c r="A1785" s="109">
        <v>1</v>
      </c>
      <c r="B1785" s="121" t="s">
        <v>763</v>
      </c>
      <c r="D1785" s="317" t="s">
        <v>1108</v>
      </c>
      <c r="F1785" s="317" t="s">
        <v>701</v>
      </c>
      <c r="G1785" s="110">
        <v>4</v>
      </c>
      <c r="I1785" s="145" t="s">
        <v>765</v>
      </c>
      <c r="J1785" s="172">
        <f t="shared" si="51"/>
        <v>4</v>
      </c>
      <c r="K1785" s="171">
        <f t="shared" ref="K1785:K1838" si="53">IF(A1785=1,1,+K1784+G1784)</f>
        <v>1</v>
      </c>
    </row>
    <row r="1786" spans="1:11" x14ac:dyDescent="0.2">
      <c r="J1786" s="172" t="str">
        <f t="shared" si="51"/>
        <v/>
      </c>
      <c r="K1786" s="171">
        <f t="shared" si="53"/>
        <v>5</v>
      </c>
    </row>
    <row r="1787" spans="1:11" x14ac:dyDescent="0.2">
      <c r="A1787" s="109">
        <v>2</v>
      </c>
      <c r="B1787" s="121" t="s">
        <v>766</v>
      </c>
      <c r="D1787" s="317" t="s">
        <v>767</v>
      </c>
      <c r="F1787" s="317" t="s">
        <v>701</v>
      </c>
      <c r="G1787" s="110">
        <v>1</v>
      </c>
      <c r="I1787" s="145" t="s">
        <v>768</v>
      </c>
      <c r="J1787" s="172">
        <f t="shared" si="51"/>
        <v>5</v>
      </c>
      <c r="K1787" s="171">
        <f t="shared" si="53"/>
        <v>5</v>
      </c>
    </row>
    <row r="1788" spans="1:11" x14ac:dyDescent="0.2">
      <c r="J1788" s="172" t="str">
        <f t="shared" si="51"/>
        <v/>
      </c>
      <c r="K1788" s="171">
        <f t="shared" si="53"/>
        <v>6</v>
      </c>
    </row>
    <row r="1789" spans="1:11" x14ac:dyDescent="0.2">
      <c r="A1789" s="109">
        <v>3</v>
      </c>
      <c r="B1789" s="121" t="s">
        <v>769</v>
      </c>
      <c r="D1789" s="317" t="s">
        <v>770</v>
      </c>
      <c r="F1789" s="317" t="s">
        <v>701</v>
      </c>
      <c r="G1789" s="110">
        <v>4</v>
      </c>
      <c r="I1789" s="145" t="s">
        <v>768</v>
      </c>
      <c r="J1789" s="172">
        <f t="shared" si="51"/>
        <v>6</v>
      </c>
      <c r="K1789" s="171">
        <f t="shared" si="53"/>
        <v>6</v>
      </c>
    </row>
    <row r="1790" spans="1:11" x14ac:dyDescent="0.2">
      <c r="J1790" s="172" t="str">
        <f t="shared" si="51"/>
        <v/>
      </c>
      <c r="K1790" s="171">
        <f t="shared" si="53"/>
        <v>10</v>
      </c>
    </row>
    <row r="1791" spans="1:11" x14ac:dyDescent="0.2">
      <c r="A1791" s="109">
        <v>4</v>
      </c>
      <c r="B1791" s="121" t="s">
        <v>771</v>
      </c>
      <c r="F1791" s="317" t="s">
        <v>772</v>
      </c>
      <c r="G1791" s="110">
        <v>1</v>
      </c>
      <c r="I1791" s="145" t="s">
        <v>773</v>
      </c>
      <c r="J1791" s="172">
        <f t="shared" si="51"/>
        <v>10</v>
      </c>
      <c r="K1791" s="171">
        <f t="shared" si="53"/>
        <v>10</v>
      </c>
    </row>
    <row r="1792" spans="1:11" x14ac:dyDescent="0.2">
      <c r="J1792" s="172" t="str">
        <f t="shared" si="51"/>
        <v/>
      </c>
      <c r="K1792" s="171">
        <f t="shared" si="53"/>
        <v>11</v>
      </c>
    </row>
    <row r="1793" spans="1:11" x14ac:dyDescent="0.2">
      <c r="B1793" s="173" t="s">
        <v>1096</v>
      </c>
      <c r="J1793" s="172" t="str">
        <f t="shared" si="51"/>
        <v/>
      </c>
      <c r="K1793" s="171">
        <f t="shared" si="53"/>
        <v>11</v>
      </c>
    </row>
    <row r="1794" spans="1:11" x14ac:dyDescent="0.2">
      <c r="J1794" s="172" t="str">
        <f t="shared" si="51"/>
        <v/>
      </c>
      <c r="K1794" s="171">
        <f t="shared" si="53"/>
        <v>11</v>
      </c>
    </row>
    <row r="1795" spans="1:11" x14ac:dyDescent="0.2">
      <c r="A1795" s="109">
        <v>5</v>
      </c>
      <c r="B1795" s="121" t="s">
        <v>83</v>
      </c>
      <c r="F1795" s="317" t="s">
        <v>701</v>
      </c>
      <c r="G1795" s="110">
        <v>16</v>
      </c>
      <c r="I1795" s="145" t="s">
        <v>1109</v>
      </c>
      <c r="J1795" s="172">
        <f t="shared" ref="J1795:J1858" si="54">IF(A1795=1, 4,IF(G1795="", "",+K1795))</f>
        <v>11</v>
      </c>
      <c r="K1795" s="171">
        <f t="shared" si="53"/>
        <v>11</v>
      </c>
    </row>
    <row r="1796" spans="1:11" x14ac:dyDescent="0.2">
      <c r="J1796" s="172" t="str">
        <f t="shared" si="54"/>
        <v/>
      </c>
      <c r="K1796" s="171">
        <f t="shared" si="53"/>
        <v>27</v>
      </c>
    </row>
    <row r="1797" spans="1:11" x14ac:dyDescent="0.2">
      <c r="A1797" s="154">
        <v>6</v>
      </c>
      <c r="B1797" s="121" t="s">
        <v>1097</v>
      </c>
      <c r="D1797" s="317" t="s">
        <v>1</v>
      </c>
      <c r="F1797" s="317" t="s">
        <v>701</v>
      </c>
      <c r="G1797" s="110">
        <v>4</v>
      </c>
      <c r="I1797" s="111" t="s">
        <v>1098</v>
      </c>
      <c r="J1797" s="172">
        <f t="shared" si="54"/>
        <v>27</v>
      </c>
      <c r="K1797" s="171">
        <f t="shared" si="53"/>
        <v>27</v>
      </c>
    </row>
    <row r="1798" spans="1:11" x14ac:dyDescent="0.2">
      <c r="A1798" s="154"/>
      <c r="I1798" s="111" t="s">
        <v>1099</v>
      </c>
      <c r="J1798" s="172" t="str">
        <f t="shared" si="54"/>
        <v/>
      </c>
      <c r="K1798" s="171">
        <f t="shared" si="53"/>
        <v>31</v>
      </c>
    </row>
    <row r="1799" spans="1:11" x14ac:dyDescent="0.2">
      <c r="A1799" s="154"/>
      <c r="J1799" s="172" t="str">
        <f t="shared" si="54"/>
        <v/>
      </c>
      <c r="K1799" s="171">
        <f t="shared" si="53"/>
        <v>31</v>
      </c>
    </row>
    <row r="1800" spans="1:11" x14ac:dyDescent="0.2">
      <c r="A1800" s="154">
        <v>7</v>
      </c>
      <c r="B1800" s="109" t="s">
        <v>1100</v>
      </c>
      <c r="F1800" s="317" t="s">
        <v>701</v>
      </c>
      <c r="G1800" s="110">
        <v>3</v>
      </c>
      <c r="I1800" s="111" t="s">
        <v>1101</v>
      </c>
      <c r="J1800" s="172">
        <f t="shared" si="54"/>
        <v>31</v>
      </c>
      <c r="K1800" s="171">
        <f t="shared" si="53"/>
        <v>31</v>
      </c>
    </row>
    <row r="1801" spans="1:11" x14ac:dyDescent="0.2">
      <c r="A1801" s="154"/>
      <c r="I1801" s="111" t="s">
        <v>1102</v>
      </c>
      <c r="J1801" s="172" t="str">
        <f t="shared" si="54"/>
        <v/>
      </c>
      <c r="K1801" s="171">
        <f t="shared" si="53"/>
        <v>34</v>
      </c>
    </row>
    <row r="1802" spans="1:11" x14ac:dyDescent="0.2">
      <c r="A1802" s="154"/>
      <c r="J1802" s="172" t="str">
        <f t="shared" si="54"/>
        <v/>
      </c>
      <c r="K1802" s="171">
        <f t="shared" si="53"/>
        <v>34</v>
      </c>
    </row>
    <row r="1803" spans="1:11" ht="30" x14ac:dyDescent="0.2">
      <c r="A1803" s="154">
        <v>8</v>
      </c>
      <c r="B1803" s="121" t="s">
        <v>1103</v>
      </c>
      <c r="F1803" s="317" t="s">
        <v>772</v>
      </c>
      <c r="G1803" s="110">
        <v>100</v>
      </c>
      <c r="I1803" s="145" t="s">
        <v>1104</v>
      </c>
      <c r="J1803" s="172">
        <f t="shared" si="54"/>
        <v>34</v>
      </c>
      <c r="K1803" s="171">
        <f t="shared" si="53"/>
        <v>34</v>
      </c>
    </row>
    <row r="1804" spans="1:11" x14ac:dyDescent="0.2">
      <c r="A1804" s="157"/>
      <c r="I1804" s="111" t="s">
        <v>1105</v>
      </c>
      <c r="J1804" s="172" t="str">
        <f t="shared" si="54"/>
        <v/>
      </c>
      <c r="K1804" s="171">
        <f t="shared" si="53"/>
        <v>134</v>
      </c>
    </row>
    <row r="1805" spans="1:11" x14ac:dyDescent="0.2">
      <c r="I1805" s="111" t="s">
        <v>1106</v>
      </c>
      <c r="J1805" s="172" t="str">
        <f t="shared" si="54"/>
        <v/>
      </c>
      <c r="K1805" s="171">
        <f t="shared" si="53"/>
        <v>134</v>
      </c>
    </row>
    <row r="1806" spans="1:11" x14ac:dyDescent="0.2">
      <c r="J1806" s="172" t="str">
        <f t="shared" si="54"/>
        <v/>
      </c>
      <c r="K1806" s="171">
        <f t="shared" si="53"/>
        <v>134</v>
      </c>
    </row>
    <row r="1807" spans="1:11" ht="15.75" thickBot="1" x14ac:dyDescent="0.25">
      <c r="A1807" s="109">
        <v>9</v>
      </c>
      <c r="B1807" s="121" t="s">
        <v>782</v>
      </c>
      <c r="F1807" s="317" t="s">
        <v>772</v>
      </c>
      <c r="G1807" s="204">
        <f>D1780-J1803-G1803+1</f>
        <v>67</v>
      </c>
      <c r="I1807" s="145" t="s">
        <v>965</v>
      </c>
      <c r="J1807" s="172">
        <f t="shared" si="54"/>
        <v>134</v>
      </c>
      <c r="K1807" s="171">
        <f t="shared" si="53"/>
        <v>134</v>
      </c>
    </row>
    <row r="1808" spans="1:11" ht="16.5" thickTop="1" thickBot="1" x14ac:dyDescent="0.25">
      <c r="B1808" s="232" t="s">
        <v>755</v>
      </c>
      <c r="C1808" s="139"/>
      <c r="D1808" s="323" t="s">
        <v>977</v>
      </c>
      <c r="E1808" s="118"/>
      <c r="F1808" s="321"/>
      <c r="G1808" s="118"/>
      <c r="H1808" s="117"/>
      <c r="I1808" s="152"/>
      <c r="J1808" s="172" t="str">
        <f t="shared" si="54"/>
        <v/>
      </c>
      <c r="K1808" s="171"/>
    </row>
    <row r="1809" spans="1:11" ht="15.75" thickTop="1" x14ac:dyDescent="0.2">
      <c r="B1809" s="138"/>
      <c r="D1809" s="321"/>
      <c r="E1809" s="118"/>
      <c r="F1809" s="321"/>
      <c r="G1809" s="118"/>
      <c r="H1809" s="117"/>
      <c r="J1809" s="172" t="str">
        <f t="shared" si="54"/>
        <v/>
      </c>
      <c r="K1809" s="171"/>
    </row>
    <row r="1810" spans="1:11" x14ac:dyDescent="0.2">
      <c r="A1810" s="233" t="s">
        <v>1</v>
      </c>
      <c r="B1810" s="234" t="s">
        <v>912</v>
      </c>
      <c r="C1810" s="235"/>
      <c r="D1810" s="339" t="s">
        <v>685</v>
      </c>
      <c r="E1810" s="233"/>
      <c r="F1810" s="339"/>
      <c r="G1810" s="233"/>
      <c r="H1810" s="235"/>
      <c r="I1810" s="236"/>
      <c r="J1810" s="172" t="str">
        <f t="shared" si="54"/>
        <v/>
      </c>
      <c r="K1810" s="171"/>
    </row>
    <row r="1811" spans="1:11" x14ac:dyDescent="0.2">
      <c r="A1811" s="235"/>
      <c r="B1811" s="234" t="s">
        <v>757</v>
      </c>
      <c r="C1811" s="132"/>
      <c r="D1811" s="339">
        <f xml:space="preserve"> G15</f>
        <v>200</v>
      </c>
      <c r="E1811" s="233"/>
      <c r="F1811" s="339"/>
      <c r="G1811" s="233"/>
      <c r="H1811" s="235"/>
      <c r="I1811" s="237"/>
      <c r="J1811" s="172" t="str">
        <f t="shared" si="54"/>
        <v/>
      </c>
      <c r="K1811" s="171"/>
    </row>
    <row r="1812" spans="1:11" x14ac:dyDescent="0.2">
      <c r="A1812" s="235"/>
      <c r="B1812" s="235"/>
      <c r="C1812" s="235"/>
      <c r="D1812" s="339"/>
      <c r="E1812" s="233"/>
      <c r="F1812" s="339"/>
      <c r="G1812" s="233"/>
      <c r="H1812" s="235"/>
      <c r="I1812" s="237"/>
      <c r="J1812" s="172" t="str">
        <f t="shared" si="54"/>
        <v/>
      </c>
      <c r="K1812" s="171"/>
    </row>
    <row r="1813" spans="1:11" s="108" customFormat="1" x14ac:dyDescent="0.2">
      <c r="A1813" s="165" t="s">
        <v>759</v>
      </c>
      <c r="B1813" s="166" t="s">
        <v>712</v>
      </c>
      <c r="C1813" s="167"/>
      <c r="D1813" s="327" t="s">
        <v>713</v>
      </c>
      <c r="E1813" s="168"/>
      <c r="F1813" s="327" t="s">
        <v>760</v>
      </c>
      <c r="G1813" s="156" t="s">
        <v>715</v>
      </c>
      <c r="H1813" s="167"/>
      <c r="I1813" s="169" t="s">
        <v>716</v>
      </c>
      <c r="J1813" s="172">
        <f t="shared" si="54"/>
        <v>0</v>
      </c>
      <c r="K1813" s="171"/>
    </row>
    <row r="1814" spans="1:11" x14ac:dyDescent="0.2">
      <c r="A1814" s="117" t="s">
        <v>1</v>
      </c>
      <c r="B1814" s="117"/>
      <c r="C1814" s="117"/>
      <c r="D1814" s="321"/>
      <c r="E1814" s="118"/>
      <c r="F1814" s="321"/>
      <c r="G1814" s="118"/>
      <c r="H1814" s="117"/>
      <c r="I1814" s="144"/>
      <c r="J1814" s="172" t="str">
        <f t="shared" si="54"/>
        <v/>
      </c>
      <c r="K1814" s="171"/>
    </row>
    <row r="1815" spans="1:11" x14ac:dyDescent="0.2">
      <c r="A1815" s="121" t="s">
        <v>1</v>
      </c>
      <c r="B1815" s="121" t="s">
        <v>762</v>
      </c>
      <c r="J1815" s="172" t="str">
        <f t="shared" si="54"/>
        <v/>
      </c>
      <c r="K1815" s="171"/>
    </row>
    <row r="1816" spans="1:11" x14ac:dyDescent="0.2">
      <c r="A1816" s="109">
        <v>1</v>
      </c>
      <c r="B1816" s="121" t="s">
        <v>763</v>
      </c>
      <c r="D1816" s="317" t="s">
        <v>1108</v>
      </c>
      <c r="F1816" s="317" t="s">
        <v>701</v>
      </c>
      <c r="G1816" s="110">
        <v>4</v>
      </c>
      <c r="I1816" s="145" t="s">
        <v>765</v>
      </c>
      <c r="J1816" s="172">
        <f t="shared" si="54"/>
        <v>4</v>
      </c>
      <c r="K1816" s="171">
        <f t="shared" si="53"/>
        <v>1</v>
      </c>
    </row>
    <row r="1817" spans="1:11" x14ac:dyDescent="0.2">
      <c r="J1817" s="172" t="str">
        <f t="shared" si="54"/>
        <v/>
      </c>
      <c r="K1817" s="171">
        <f t="shared" si="53"/>
        <v>5</v>
      </c>
    </row>
    <row r="1818" spans="1:11" x14ac:dyDescent="0.2">
      <c r="A1818" s="109">
        <v>2</v>
      </c>
      <c r="B1818" s="121" t="s">
        <v>766</v>
      </c>
      <c r="D1818" s="317" t="s">
        <v>767</v>
      </c>
      <c r="F1818" s="317" t="s">
        <v>701</v>
      </c>
      <c r="G1818" s="110">
        <v>1</v>
      </c>
      <c r="I1818" s="145" t="s">
        <v>768</v>
      </c>
      <c r="J1818" s="172">
        <f t="shared" si="54"/>
        <v>5</v>
      </c>
      <c r="K1818" s="171">
        <f t="shared" si="53"/>
        <v>5</v>
      </c>
    </row>
    <row r="1819" spans="1:11" x14ac:dyDescent="0.2">
      <c r="J1819" s="172" t="str">
        <f t="shared" si="54"/>
        <v/>
      </c>
      <c r="K1819" s="171">
        <f t="shared" si="53"/>
        <v>6</v>
      </c>
    </row>
    <row r="1820" spans="1:11" x14ac:dyDescent="0.2">
      <c r="A1820" s="109">
        <v>3</v>
      </c>
      <c r="B1820" s="121" t="s">
        <v>769</v>
      </c>
      <c r="D1820" s="317" t="s">
        <v>770</v>
      </c>
      <c r="F1820" s="317" t="s">
        <v>701</v>
      </c>
      <c r="G1820" s="110">
        <v>4</v>
      </c>
      <c r="I1820" s="145" t="s">
        <v>768</v>
      </c>
      <c r="J1820" s="172">
        <f t="shared" si="54"/>
        <v>6</v>
      </c>
      <c r="K1820" s="171">
        <f t="shared" si="53"/>
        <v>6</v>
      </c>
    </row>
    <row r="1821" spans="1:11" x14ac:dyDescent="0.2">
      <c r="J1821" s="172" t="str">
        <f t="shared" si="54"/>
        <v/>
      </c>
      <c r="K1821" s="171">
        <f t="shared" si="53"/>
        <v>10</v>
      </c>
    </row>
    <row r="1822" spans="1:11" x14ac:dyDescent="0.2">
      <c r="A1822" s="109">
        <v>4</v>
      </c>
      <c r="B1822" s="121" t="s">
        <v>771</v>
      </c>
      <c r="F1822" s="317" t="s">
        <v>772</v>
      </c>
      <c r="G1822" s="110">
        <v>1</v>
      </c>
      <c r="I1822" s="145" t="s">
        <v>773</v>
      </c>
      <c r="J1822" s="172">
        <f t="shared" si="54"/>
        <v>10</v>
      </c>
      <c r="K1822" s="171">
        <f t="shared" si="53"/>
        <v>10</v>
      </c>
    </row>
    <row r="1823" spans="1:11" x14ac:dyDescent="0.2">
      <c r="J1823" s="172" t="str">
        <f t="shared" si="54"/>
        <v/>
      </c>
      <c r="K1823" s="171">
        <f t="shared" si="53"/>
        <v>11</v>
      </c>
    </row>
    <row r="1824" spans="1:11" x14ac:dyDescent="0.2">
      <c r="B1824" s="173" t="s">
        <v>1096</v>
      </c>
      <c r="J1824" s="172" t="str">
        <f t="shared" si="54"/>
        <v/>
      </c>
      <c r="K1824" s="171">
        <f t="shared" si="53"/>
        <v>11</v>
      </c>
    </row>
    <row r="1825" spans="1:11" x14ac:dyDescent="0.2">
      <c r="J1825" s="172" t="str">
        <f t="shared" si="54"/>
        <v/>
      </c>
      <c r="K1825" s="171">
        <f t="shared" si="53"/>
        <v>11</v>
      </c>
    </row>
    <row r="1826" spans="1:11" x14ac:dyDescent="0.2">
      <c r="A1826" s="109">
        <v>5</v>
      </c>
      <c r="B1826" s="121" t="s">
        <v>83</v>
      </c>
      <c r="F1826" s="317" t="s">
        <v>701</v>
      </c>
      <c r="G1826" s="110">
        <v>16</v>
      </c>
      <c r="I1826" s="145" t="s">
        <v>1109</v>
      </c>
      <c r="J1826" s="172">
        <f t="shared" si="54"/>
        <v>11</v>
      </c>
      <c r="K1826" s="171">
        <f t="shared" si="53"/>
        <v>11</v>
      </c>
    </row>
    <row r="1827" spans="1:11" x14ac:dyDescent="0.2">
      <c r="J1827" s="172" t="str">
        <f t="shared" si="54"/>
        <v/>
      </c>
      <c r="K1827" s="171">
        <f t="shared" si="53"/>
        <v>27</v>
      </c>
    </row>
    <row r="1828" spans="1:11" x14ac:dyDescent="0.2">
      <c r="A1828" s="154">
        <v>6</v>
      </c>
      <c r="B1828" s="121" t="s">
        <v>1097</v>
      </c>
      <c r="D1828" s="317" t="s">
        <v>1</v>
      </c>
      <c r="F1828" s="317" t="s">
        <v>701</v>
      </c>
      <c r="G1828" s="110">
        <v>4</v>
      </c>
      <c r="I1828" s="111" t="s">
        <v>1098</v>
      </c>
      <c r="J1828" s="172">
        <f t="shared" si="54"/>
        <v>27</v>
      </c>
      <c r="K1828" s="171">
        <f t="shared" si="53"/>
        <v>27</v>
      </c>
    </row>
    <row r="1829" spans="1:11" x14ac:dyDescent="0.2">
      <c r="A1829" s="154"/>
      <c r="I1829" s="111" t="s">
        <v>1099</v>
      </c>
      <c r="J1829" s="172" t="str">
        <f t="shared" si="54"/>
        <v/>
      </c>
      <c r="K1829" s="171">
        <f t="shared" si="53"/>
        <v>31</v>
      </c>
    </row>
    <row r="1830" spans="1:11" x14ac:dyDescent="0.2">
      <c r="A1830" s="154"/>
      <c r="J1830" s="172" t="str">
        <f t="shared" si="54"/>
        <v/>
      </c>
      <c r="K1830" s="171">
        <f t="shared" si="53"/>
        <v>31</v>
      </c>
    </row>
    <row r="1831" spans="1:11" x14ac:dyDescent="0.2">
      <c r="A1831" s="154">
        <v>7</v>
      </c>
      <c r="B1831" s="109" t="s">
        <v>1100</v>
      </c>
      <c r="F1831" s="317" t="s">
        <v>701</v>
      </c>
      <c r="G1831" s="110">
        <v>3</v>
      </c>
      <c r="I1831" s="111" t="s">
        <v>1101</v>
      </c>
      <c r="J1831" s="172">
        <f t="shared" si="54"/>
        <v>31</v>
      </c>
      <c r="K1831" s="171">
        <f t="shared" si="53"/>
        <v>31</v>
      </c>
    </row>
    <row r="1832" spans="1:11" x14ac:dyDescent="0.2">
      <c r="A1832" s="154"/>
      <c r="I1832" s="111" t="s">
        <v>1102</v>
      </c>
      <c r="J1832" s="172" t="str">
        <f t="shared" si="54"/>
        <v/>
      </c>
      <c r="K1832" s="171">
        <f t="shared" si="53"/>
        <v>34</v>
      </c>
    </row>
    <row r="1833" spans="1:11" x14ac:dyDescent="0.2">
      <c r="A1833" s="154"/>
      <c r="J1833" s="172" t="str">
        <f t="shared" si="54"/>
        <v/>
      </c>
      <c r="K1833" s="171">
        <f t="shared" si="53"/>
        <v>34</v>
      </c>
    </row>
    <row r="1834" spans="1:11" ht="30" x14ac:dyDescent="0.2">
      <c r="A1834" s="154">
        <v>8</v>
      </c>
      <c r="B1834" s="121" t="s">
        <v>1103</v>
      </c>
      <c r="F1834" s="317" t="s">
        <v>772</v>
      </c>
      <c r="G1834" s="110">
        <v>100</v>
      </c>
      <c r="I1834" s="145" t="s">
        <v>1104</v>
      </c>
      <c r="J1834" s="172">
        <f t="shared" si="54"/>
        <v>34</v>
      </c>
      <c r="K1834" s="171">
        <f t="shared" si="53"/>
        <v>34</v>
      </c>
    </row>
    <row r="1835" spans="1:11" x14ac:dyDescent="0.2">
      <c r="A1835" s="157"/>
      <c r="I1835" s="111" t="s">
        <v>1105</v>
      </c>
      <c r="J1835" s="172" t="str">
        <f t="shared" si="54"/>
        <v/>
      </c>
      <c r="K1835" s="171">
        <f t="shared" si="53"/>
        <v>134</v>
      </c>
    </row>
    <row r="1836" spans="1:11" x14ac:dyDescent="0.2">
      <c r="I1836" s="111" t="s">
        <v>1106</v>
      </c>
      <c r="J1836" s="172" t="str">
        <f t="shared" si="54"/>
        <v/>
      </c>
      <c r="K1836" s="171">
        <f t="shared" si="53"/>
        <v>134</v>
      </c>
    </row>
    <row r="1837" spans="1:11" x14ac:dyDescent="0.2">
      <c r="B1837" s="121"/>
      <c r="I1837" s="145"/>
      <c r="J1837" s="172" t="str">
        <f t="shared" si="54"/>
        <v/>
      </c>
      <c r="K1837" s="171">
        <f t="shared" si="53"/>
        <v>134</v>
      </c>
    </row>
    <row r="1838" spans="1:11" ht="15.75" thickBot="1" x14ac:dyDescent="0.25">
      <c r="A1838" s="109">
        <v>9</v>
      </c>
      <c r="B1838" s="121" t="s">
        <v>782</v>
      </c>
      <c r="F1838" s="317" t="s">
        <v>772</v>
      </c>
      <c r="G1838" s="204">
        <f>D1811-J1834-G1834+1</f>
        <v>67</v>
      </c>
      <c r="I1838" s="145" t="s">
        <v>965</v>
      </c>
      <c r="J1838" s="172">
        <f t="shared" si="54"/>
        <v>134</v>
      </c>
      <c r="K1838" s="171">
        <f t="shared" si="53"/>
        <v>134</v>
      </c>
    </row>
    <row r="1839" spans="1:11" ht="16.5" thickTop="1" thickBot="1" x14ac:dyDescent="0.25">
      <c r="A1839" s="191"/>
      <c r="B1839" s="238" t="s">
        <v>755</v>
      </c>
      <c r="C1839" s="139"/>
      <c r="D1839" s="323" t="s">
        <v>706</v>
      </c>
      <c r="E1839" s="118"/>
      <c r="F1839" s="321"/>
      <c r="G1839" s="193"/>
      <c r="H1839" s="117"/>
      <c r="I1839" s="152"/>
      <c r="J1839" s="172" t="str">
        <f t="shared" si="54"/>
        <v/>
      </c>
      <c r="K1839" s="171"/>
    </row>
    <row r="1840" spans="1:11" ht="15.75" thickTop="1" x14ac:dyDescent="0.2">
      <c r="A1840" s="191"/>
      <c r="B1840" s="138"/>
      <c r="D1840" s="321"/>
      <c r="E1840" s="118"/>
      <c r="F1840" s="321"/>
      <c r="G1840" s="193"/>
      <c r="H1840" s="117"/>
      <c r="J1840" s="172" t="str">
        <f t="shared" si="54"/>
        <v/>
      </c>
      <c r="K1840" s="171"/>
    </row>
    <row r="1841" spans="1:11" x14ac:dyDescent="0.2">
      <c r="A1841" s="239" t="s">
        <v>1</v>
      </c>
      <c r="B1841" s="240" t="s">
        <v>756</v>
      </c>
      <c r="C1841" s="141"/>
      <c r="D1841" s="340" t="s">
        <v>1110</v>
      </c>
      <c r="E1841" s="241"/>
      <c r="F1841" s="340"/>
      <c r="G1841" s="239"/>
      <c r="H1841" s="141"/>
      <c r="I1841" s="242"/>
      <c r="J1841" s="172" t="str">
        <f t="shared" si="54"/>
        <v/>
      </c>
      <c r="K1841" s="171"/>
    </row>
    <row r="1842" spans="1:11" x14ac:dyDescent="0.2">
      <c r="A1842" s="243"/>
      <c r="B1842" s="240" t="s">
        <v>757</v>
      </c>
      <c r="C1842" s="133"/>
      <c r="D1842" s="340">
        <f>+F16</f>
        <v>500</v>
      </c>
      <c r="E1842" s="241" t="s">
        <v>758</v>
      </c>
      <c r="F1842" s="340"/>
      <c r="G1842" s="239"/>
      <c r="H1842" s="141"/>
      <c r="I1842" s="244"/>
      <c r="J1842" s="172" t="str">
        <f t="shared" si="54"/>
        <v/>
      </c>
      <c r="K1842" s="171"/>
    </row>
    <row r="1843" spans="1:11" x14ac:dyDescent="0.2">
      <c r="A1843" s="243"/>
      <c r="B1843" s="141"/>
      <c r="C1843" s="141"/>
      <c r="D1843" s="340"/>
      <c r="E1843" s="241"/>
      <c r="F1843" s="340"/>
      <c r="G1843" s="239"/>
      <c r="H1843" s="141"/>
      <c r="I1843" s="244"/>
      <c r="J1843" s="172" t="str">
        <f t="shared" si="54"/>
        <v/>
      </c>
      <c r="K1843" s="171"/>
    </row>
    <row r="1844" spans="1:11" s="108" customFormat="1" x14ac:dyDescent="0.2">
      <c r="A1844" s="201" t="s">
        <v>759</v>
      </c>
      <c r="B1844" s="166" t="s">
        <v>712</v>
      </c>
      <c r="C1844" s="167"/>
      <c r="D1844" s="327" t="s">
        <v>713</v>
      </c>
      <c r="E1844" s="168"/>
      <c r="F1844" s="327" t="s">
        <v>760</v>
      </c>
      <c r="G1844" s="156" t="s">
        <v>715</v>
      </c>
      <c r="H1844" s="167"/>
      <c r="I1844" s="169" t="s">
        <v>716</v>
      </c>
      <c r="J1844" s="172">
        <f t="shared" si="54"/>
        <v>0</v>
      </c>
      <c r="K1844" s="171"/>
    </row>
    <row r="1845" spans="1:11" x14ac:dyDescent="0.2">
      <c r="A1845" s="202" t="s">
        <v>1</v>
      </c>
      <c r="B1845" s="117"/>
      <c r="C1845" s="117"/>
      <c r="D1845" s="321"/>
      <c r="E1845" s="118"/>
      <c r="F1845" s="321"/>
      <c r="G1845" s="193"/>
      <c r="H1845" s="117"/>
      <c r="I1845" s="144"/>
      <c r="J1845" s="172" t="str">
        <f t="shared" si="54"/>
        <v/>
      </c>
      <c r="K1845" s="171"/>
    </row>
    <row r="1846" spans="1:11" x14ac:dyDescent="0.2">
      <c r="A1846" s="203" t="s">
        <v>1</v>
      </c>
      <c r="B1846" s="121" t="s">
        <v>762</v>
      </c>
      <c r="G1846" s="204"/>
      <c r="J1846" s="172" t="str">
        <f t="shared" si="54"/>
        <v/>
      </c>
      <c r="K1846" s="171"/>
    </row>
    <row r="1847" spans="1:11" x14ac:dyDescent="0.2">
      <c r="A1847" s="191">
        <v>1</v>
      </c>
      <c r="B1847" s="121" t="s">
        <v>763</v>
      </c>
      <c r="D1847" s="317" t="s">
        <v>1111</v>
      </c>
      <c r="F1847" s="317" t="s">
        <v>701</v>
      </c>
      <c r="G1847" s="204">
        <v>4</v>
      </c>
      <c r="I1847" s="145" t="s">
        <v>765</v>
      </c>
      <c r="J1847" s="172">
        <f t="shared" si="54"/>
        <v>4</v>
      </c>
      <c r="K1847" s="171">
        <f t="shared" ref="K1847:K1910" si="55">IF(A1847=1,1,+K1846+G1846)</f>
        <v>1</v>
      </c>
    </row>
    <row r="1848" spans="1:11" x14ac:dyDescent="0.2">
      <c r="A1848" s="191"/>
      <c r="G1848" s="204"/>
      <c r="J1848" s="172" t="str">
        <f t="shared" si="54"/>
        <v/>
      </c>
      <c r="K1848" s="171">
        <f t="shared" si="55"/>
        <v>5</v>
      </c>
    </row>
    <row r="1849" spans="1:11" x14ac:dyDescent="0.2">
      <c r="A1849" s="191">
        <v>2</v>
      </c>
      <c r="B1849" s="121" t="s">
        <v>766</v>
      </c>
      <c r="D1849" s="317" t="s">
        <v>767</v>
      </c>
      <c r="F1849" s="317" t="s">
        <v>701</v>
      </c>
      <c r="G1849" s="204">
        <v>1</v>
      </c>
      <c r="I1849" s="145" t="s">
        <v>768</v>
      </c>
      <c r="J1849" s="172">
        <f t="shared" si="54"/>
        <v>5</v>
      </c>
      <c r="K1849" s="171">
        <f t="shared" si="55"/>
        <v>5</v>
      </c>
    </row>
    <row r="1850" spans="1:11" x14ac:dyDescent="0.2">
      <c r="A1850" s="191"/>
      <c r="G1850" s="204"/>
      <c r="J1850" s="172" t="str">
        <f t="shared" si="54"/>
        <v/>
      </c>
      <c r="K1850" s="171">
        <f t="shared" si="55"/>
        <v>6</v>
      </c>
    </row>
    <row r="1851" spans="1:11" x14ac:dyDescent="0.2">
      <c r="A1851" s="191">
        <v>3</v>
      </c>
      <c r="B1851" s="121" t="s">
        <v>769</v>
      </c>
      <c r="D1851" s="317" t="s">
        <v>770</v>
      </c>
      <c r="F1851" s="317" t="s">
        <v>701</v>
      </c>
      <c r="G1851" s="204">
        <v>4</v>
      </c>
      <c r="I1851" s="145" t="s">
        <v>768</v>
      </c>
      <c r="J1851" s="172">
        <f t="shared" si="54"/>
        <v>6</v>
      </c>
      <c r="K1851" s="171">
        <f t="shared" si="55"/>
        <v>6</v>
      </c>
    </row>
    <row r="1852" spans="1:11" x14ac:dyDescent="0.2">
      <c r="A1852" s="191"/>
      <c r="G1852" s="204"/>
      <c r="J1852" s="172" t="str">
        <f t="shared" si="54"/>
        <v/>
      </c>
      <c r="K1852" s="171">
        <f t="shared" si="55"/>
        <v>10</v>
      </c>
    </row>
    <row r="1853" spans="1:11" x14ac:dyDescent="0.2">
      <c r="A1853" s="191">
        <v>4</v>
      </c>
      <c r="B1853" s="121" t="s">
        <v>771</v>
      </c>
      <c r="F1853" s="317" t="s">
        <v>772</v>
      </c>
      <c r="G1853" s="204">
        <v>1</v>
      </c>
      <c r="I1853" s="145" t="s">
        <v>773</v>
      </c>
      <c r="J1853" s="172">
        <f t="shared" si="54"/>
        <v>10</v>
      </c>
      <c r="K1853" s="171">
        <f t="shared" si="55"/>
        <v>10</v>
      </c>
    </row>
    <row r="1854" spans="1:11" x14ac:dyDescent="0.2">
      <c r="A1854" s="191"/>
      <c r="G1854" s="204"/>
      <c r="J1854" s="172" t="str">
        <f t="shared" si="54"/>
        <v/>
      </c>
      <c r="K1854" s="171">
        <f t="shared" si="55"/>
        <v>11</v>
      </c>
    </row>
    <row r="1855" spans="1:11" x14ac:dyDescent="0.2">
      <c r="A1855" s="191"/>
      <c r="B1855" s="173" t="s">
        <v>832</v>
      </c>
      <c r="G1855" s="204"/>
      <c r="J1855" s="172" t="str">
        <f t="shared" si="54"/>
        <v/>
      </c>
      <c r="K1855" s="171">
        <f t="shared" si="55"/>
        <v>11</v>
      </c>
    </row>
    <row r="1856" spans="1:11" x14ac:dyDescent="0.2">
      <c r="A1856" s="191"/>
      <c r="G1856" s="204"/>
      <c r="J1856" s="172" t="str">
        <f t="shared" si="54"/>
        <v/>
      </c>
      <c r="K1856" s="171">
        <f t="shared" si="55"/>
        <v>11</v>
      </c>
    </row>
    <row r="1857" spans="1:11" x14ac:dyDescent="0.2">
      <c r="A1857" s="191">
        <v>5</v>
      </c>
      <c r="B1857" s="109" t="s">
        <v>83</v>
      </c>
      <c r="F1857" s="317" t="s">
        <v>701</v>
      </c>
      <c r="G1857" s="204">
        <v>16</v>
      </c>
      <c r="I1857" s="111" t="s">
        <v>221</v>
      </c>
      <c r="J1857" s="172">
        <f t="shared" si="54"/>
        <v>11</v>
      </c>
      <c r="K1857" s="171">
        <f t="shared" si="55"/>
        <v>11</v>
      </c>
    </row>
    <row r="1858" spans="1:11" x14ac:dyDescent="0.2">
      <c r="A1858" s="191"/>
      <c r="G1858" s="204"/>
      <c r="J1858" s="172" t="str">
        <f t="shared" si="54"/>
        <v/>
      </c>
      <c r="K1858" s="171">
        <f t="shared" si="55"/>
        <v>27</v>
      </c>
    </row>
    <row r="1859" spans="1:11" x14ac:dyDescent="0.2">
      <c r="A1859" s="191"/>
      <c r="G1859" s="204"/>
      <c r="J1859" s="172" t="str">
        <f t="shared" ref="J1859:J1922" si="56">IF(A1859=1, 4,IF(G1859="", "",+K1859))</f>
        <v/>
      </c>
      <c r="K1859" s="171">
        <f t="shared" si="55"/>
        <v>27</v>
      </c>
    </row>
    <row r="1860" spans="1:11" x14ac:dyDescent="0.2">
      <c r="A1860" s="191"/>
      <c r="B1860" s="173" t="s">
        <v>1094</v>
      </c>
      <c r="G1860" s="204"/>
      <c r="I1860" s="145"/>
      <c r="J1860" s="172" t="str">
        <f t="shared" si="56"/>
        <v/>
      </c>
      <c r="K1860" s="171">
        <f t="shared" si="55"/>
        <v>27</v>
      </c>
    </row>
    <row r="1861" spans="1:11" x14ac:dyDescent="0.2">
      <c r="A1861" s="191"/>
      <c r="G1861" s="204"/>
      <c r="I1861" s="145"/>
      <c r="J1861" s="172" t="str">
        <f t="shared" si="56"/>
        <v/>
      </c>
      <c r="K1861" s="171">
        <f t="shared" si="55"/>
        <v>27</v>
      </c>
    </row>
    <row r="1862" spans="1:11" x14ac:dyDescent="0.2">
      <c r="A1862" s="191">
        <v>6</v>
      </c>
      <c r="B1862" s="121" t="s">
        <v>1008</v>
      </c>
      <c r="F1862" s="317" t="s">
        <v>772</v>
      </c>
      <c r="G1862" s="204">
        <v>5</v>
      </c>
      <c r="I1862" s="145" t="s">
        <v>1009</v>
      </c>
      <c r="J1862" s="172">
        <f t="shared" si="56"/>
        <v>27</v>
      </c>
      <c r="K1862" s="171">
        <f t="shared" si="55"/>
        <v>27</v>
      </c>
    </row>
    <row r="1863" spans="1:11" x14ac:dyDescent="0.2">
      <c r="A1863" s="191"/>
      <c r="G1863" s="204"/>
      <c r="I1863" s="145" t="s">
        <v>1010</v>
      </c>
      <c r="J1863" s="172" t="str">
        <f t="shared" si="56"/>
        <v/>
      </c>
      <c r="K1863" s="171">
        <f t="shared" si="55"/>
        <v>32</v>
      </c>
    </row>
    <row r="1864" spans="1:11" x14ac:dyDescent="0.2">
      <c r="A1864" s="191"/>
      <c r="G1864" s="204"/>
      <c r="J1864" s="172" t="str">
        <f t="shared" si="56"/>
        <v/>
      </c>
      <c r="K1864" s="171">
        <f t="shared" si="55"/>
        <v>32</v>
      </c>
    </row>
    <row r="1865" spans="1:11" x14ac:dyDescent="0.2">
      <c r="A1865" s="191">
        <v>7</v>
      </c>
      <c r="B1865" s="121" t="s">
        <v>1011</v>
      </c>
      <c r="F1865" s="317" t="s">
        <v>772</v>
      </c>
      <c r="G1865" s="204">
        <v>30</v>
      </c>
      <c r="I1865" s="145" t="s">
        <v>1012</v>
      </c>
      <c r="J1865" s="172">
        <f t="shared" si="56"/>
        <v>32</v>
      </c>
      <c r="K1865" s="171">
        <f t="shared" si="55"/>
        <v>32</v>
      </c>
    </row>
    <row r="1866" spans="1:11" x14ac:dyDescent="0.2">
      <c r="A1866" s="191"/>
      <c r="B1866" s="121"/>
      <c r="G1866" s="204"/>
      <c r="I1866" s="145" t="s">
        <v>894</v>
      </c>
      <c r="J1866" s="172" t="str">
        <f t="shared" si="56"/>
        <v/>
      </c>
      <c r="K1866" s="171">
        <f t="shared" si="55"/>
        <v>62</v>
      </c>
    </row>
    <row r="1867" spans="1:11" x14ac:dyDescent="0.2">
      <c r="A1867" s="191"/>
      <c r="G1867" s="204"/>
      <c r="J1867" s="172" t="str">
        <f t="shared" si="56"/>
        <v/>
      </c>
      <c r="K1867" s="171">
        <f t="shared" si="55"/>
        <v>62</v>
      </c>
    </row>
    <row r="1868" spans="1:11" x14ac:dyDescent="0.2">
      <c r="A1868" s="191">
        <v>8</v>
      </c>
      <c r="B1868" s="121" t="s">
        <v>1013</v>
      </c>
      <c r="F1868" s="317" t="s">
        <v>772</v>
      </c>
      <c r="G1868" s="204">
        <v>6</v>
      </c>
      <c r="I1868" s="145" t="s">
        <v>1014</v>
      </c>
      <c r="J1868" s="172">
        <f t="shared" si="56"/>
        <v>62</v>
      </c>
      <c r="K1868" s="171">
        <f t="shared" si="55"/>
        <v>62</v>
      </c>
    </row>
    <row r="1869" spans="1:11" x14ac:dyDescent="0.2">
      <c r="A1869" s="191"/>
      <c r="G1869" s="204"/>
      <c r="I1869" s="145" t="s">
        <v>894</v>
      </c>
      <c r="J1869" s="172" t="str">
        <f t="shared" si="56"/>
        <v/>
      </c>
      <c r="K1869" s="171">
        <f t="shared" si="55"/>
        <v>68</v>
      </c>
    </row>
    <row r="1870" spans="1:11" x14ac:dyDescent="0.2">
      <c r="A1870" s="191"/>
      <c r="G1870" s="204"/>
      <c r="J1870" s="172" t="str">
        <f t="shared" si="56"/>
        <v/>
      </c>
      <c r="K1870" s="171">
        <f t="shared" si="55"/>
        <v>68</v>
      </c>
    </row>
    <row r="1871" spans="1:11" x14ac:dyDescent="0.2">
      <c r="A1871" s="191">
        <v>9</v>
      </c>
      <c r="B1871" s="121" t="s">
        <v>71</v>
      </c>
      <c r="F1871" s="317" t="s">
        <v>772</v>
      </c>
      <c r="G1871" s="204">
        <v>6</v>
      </c>
      <c r="I1871" s="145" t="s">
        <v>1015</v>
      </c>
      <c r="J1871" s="172">
        <f t="shared" si="56"/>
        <v>68</v>
      </c>
      <c r="K1871" s="171">
        <f t="shared" si="55"/>
        <v>68</v>
      </c>
    </row>
    <row r="1872" spans="1:11" x14ac:dyDescent="0.2">
      <c r="A1872" s="191"/>
      <c r="G1872" s="204"/>
      <c r="I1872" s="145" t="s">
        <v>894</v>
      </c>
      <c r="J1872" s="172" t="str">
        <f t="shared" si="56"/>
        <v/>
      </c>
      <c r="K1872" s="171">
        <f t="shared" si="55"/>
        <v>74</v>
      </c>
    </row>
    <row r="1873" spans="1:11" x14ac:dyDescent="0.2">
      <c r="A1873" s="191"/>
      <c r="G1873" s="204"/>
      <c r="I1873" s="145"/>
      <c r="J1873" s="172" t="str">
        <f t="shared" si="56"/>
        <v/>
      </c>
      <c r="K1873" s="171">
        <f t="shared" si="55"/>
        <v>74</v>
      </c>
    </row>
    <row r="1874" spans="1:11" x14ac:dyDescent="0.2">
      <c r="A1874" s="191">
        <v>10</v>
      </c>
      <c r="B1874" s="121" t="s">
        <v>72</v>
      </c>
      <c r="F1874" s="317" t="s">
        <v>772</v>
      </c>
      <c r="G1874" s="204">
        <v>5</v>
      </c>
      <c r="I1874" s="145" t="s">
        <v>1016</v>
      </c>
      <c r="J1874" s="172">
        <f t="shared" si="56"/>
        <v>74</v>
      </c>
      <c r="K1874" s="171">
        <f t="shared" si="55"/>
        <v>74</v>
      </c>
    </row>
    <row r="1875" spans="1:11" x14ac:dyDescent="0.2">
      <c r="A1875" s="191"/>
      <c r="G1875" s="204"/>
      <c r="I1875" s="145" t="s">
        <v>894</v>
      </c>
      <c r="J1875" s="172" t="str">
        <f t="shared" si="56"/>
        <v/>
      </c>
      <c r="K1875" s="171">
        <f t="shared" si="55"/>
        <v>79</v>
      </c>
    </row>
    <row r="1876" spans="1:11" x14ac:dyDescent="0.2">
      <c r="A1876" s="191"/>
      <c r="G1876" s="204"/>
      <c r="J1876" s="172" t="str">
        <f t="shared" si="56"/>
        <v/>
      </c>
      <c r="K1876" s="171">
        <f t="shared" si="55"/>
        <v>79</v>
      </c>
    </row>
    <row r="1877" spans="1:11" x14ac:dyDescent="0.2">
      <c r="A1877" s="191">
        <v>11</v>
      </c>
      <c r="B1877" s="121" t="s">
        <v>73</v>
      </c>
      <c r="F1877" s="317" t="s">
        <v>772</v>
      </c>
      <c r="G1877" s="204">
        <v>3</v>
      </c>
      <c r="I1877" s="145" t="s">
        <v>1017</v>
      </c>
      <c r="J1877" s="172">
        <f t="shared" si="56"/>
        <v>79</v>
      </c>
      <c r="K1877" s="171">
        <f t="shared" si="55"/>
        <v>79</v>
      </c>
    </row>
    <row r="1878" spans="1:11" x14ac:dyDescent="0.2">
      <c r="A1878" s="191"/>
      <c r="G1878" s="204"/>
      <c r="I1878" s="145" t="s">
        <v>894</v>
      </c>
      <c r="J1878" s="172" t="str">
        <f t="shared" si="56"/>
        <v/>
      </c>
      <c r="K1878" s="171">
        <f t="shared" si="55"/>
        <v>82</v>
      </c>
    </row>
    <row r="1879" spans="1:11" x14ac:dyDescent="0.2">
      <c r="A1879" s="191"/>
      <c r="G1879" s="204"/>
      <c r="I1879" s="145"/>
      <c r="J1879" s="172" t="str">
        <f t="shared" si="56"/>
        <v/>
      </c>
      <c r="K1879" s="171">
        <f t="shared" si="55"/>
        <v>82</v>
      </c>
    </row>
    <row r="1880" spans="1:11" x14ac:dyDescent="0.2">
      <c r="A1880" s="191">
        <v>12</v>
      </c>
      <c r="B1880" s="121" t="s">
        <v>1018</v>
      </c>
      <c r="F1880" s="317" t="s">
        <v>772</v>
      </c>
      <c r="G1880" s="204">
        <v>3</v>
      </c>
      <c r="I1880" s="145" t="s">
        <v>1019</v>
      </c>
      <c r="J1880" s="172">
        <f t="shared" si="56"/>
        <v>82</v>
      </c>
      <c r="K1880" s="171">
        <f t="shared" si="55"/>
        <v>82</v>
      </c>
    </row>
    <row r="1881" spans="1:11" x14ac:dyDescent="0.2">
      <c r="A1881" s="191"/>
      <c r="G1881" s="204"/>
      <c r="I1881" s="145" t="s">
        <v>894</v>
      </c>
      <c r="J1881" s="172" t="str">
        <f t="shared" si="56"/>
        <v/>
      </c>
      <c r="K1881" s="171">
        <f t="shared" si="55"/>
        <v>85</v>
      </c>
    </row>
    <row r="1882" spans="1:11" x14ac:dyDescent="0.2">
      <c r="A1882" s="191"/>
      <c r="G1882" s="204"/>
      <c r="I1882" s="145"/>
      <c r="J1882" s="172" t="str">
        <f t="shared" si="56"/>
        <v/>
      </c>
      <c r="K1882" s="171">
        <f t="shared" si="55"/>
        <v>85</v>
      </c>
    </row>
    <row r="1883" spans="1:11" x14ac:dyDescent="0.2">
      <c r="A1883" s="191">
        <v>13</v>
      </c>
      <c r="B1883" s="121" t="s">
        <v>1020</v>
      </c>
      <c r="F1883" s="317" t="s">
        <v>772</v>
      </c>
      <c r="G1883" s="204">
        <v>3</v>
      </c>
      <c r="I1883" s="145" t="s">
        <v>1021</v>
      </c>
      <c r="J1883" s="172">
        <f t="shared" si="56"/>
        <v>85</v>
      </c>
      <c r="K1883" s="171">
        <f t="shared" si="55"/>
        <v>85</v>
      </c>
    </row>
    <row r="1884" spans="1:11" x14ac:dyDescent="0.2">
      <c r="A1884" s="191"/>
      <c r="G1884" s="204"/>
      <c r="I1884" s="145" t="s">
        <v>894</v>
      </c>
      <c r="J1884" s="172" t="str">
        <f t="shared" si="56"/>
        <v/>
      </c>
      <c r="K1884" s="171">
        <f t="shared" si="55"/>
        <v>88</v>
      </c>
    </row>
    <row r="1885" spans="1:11" x14ac:dyDescent="0.2">
      <c r="A1885" s="191"/>
      <c r="G1885" s="204"/>
      <c r="J1885" s="172" t="str">
        <f t="shared" si="56"/>
        <v/>
      </c>
      <c r="K1885" s="171">
        <f t="shared" si="55"/>
        <v>88</v>
      </c>
    </row>
    <row r="1886" spans="1:11" x14ac:dyDescent="0.2">
      <c r="A1886" s="191">
        <v>14</v>
      </c>
      <c r="B1886" s="121" t="s">
        <v>74</v>
      </c>
      <c r="F1886" s="317" t="s">
        <v>772</v>
      </c>
      <c r="G1886" s="204">
        <v>3</v>
      </c>
      <c r="I1886" s="145" t="s">
        <v>1022</v>
      </c>
      <c r="J1886" s="172">
        <f t="shared" si="56"/>
        <v>88</v>
      </c>
      <c r="K1886" s="171">
        <f t="shared" si="55"/>
        <v>88</v>
      </c>
    </row>
    <row r="1887" spans="1:11" x14ac:dyDescent="0.2">
      <c r="A1887" s="191"/>
      <c r="G1887" s="204"/>
      <c r="I1887" s="145" t="s">
        <v>894</v>
      </c>
      <c r="J1887" s="172" t="str">
        <f t="shared" si="56"/>
        <v/>
      </c>
      <c r="K1887" s="171">
        <f t="shared" si="55"/>
        <v>91</v>
      </c>
    </row>
    <row r="1888" spans="1:11" x14ac:dyDescent="0.2">
      <c r="A1888" s="191">
        <v>15</v>
      </c>
      <c r="B1888" s="121" t="s">
        <v>75</v>
      </c>
      <c r="F1888" s="317" t="s">
        <v>772</v>
      </c>
      <c r="G1888" s="204">
        <v>3</v>
      </c>
      <c r="I1888" s="145" t="s">
        <v>1023</v>
      </c>
      <c r="J1888" s="172">
        <f t="shared" si="56"/>
        <v>91</v>
      </c>
      <c r="K1888" s="171">
        <f t="shared" si="55"/>
        <v>91</v>
      </c>
    </row>
    <row r="1889" spans="1:11" x14ac:dyDescent="0.2">
      <c r="A1889" s="191"/>
      <c r="G1889" s="204"/>
      <c r="I1889" s="145" t="s">
        <v>894</v>
      </c>
      <c r="J1889" s="172" t="str">
        <f t="shared" si="56"/>
        <v/>
      </c>
      <c r="K1889" s="171">
        <f t="shared" si="55"/>
        <v>94</v>
      </c>
    </row>
    <row r="1890" spans="1:11" x14ac:dyDescent="0.2">
      <c r="A1890" s="191"/>
      <c r="G1890" s="204"/>
      <c r="I1890" s="145"/>
      <c r="J1890" s="172" t="str">
        <f t="shared" si="56"/>
        <v/>
      </c>
      <c r="K1890" s="171">
        <f t="shared" si="55"/>
        <v>94</v>
      </c>
    </row>
    <row r="1891" spans="1:11" x14ac:dyDescent="0.2">
      <c r="A1891" s="191">
        <v>16</v>
      </c>
      <c r="B1891" s="121" t="s">
        <v>1024</v>
      </c>
      <c r="F1891" s="317" t="s">
        <v>772</v>
      </c>
      <c r="G1891" s="204">
        <v>5</v>
      </c>
      <c r="I1891" s="145" t="s">
        <v>1025</v>
      </c>
      <c r="J1891" s="172">
        <f t="shared" si="56"/>
        <v>94</v>
      </c>
      <c r="K1891" s="171">
        <f t="shared" si="55"/>
        <v>94</v>
      </c>
    </row>
    <row r="1892" spans="1:11" x14ac:dyDescent="0.2">
      <c r="A1892" s="191"/>
      <c r="G1892" s="204"/>
      <c r="I1892" s="145" t="s">
        <v>894</v>
      </c>
      <c r="J1892" s="172" t="str">
        <f t="shared" si="56"/>
        <v/>
      </c>
      <c r="K1892" s="171">
        <f t="shared" si="55"/>
        <v>99</v>
      </c>
    </row>
    <row r="1893" spans="1:11" x14ac:dyDescent="0.2">
      <c r="A1893" s="191"/>
      <c r="G1893" s="204"/>
      <c r="J1893" s="172" t="str">
        <f t="shared" si="56"/>
        <v/>
      </c>
      <c r="K1893" s="171">
        <f t="shared" si="55"/>
        <v>99</v>
      </c>
    </row>
    <row r="1894" spans="1:11" x14ac:dyDescent="0.2">
      <c r="A1894" s="191">
        <v>17</v>
      </c>
      <c r="B1894" s="121" t="s">
        <v>76</v>
      </c>
      <c r="F1894" s="317" t="s">
        <v>772</v>
      </c>
      <c r="G1894" s="204">
        <v>5</v>
      </c>
      <c r="I1894" s="145" t="s">
        <v>1026</v>
      </c>
      <c r="J1894" s="172">
        <f t="shared" si="56"/>
        <v>99</v>
      </c>
      <c r="K1894" s="171">
        <f t="shared" si="55"/>
        <v>99</v>
      </c>
    </row>
    <row r="1895" spans="1:11" x14ac:dyDescent="0.2">
      <c r="A1895" s="191"/>
      <c r="G1895" s="204"/>
      <c r="I1895" s="145" t="s">
        <v>1010</v>
      </c>
      <c r="J1895" s="172" t="str">
        <f t="shared" si="56"/>
        <v/>
      </c>
      <c r="K1895" s="171">
        <f t="shared" si="55"/>
        <v>104</v>
      </c>
    </row>
    <row r="1896" spans="1:11" x14ac:dyDescent="0.2">
      <c r="A1896" s="191"/>
      <c r="G1896" s="204"/>
      <c r="I1896" s="145"/>
      <c r="J1896" s="172" t="str">
        <f t="shared" si="56"/>
        <v/>
      </c>
      <c r="K1896" s="171">
        <f t="shared" si="55"/>
        <v>104</v>
      </c>
    </row>
    <row r="1897" spans="1:11" x14ac:dyDescent="0.2">
      <c r="A1897" s="191">
        <v>18</v>
      </c>
      <c r="B1897" s="121" t="s">
        <v>77</v>
      </c>
      <c r="F1897" s="317" t="s">
        <v>772</v>
      </c>
      <c r="G1897" s="204">
        <v>30</v>
      </c>
      <c r="I1897" s="145" t="s">
        <v>1027</v>
      </c>
      <c r="J1897" s="172">
        <f t="shared" si="56"/>
        <v>104</v>
      </c>
      <c r="K1897" s="171">
        <f t="shared" si="55"/>
        <v>104</v>
      </c>
    </row>
    <row r="1898" spans="1:11" x14ac:dyDescent="0.2">
      <c r="A1898" s="191"/>
      <c r="G1898" s="204"/>
      <c r="I1898" s="145" t="s">
        <v>894</v>
      </c>
      <c r="J1898" s="172" t="str">
        <f t="shared" si="56"/>
        <v/>
      </c>
      <c r="K1898" s="171">
        <f t="shared" si="55"/>
        <v>134</v>
      </c>
    </row>
    <row r="1899" spans="1:11" x14ac:dyDescent="0.2">
      <c r="A1899" s="191"/>
      <c r="G1899" s="204"/>
      <c r="I1899" s="145"/>
      <c r="J1899" s="172" t="str">
        <f t="shared" si="56"/>
        <v/>
      </c>
      <c r="K1899" s="171">
        <f t="shared" si="55"/>
        <v>134</v>
      </c>
    </row>
    <row r="1900" spans="1:11" ht="30" x14ac:dyDescent="0.2">
      <c r="A1900" s="191">
        <v>19</v>
      </c>
      <c r="B1900" s="109" t="s">
        <v>1063</v>
      </c>
      <c r="F1900" s="317" t="s">
        <v>772</v>
      </c>
      <c r="G1900" s="204">
        <v>120</v>
      </c>
      <c r="I1900" s="145" t="s">
        <v>1064</v>
      </c>
      <c r="J1900" s="172">
        <f t="shared" si="56"/>
        <v>134</v>
      </c>
      <c r="K1900" s="171">
        <f t="shared" si="55"/>
        <v>134</v>
      </c>
    </row>
    <row r="1901" spans="1:11" x14ac:dyDescent="0.2">
      <c r="A1901" s="191"/>
      <c r="G1901" s="204"/>
      <c r="I1901" s="145"/>
      <c r="J1901" s="172" t="str">
        <f t="shared" si="56"/>
        <v/>
      </c>
      <c r="K1901" s="171">
        <f t="shared" si="55"/>
        <v>254</v>
      </c>
    </row>
    <row r="1902" spans="1:11" x14ac:dyDescent="0.2">
      <c r="A1902" s="191">
        <v>20</v>
      </c>
      <c r="B1902" s="121" t="s">
        <v>78</v>
      </c>
      <c r="F1902" s="317" t="s">
        <v>772</v>
      </c>
      <c r="G1902" s="204">
        <v>55</v>
      </c>
      <c r="I1902" s="145" t="s">
        <v>1030</v>
      </c>
      <c r="J1902" s="172">
        <f t="shared" si="56"/>
        <v>254</v>
      </c>
      <c r="K1902" s="171">
        <f t="shared" si="55"/>
        <v>254</v>
      </c>
    </row>
    <row r="1903" spans="1:11" x14ac:dyDescent="0.2">
      <c r="A1903" s="191"/>
      <c r="G1903" s="204"/>
      <c r="I1903" s="145" t="s">
        <v>894</v>
      </c>
      <c r="J1903" s="172" t="str">
        <f t="shared" si="56"/>
        <v/>
      </c>
      <c r="K1903" s="171">
        <f t="shared" si="55"/>
        <v>309</v>
      </c>
    </row>
    <row r="1904" spans="1:11" x14ac:dyDescent="0.2">
      <c r="A1904" s="191"/>
      <c r="G1904" s="204"/>
      <c r="J1904" s="172" t="str">
        <f t="shared" si="56"/>
        <v/>
      </c>
      <c r="K1904" s="171">
        <f t="shared" si="55"/>
        <v>309</v>
      </c>
    </row>
    <row r="1905" spans="1:11" x14ac:dyDescent="0.2">
      <c r="A1905" s="191">
        <v>21</v>
      </c>
      <c r="B1905" s="109" t="s">
        <v>954</v>
      </c>
      <c r="F1905" s="317" t="s">
        <v>701</v>
      </c>
      <c r="G1905" s="204">
        <v>6</v>
      </c>
      <c r="I1905" s="145" t="s">
        <v>1031</v>
      </c>
      <c r="J1905" s="172">
        <f t="shared" si="56"/>
        <v>309</v>
      </c>
      <c r="K1905" s="171">
        <f t="shared" si="55"/>
        <v>309</v>
      </c>
    </row>
    <row r="1906" spans="1:11" x14ac:dyDescent="0.2">
      <c r="A1906" s="191"/>
      <c r="G1906" s="204"/>
      <c r="I1906" s="111" t="s">
        <v>1032</v>
      </c>
      <c r="J1906" s="172" t="str">
        <f t="shared" si="56"/>
        <v/>
      </c>
      <c r="K1906" s="171">
        <f t="shared" si="55"/>
        <v>315</v>
      </c>
    </row>
    <row r="1907" spans="1:11" x14ac:dyDescent="0.2">
      <c r="A1907" s="191"/>
      <c r="G1907" s="204"/>
      <c r="I1907" s="145"/>
      <c r="J1907" s="172" t="str">
        <f t="shared" si="56"/>
        <v/>
      </c>
      <c r="K1907" s="171">
        <f t="shared" si="55"/>
        <v>315</v>
      </c>
    </row>
    <row r="1908" spans="1:11" x14ac:dyDescent="0.2">
      <c r="A1908" s="191">
        <v>22</v>
      </c>
      <c r="B1908" s="109" t="s">
        <v>819</v>
      </c>
      <c r="F1908" s="317" t="s">
        <v>772</v>
      </c>
      <c r="G1908" s="204">
        <v>9</v>
      </c>
      <c r="I1908" s="145" t="s">
        <v>1033</v>
      </c>
      <c r="J1908" s="172">
        <f t="shared" si="56"/>
        <v>315</v>
      </c>
      <c r="K1908" s="171">
        <f t="shared" si="55"/>
        <v>315</v>
      </c>
    </row>
    <row r="1909" spans="1:11" x14ac:dyDescent="0.2">
      <c r="A1909" s="191"/>
      <c r="G1909" s="204"/>
      <c r="I1909" s="145" t="s">
        <v>971</v>
      </c>
      <c r="J1909" s="172" t="str">
        <f t="shared" si="56"/>
        <v/>
      </c>
      <c r="K1909" s="171">
        <f t="shared" si="55"/>
        <v>324</v>
      </c>
    </row>
    <row r="1910" spans="1:11" x14ac:dyDescent="0.2">
      <c r="A1910" s="191"/>
      <c r="G1910" s="204"/>
      <c r="I1910" s="145" t="s">
        <v>972</v>
      </c>
      <c r="J1910" s="172" t="str">
        <f t="shared" si="56"/>
        <v/>
      </c>
      <c r="K1910" s="171">
        <f t="shared" si="55"/>
        <v>324</v>
      </c>
    </row>
    <row r="1911" spans="1:11" x14ac:dyDescent="0.2">
      <c r="A1911" s="191"/>
      <c r="G1911" s="204"/>
      <c r="I1911" s="145" t="s">
        <v>973</v>
      </c>
      <c r="J1911" s="172" t="str">
        <f t="shared" si="56"/>
        <v/>
      </c>
      <c r="K1911" s="171">
        <f t="shared" ref="K1911:K1930" si="57">IF(A1911=1,1,+K1910+G1910)</f>
        <v>324</v>
      </c>
    </row>
    <row r="1912" spans="1:11" x14ac:dyDescent="0.2">
      <c r="A1912" s="191"/>
      <c r="G1912" s="204"/>
      <c r="I1912" s="145" t="s">
        <v>894</v>
      </c>
      <c r="J1912" s="172" t="str">
        <f t="shared" si="56"/>
        <v/>
      </c>
      <c r="K1912" s="171">
        <f t="shared" si="57"/>
        <v>324</v>
      </c>
    </row>
    <row r="1913" spans="1:11" x14ac:dyDescent="0.2">
      <c r="A1913" s="191"/>
      <c r="G1913" s="204"/>
      <c r="I1913" s="145"/>
      <c r="J1913" s="172" t="str">
        <f t="shared" si="56"/>
        <v/>
      </c>
      <c r="K1913" s="171">
        <f t="shared" si="57"/>
        <v>324</v>
      </c>
    </row>
    <row r="1914" spans="1:11" x14ac:dyDescent="0.2">
      <c r="A1914" s="191">
        <v>23</v>
      </c>
      <c r="B1914" s="121" t="s">
        <v>1065</v>
      </c>
      <c r="F1914" s="317" t="s">
        <v>701</v>
      </c>
      <c r="G1914" s="204">
        <v>5</v>
      </c>
      <c r="I1914" s="145" t="s">
        <v>1066</v>
      </c>
      <c r="J1914" s="172">
        <f t="shared" si="56"/>
        <v>324</v>
      </c>
      <c r="K1914" s="171">
        <f t="shared" si="57"/>
        <v>324</v>
      </c>
    </row>
    <row r="1915" spans="1:11" x14ac:dyDescent="0.2">
      <c r="A1915" s="191"/>
      <c r="G1915" s="204"/>
      <c r="I1915" s="145" t="s">
        <v>1067</v>
      </c>
      <c r="J1915" s="172" t="str">
        <f t="shared" si="56"/>
        <v/>
      </c>
      <c r="K1915" s="171">
        <f t="shared" si="57"/>
        <v>329</v>
      </c>
    </row>
    <row r="1916" spans="1:11" x14ac:dyDescent="0.2">
      <c r="A1916" s="191"/>
      <c r="G1916" s="204"/>
      <c r="I1916" s="145"/>
      <c r="J1916" s="172" t="str">
        <f t="shared" si="56"/>
        <v/>
      </c>
      <c r="K1916" s="171">
        <f t="shared" si="57"/>
        <v>329</v>
      </c>
    </row>
    <row r="1917" spans="1:11" ht="30" x14ac:dyDescent="0.2">
      <c r="A1917" s="191">
        <v>24</v>
      </c>
      <c r="B1917" s="109" t="s">
        <v>1068</v>
      </c>
      <c r="F1917" s="317" t="s">
        <v>701</v>
      </c>
      <c r="G1917" s="204">
        <v>1</v>
      </c>
      <c r="I1917" s="145" t="s">
        <v>1039</v>
      </c>
      <c r="J1917" s="172">
        <f t="shared" si="56"/>
        <v>329</v>
      </c>
      <c r="K1917" s="171">
        <f t="shared" si="57"/>
        <v>329</v>
      </c>
    </row>
    <row r="1918" spans="1:11" x14ac:dyDescent="0.2">
      <c r="A1918" s="191"/>
      <c r="G1918" s="204"/>
      <c r="I1918" s="145" t="s">
        <v>1069</v>
      </c>
      <c r="J1918" s="172" t="str">
        <f t="shared" si="56"/>
        <v/>
      </c>
      <c r="K1918" s="171">
        <f t="shared" si="57"/>
        <v>330</v>
      </c>
    </row>
    <row r="1919" spans="1:11" x14ac:dyDescent="0.2">
      <c r="A1919" s="191"/>
      <c r="G1919" s="204"/>
      <c r="I1919" s="145" t="s">
        <v>1040</v>
      </c>
      <c r="J1919" s="172" t="str">
        <f t="shared" si="56"/>
        <v/>
      </c>
      <c r="K1919" s="171">
        <f t="shared" si="57"/>
        <v>330</v>
      </c>
    </row>
    <row r="1920" spans="1:11" x14ac:dyDescent="0.2">
      <c r="A1920" s="191"/>
      <c r="G1920" s="204"/>
      <c r="I1920" s="145" t="s">
        <v>1041</v>
      </c>
      <c r="J1920" s="172" t="str">
        <f t="shared" si="56"/>
        <v/>
      </c>
      <c r="K1920" s="171">
        <f t="shared" si="57"/>
        <v>330</v>
      </c>
    </row>
    <row r="1921" spans="1:14" x14ac:dyDescent="0.2">
      <c r="A1921" s="191"/>
      <c r="G1921" s="204"/>
      <c r="I1921" s="145" t="s">
        <v>1070</v>
      </c>
      <c r="J1921" s="172" t="str">
        <f t="shared" si="56"/>
        <v/>
      </c>
      <c r="K1921" s="171">
        <f t="shared" si="57"/>
        <v>330</v>
      </c>
    </row>
    <row r="1922" spans="1:14" x14ac:dyDescent="0.2">
      <c r="A1922" s="191"/>
      <c r="G1922" s="204"/>
      <c r="I1922" s="145" t="s">
        <v>1071</v>
      </c>
      <c r="J1922" s="172" t="str">
        <f t="shared" si="56"/>
        <v/>
      </c>
      <c r="K1922" s="171">
        <f t="shared" si="57"/>
        <v>330</v>
      </c>
    </row>
    <row r="1923" spans="1:14" x14ac:dyDescent="0.2">
      <c r="A1923" s="191"/>
      <c r="G1923" s="204"/>
      <c r="I1923" s="145"/>
      <c r="J1923" s="172" t="str">
        <f t="shared" ref="J1923:J1986" si="58">IF(A1923=1, 4,IF(G1923="", "",+K1923))</f>
        <v/>
      </c>
      <c r="K1923" s="171">
        <f t="shared" si="57"/>
        <v>330</v>
      </c>
    </row>
    <row r="1924" spans="1:14" ht="30" x14ac:dyDescent="0.2">
      <c r="A1924" s="191">
        <v>25</v>
      </c>
      <c r="B1924" s="121" t="s">
        <v>1072</v>
      </c>
      <c r="F1924" s="317" t="s">
        <v>772</v>
      </c>
      <c r="G1924" s="204">
        <v>40</v>
      </c>
      <c r="I1924" s="145" t="s">
        <v>1073</v>
      </c>
      <c r="J1924" s="172">
        <f t="shared" si="58"/>
        <v>330</v>
      </c>
      <c r="K1924" s="171">
        <f t="shared" si="57"/>
        <v>330</v>
      </c>
    </row>
    <row r="1925" spans="1:14" x14ac:dyDescent="0.2">
      <c r="A1925" s="191"/>
      <c r="G1925" s="204"/>
      <c r="I1925" s="145" t="s">
        <v>894</v>
      </c>
      <c r="J1925" s="172" t="str">
        <f t="shared" si="58"/>
        <v/>
      </c>
      <c r="K1925" s="171">
        <f t="shared" si="57"/>
        <v>370</v>
      </c>
    </row>
    <row r="1926" spans="1:14" x14ac:dyDescent="0.2">
      <c r="A1926" s="191"/>
      <c r="G1926" s="204"/>
      <c r="I1926" s="145"/>
      <c r="J1926" s="172" t="str">
        <f t="shared" si="58"/>
        <v/>
      </c>
      <c r="K1926" s="171">
        <f t="shared" si="57"/>
        <v>370</v>
      </c>
    </row>
    <row r="1927" spans="1:14" ht="30" x14ac:dyDescent="0.2">
      <c r="A1927" s="191">
        <v>26</v>
      </c>
      <c r="B1927" s="121" t="s">
        <v>1074</v>
      </c>
      <c r="F1927" s="317" t="s">
        <v>772</v>
      </c>
      <c r="G1927" s="204">
        <v>40</v>
      </c>
      <c r="I1927" s="145" t="s">
        <v>1073</v>
      </c>
      <c r="J1927" s="172">
        <f t="shared" si="58"/>
        <v>370</v>
      </c>
      <c r="K1927" s="171">
        <f t="shared" si="57"/>
        <v>370</v>
      </c>
    </row>
    <row r="1928" spans="1:14" x14ac:dyDescent="0.2">
      <c r="A1928" s="191"/>
      <c r="G1928" s="204"/>
      <c r="I1928" s="145" t="s">
        <v>894</v>
      </c>
      <c r="J1928" s="172" t="str">
        <f t="shared" si="58"/>
        <v/>
      </c>
      <c r="K1928" s="171">
        <f t="shared" si="57"/>
        <v>410</v>
      </c>
    </row>
    <row r="1929" spans="1:14" ht="15.75" thickBot="1" x14ac:dyDescent="0.25">
      <c r="A1929" s="191"/>
      <c r="G1929" s="204"/>
      <c r="I1929" s="145"/>
      <c r="J1929" s="172" t="str">
        <f t="shared" si="58"/>
        <v/>
      </c>
      <c r="K1929" s="171">
        <f t="shared" si="57"/>
        <v>410</v>
      </c>
    </row>
    <row r="1930" spans="1:14" s="125" customFormat="1" ht="15.75" thickTop="1" x14ac:dyDescent="0.2">
      <c r="A1930" s="217"/>
      <c r="B1930" s="245" t="s">
        <v>1112</v>
      </c>
      <c r="C1930" s="125" t="s">
        <v>1113</v>
      </c>
      <c r="D1930" s="318"/>
      <c r="E1930" s="126"/>
      <c r="F1930" s="318"/>
      <c r="G1930" s="215"/>
      <c r="I1930" s="216"/>
      <c r="J1930" s="172" t="str">
        <f t="shared" si="58"/>
        <v/>
      </c>
      <c r="K1930" s="171">
        <f t="shared" si="57"/>
        <v>410</v>
      </c>
      <c r="L1930" s="109"/>
      <c r="M1930" s="109"/>
      <c r="N1930" s="109"/>
    </row>
    <row r="1931" spans="1:14" s="125" customFormat="1" x14ac:dyDescent="0.2">
      <c r="A1931" s="214"/>
      <c r="D1931" s="318"/>
      <c r="E1931" s="126"/>
      <c r="F1931" s="318"/>
      <c r="G1931" s="215"/>
      <c r="I1931" s="216"/>
      <c r="J1931" s="172" t="str">
        <f t="shared" si="58"/>
        <v/>
      </c>
      <c r="K1931" s="171">
        <f>IF(A1931=1,1,+K1930+G1930)</f>
        <v>410</v>
      </c>
      <c r="L1931" s="109"/>
      <c r="M1931" s="109"/>
      <c r="N1931" s="109"/>
    </row>
    <row r="1932" spans="1:14" x14ac:dyDescent="0.2">
      <c r="A1932" s="191"/>
      <c r="G1932" s="204"/>
      <c r="I1932" s="145"/>
      <c r="J1932" s="172" t="str">
        <f t="shared" si="58"/>
        <v/>
      </c>
      <c r="K1932" s="171">
        <f>IF(A1932=1,1,+K1931+G1931)</f>
        <v>410</v>
      </c>
    </row>
    <row r="1933" spans="1:14" s="125" customFormat="1" x14ac:dyDescent="0.2">
      <c r="A1933" s="121">
        <v>27</v>
      </c>
      <c r="B1933" s="121" t="s">
        <v>1077</v>
      </c>
      <c r="C1933" s="121"/>
      <c r="D1933" s="317"/>
      <c r="E1933" s="110"/>
      <c r="F1933" s="317" t="s">
        <v>701</v>
      </c>
      <c r="G1933" s="110">
        <v>1</v>
      </c>
      <c r="H1933" s="121"/>
      <c r="I1933" s="145" t="s">
        <v>1078</v>
      </c>
      <c r="J1933" s="172">
        <f t="shared" si="58"/>
        <v>410</v>
      </c>
      <c r="K1933" s="171">
        <f>IF(A1933=1,1,+K1932+G1932)</f>
        <v>410</v>
      </c>
      <c r="L1933" s="109"/>
      <c r="M1933" s="109"/>
    </row>
    <row r="1934" spans="1:14" s="125" customFormat="1" x14ac:dyDescent="0.2">
      <c r="A1934" s="121"/>
      <c r="B1934" s="121"/>
      <c r="C1934" s="121"/>
      <c r="D1934" s="317"/>
      <c r="E1934" s="110"/>
      <c r="F1934" s="317"/>
      <c r="G1934" s="110"/>
      <c r="H1934" s="121"/>
      <c r="I1934" s="145" t="s">
        <v>1079</v>
      </c>
      <c r="J1934" s="172" t="str">
        <f t="shared" si="58"/>
        <v/>
      </c>
      <c r="K1934" s="171">
        <f t="shared" ref="K1934:K1997" si="59">IF(A1934=1,1,+K1933+G1933)</f>
        <v>411</v>
      </c>
      <c r="L1934" s="109"/>
      <c r="M1934" s="109"/>
    </row>
    <row r="1935" spans="1:14" s="125" customFormat="1" x14ac:dyDescent="0.2">
      <c r="A1935" s="121"/>
      <c r="B1935" s="121"/>
      <c r="C1935" s="121"/>
      <c r="D1935" s="317"/>
      <c r="E1935" s="110"/>
      <c r="F1935" s="317"/>
      <c r="G1935" s="110"/>
      <c r="H1935" s="121"/>
      <c r="I1935" s="145" t="s">
        <v>1080</v>
      </c>
      <c r="J1935" s="172" t="str">
        <f t="shared" si="58"/>
        <v/>
      </c>
      <c r="K1935" s="171">
        <f t="shared" si="59"/>
        <v>411</v>
      </c>
      <c r="L1935" s="109"/>
      <c r="M1935" s="109"/>
    </row>
    <row r="1936" spans="1:14" s="125" customFormat="1" x14ac:dyDescent="0.2">
      <c r="A1936" s="121"/>
      <c r="B1936" s="121"/>
      <c r="C1936" s="121"/>
      <c r="D1936" s="317"/>
      <c r="E1936" s="110"/>
      <c r="F1936" s="317"/>
      <c r="G1936" s="110"/>
      <c r="H1936" s="121"/>
      <c r="I1936" s="145" t="s">
        <v>1081</v>
      </c>
      <c r="J1936" s="172" t="str">
        <f t="shared" si="58"/>
        <v/>
      </c>
      <c r="K1936" s="171">
        <f t="shared" si="59"/>
        <v>411</v>
      </c>
      <c r="L1936" s="109"/>
      <c r="M1936" s="109"/>
    </row>
    <row r="1937" spans="1:13" s="125" customFormat="1" x14ac:dyDescent="0.2">
      <c r="A1937" s="121"/>
      <c r="B1937" s="121"/>
      <c r="C1937" s="121"/>
      <c r="D1937" s="317"/>
      <c r="E1937" s="110"/>
      <c r="F1937" s="317"/>
      <c r="G1937" s="110"/>
      <c r="H1937" s="121"/>
      <c r="I1937" s="145" t="s">
        <v>1082</v>
      </c>
      <c r="J1937" s="172" t="str">
        <f t="shared" si="58"/>
        <v/>
      </c>
      <c r="K1937" s="171">
        <f t="shared" si="59"/>
        <v>411</v>
      </c>
      <c r="L1937" s="109"/>
      <c r="M1937" s="109"/>
    </row>
    <row r="1938" spans="1:13" s="125" customFormat="1" x14ac:dyDescent="0.2">
      <c r="A1938" s="121"/>
      <c r="B1938" s="121"/>
      <c r="C1938" s="121"/>
      <c r="D1938" s="317"/>
      <c r="E1938" s="110"/>
      <c r="F1938" s="317"/>
      <c r="G1938" s="110"/>
      <c r="H1938" s="121"/>
      <c r="I1938" s="145" t="s">
        <v>1083</v>
      </c>
      <c r="J1938" s="172" t="str">
        <f t="shared" si="58"/>
        <v/>
      </c>
      <c r="K1938" s="171">
        <f t="shared" si="59"/>
        <v>411</v>
      </c>
      <c r="L1938" s="109"/>
      <c r="M1938" s="109"/>
    </row>
    <row r="1939" spans="1:13" s="125" customFormat="1" x14ac:dyDescent="0.2">
      <c r="A1939" s="121"/>
      <c r="B1939" s="121"/>
      <c r="C1939" s="121"/>
      <c r="D1939" s="317"/>
      <c r="E1939" s="110"/>
      <c r="F1939" s="317"/>
      <c r="G1939" s="110"/>
      <c r="H1939" s="121"/>
      <c r="I1939" s="145"/>
      <c r="J1939" s="172" t="str">
        <f t="shared" si="58"/>
        <v/>
      </c>
      <c r="K1939" s="171">
        <f t="shared" si="59"/>
        <v>411</v>
      </c>
      <c r="L1939" s="109"/>
      <c r="M1939" s="109"/>
    </row>
    <row r="1940" spans="1:13" s="125" customFormat="1" x14ac:dyDescent="0.2">
      <c r="A1940" s="121">
        <v>28</v>
      </c>
      <c r="B1940" s="121" t="s">
        <v>1084</v>
      </c>
      <c r="C1940" s="121"/>
      <c r="D1940" s="317"/>
      <c r="E1940" s="110"/>
      <c r="F1940" s="317" t="s">
        <v>701</v>
      </c>
      <c r="G1940" s="110">
        <v>12</v>
      </c>
      <c r="H1940" s="121"/>
      <c r="I1940" s="145" t="s">
        <v>1085</v>
      </c>
      <c r="J1940" s="172">
        <f t="shared" si="58"/>
        <v>411</v>
      </c>
      <c r="K1940" s="171">
        <f t="shared" si="59"/>
        <v>411</v>
      </c>
      <c r="L1940" s="109"/>
      <c r="M1940" s="109"/>
    </row>
    <row r="1941" spans="1:13" s="125" customFormat="1" x14ac:dyDescent="0.2">
      <c r="A1941" s="121"/>
      <c r="B1941" s="121"/>
      <c r="C1941" s="121"/>
      <c r="D1941" s="317"/>
      <c r="E1941" s="110"/>
      <c r="F1941" s="317"/>
      <c r="G1941" s="110"/>
      <c r="H1941" s="121"/>
      <c r="I1941" s="145"/>
      <c r="J1941" s="172" t="str">
        <f t="shared" si="58"/>
        <v/>
      </c>
      <c r="K1941" s="171">
        <f t="shared" si="59"/>
        <v>423</v>
      </c>
      <c r="L1941" s="109"/>
      <c r="M1941" s="109"/>
    </row>
    <row r="1942" spans="1:13" s="125" customFormat="1" x14ac:dyDescent="0.2">
      <c r="A1942" s="121">
        <v>29</v>
      </c>
      <c r="B1942" s="121" t="s">
        <v>1086</v>
      </c>
      <c r="C1942" s="121"/>
      <c r="D1942" s="317" t="s">
        <v>85</v>
      </c>
      <c r="E1942" s="110"/>
      <c r="F1942" s="317" t="s">
        <v>701</v>
      </c>
      <c r="G1942" s="110">
        <v>11</v>
      </c>
      <c r="H1942" s="121"/>
      <c r="I1942" s="145" t="s">
        <v>1087</v>
      </c>
      <c r="J1942" s="172">
        <f t="shared" si="58"/>
        <v>423</v>
      </c>
      <c r="K1942" s="171">
        <f t="shared" si="59"/>
        <v>423</v>
      </c>
      <c r="L1942" s="109"/>
      <c r="M1942" s="109"/>
    </row>
    <row r="1943" spans="1:13" s="125" customFormat="1" x14ac:dyDescent="0.2">
      <c r="A1943" s="121"/>
      <c r="B1943" s="121"/>
      <c r="C1943" s="121"/>
      <c r="D1943" s="317"/>
      <c r="E1943" s="110"/>
      <c r="F1943" s="317"/>
      <c r="G1943" s="110"/>
      <c r="H1943" s="121"/>
      <c r="I1943" s="145" t="s">
        <v>1</v>
      </c>
      <c r="J1943" s="172" t="str">
        <f t="shared" si="58"/>
        <v/>
      </c>
      <c r="K1943" s="171">
        <f t="shared" si="59"/>
        <v>434</v>
      </c>
      <c r="L1943" s="109"/>
      <c r="M1943" s="109"/>
    </row>
    <row r="1944" spans="1:13" s="125" customFormat="1" x14ac:dyDescent="0.2">
      <c r="A1944" s="121">
        <v>30</v>
      </c>
      <c r="B1944" s="121" t="s">
        <v>1088</v>
      </c>
      <c r="C1944" s="121"/>
      <c r="D1944" s="317"/>
      <c r="E1944" s="110"/>
      <c r="F1944" s="317" t="s">
        <v>701</v>
      </c>
      <c r="G1944" s="110">
        <v>1</v>
      </c>
      <c r="H1944" s="121"/>
      <c r="I1944" s="145" t="s">
        <v>1089</v>
      </c>
      <c r="J1944" s="172">
        <f t="shared" si="58"/>
        <v>434</v>
      </c>
      <c r="K1944" s="171">
        <f t="shared" si="59"/>
        <v>434</v>
      </c>
      <c r="L1944" s="109"/>
      <c r="M1944" s="109"/>
    </row>
    <row r="1945" spans="1:13" s="125" customFormat="1" x14ac:dyDescent="0.2">
      <c r="A1945" s="214"/>
      <c r="D1945" s="318"/>
      <c r="E1945" s="126"/>
      <c r="F1945" s="318"/>
      <c r="G1945" s="215"/>
      <c r="I1945" s="145" t="s">
        <v>1079</v>
      </c>
      <c r="J1945" s="172" t="str">
        <f t="shared" si="58"/>
        <v/>
      </c>
      <c r="K1945" s="171">
        <f t="shared" si="59"/>
        <v>435</v>
      </c>
      <c r="L1945" s="109"/>
      <c r="M1945" s="109"/>
    </row>
    <row r="1946" spans="1:13" s="125" customFormat="1" x14ac:dyDescent="0.2">
      <c r="A1946" s="214"/>
      <c r="D1946" s="318"/>
      <c r="E1946" s="126"/>
      <c r="F1946" s="318"/>
      <c r="G1946" s="215"/>
      <c r="I1946" s="145" t="s">
        <v>1080</v>
      </c>
      <c r="J1946" s="172" t="str">
        <f t="shared" si="58"/>
        <v/>
      </c>
      <c r="K1946" s="171">
        <f t="shared" si="59"/>
        <v>435</v>
      </c>
      <c r="L1946" s="109"/>
      <c r="M1946" s="109"/>
    </row>
    <row r="1947" spans="1:13" s="125" customFormat="1" x14ac:dyDescent="0.2">
      <c r="A1947" s="214"/>
      <c r="D1947" s="318"/>
      <c r="E1947" s="126"/>
      <c r="F1947" s="318"/>
      <c r="G1947" s="215"/>
      <c r="I1947" s="145" t="s">
        <v>1081</v>
      </c>
      <c r="J1947" s="172" t="str">
        <f t="shared" si="58"/>
        <v/>
      </c>
      <c r="K1947" s="171">
        <f t="shared" si="59"/>
        <v>435</v>
      </c>
      <c r="L1947" s="109"/>
      <c r="M1947" s="109"/>
    </row>
    <row r="1948" spans="1:13" s="125" customFormat="1" x14ac:dyDescent="0.2">
      <c r="A1948" s="214"/>
      <c r="D1948" s="318"/>
      <c r="E1948" s="126"/>
      <c r="F1948" s="318"/>
      <c r="G1948" s="215"/>
      <c r="I1948" s="145" t="s">
        <v>1082</v>
      </c>
      <c r="J1948" s="172" t="str">
        <f t="shared" si="58"/>
        <v/>
      </c>
      <c r="K1948" s="171">
        <f t="shared" si="59"/>
        <v>435</v>
      </c>
      <c r="L1948" s="109"/>
      <c r="M1948" s="109"/>
    </row>
    <row r="1949" spans="1:13" s="125" customFormat="1" x14ac:dyDescent="0.2">
      <c r="A1949" s="214"/>
      <c r="D1949" s="318"/>
      <c r="E1949" s="126"/>
      <c r="F1949" s="318"/>
      <c r="G1949" s="215"/>
      <c r="I1949" s="145" t="s">
        <v>1083</v>
      </c>
      <c r="J1949" s="172" t="str">
        <f t="shared" si="58"/>
        <v/>
      </c>
      <c r="K1949" s="171">
        <f t="shared" si="59"/>
        <v>435</v>
      </c>
      <c r="L1949" s="109"/>
      <c r="M1949" s="109"/>
    </row>
    <row r="1950" spans="1:13" s="125" customFormat="1" x14ac:dyDescent="0.2">
      <c r="A1950" s="214"/>
      <c r="D1950" s="318"/>
      <c r="E1950" s="126"/>
      <c r="F1950" s="318"/>
      <c r="G1950" s="215"/>
      <c r="I1950" s="145"/>
      <c r="J1950" s="172" t="str">
        <f t="shared" si="58"/>
        <v/>
      </c>
      <c r="K1950" s="171">
        <f t="shared" si="59"/>
        <v>435</v>
      </c>
      <c r="L1950" s="109"/>
      <c r="M1950" s="109"/>
    </row>
    <row r="1951" spans="1:13" s="125" customFormat="1" x14ac:dyDescent="0.2">
      <c r="A1951" s="121">
        <v>31</v>
      </c>
      <c r="B1951" s="121" t="s">
        <v>1090</v>
      </c>
      <c r="C1951" s="121"/>
      <c r="D1951" s="317"/>
      <c r="E1951" s="110"/>
      <c r="F1951" s="317" t="s">
        <v>701</v>
      </c>
      <c r="G1951" s="110">
        <v>12</v>
      </c>
      <c r="H1951" s="121"/>
      <c r="I1951" s="145" t="s">
        <v>1091</v>
      </c>
      <c r="J1951" s="172">
        <f t="shared" si="58"/>
        <v>435</v>
      </c>
      <c r="K1951" s="171">
        <f t="shared" si="59"/>
        <v>435</v>
      </c>
      <c r="L1951" s="109"/>
      <c r="M1951" s="109"/>
    </row>
    <row r="1952" spans="1:13" s="125" customFormat="1" x14ac:dyDescent="0.2">
      <c r="A1952" s="121"/>
      <c r="B1952" s="121"/>
      <c r="C1952" s="121"/>
      <c r="D1952" s="317"/>
      <c r="E1952" s="110"/>
      <c r="F1952" s="317"/>
      <c r="G1952" s="110"/>
      <c r="H1952" s="121"/>
      <c r="I1952" s="145"/>
      <c r="J1952" s="172" t="str">
        <f t="shared" si="58"/>
        <v/>
      </c>
      <c r="K1952" s="171">
        <f t="shared" si="59"/>
        <v>447</v>
      </c>
      <c r="L1952" s="109"/>
      <c r="M1952" s="109"/>
    </row>
    <row r="1953" spans="1:13" s="125" customFormat="1" x14ac:dyDescent="0.2">
      <c r="A1953" s="121">
        <v>32</v>
      </c>
      <c r="B1953" s="121" t="s">
        <v>1092</v>
      </c>
      <c r="C1953" s="121"/>
      <c r="D1953" s="317" t="s">
        <v>85</v>
      </c>
      <c r="E1953" s="110"/>
      <c r="F1953" s="317" t="s">
        <v>701</v>
      </c>
      <c r="G1953" s="110">
        <v>11</v>
      </c>
      <c r="H1953" s="121"/>
      <c r="I1953" s="145" t="s">
        <v>1093</v>
      </c>
      <c r="J1953" s="172">
        <f t="shared" si="58"/>
        <v>447</v>
      </c>
      <c r="K1953" s="171">
        <f t="shared" si="59"/>
        <v>447</v>
      </c>
      <c r="L1953" s="109"/>
      <c r="M1953" s="109"/>
    </row>
    <row r="1954" spans="1:13" s="125" customFormat="1" x14ac:dyDescent="0.2">
      <c r="A1954" s="217"/>
      <c r="D1954" s="318"/>
      <c r="E1954" s="126"/>
      <c r="F1954" s="318"/>
      <c r="G1954" s="215"/>
      <c r="I1954" s="216" t="s">
        <v>1</v>
      </c>
      <c r="J1954" s="172" t="str">
        <f t="shared" si="58"/>
        <v/>
      </c>
      <c r="K1954" s="171">
        <f t="shared" si="59"/>
        <v>458</v>
      </c>
      <c r="L1954" s="109"/>
      <c r="M1954" s="109"/>
    </row>
    <row r="1955" spans="1:13" ht="15.75" thickBot="1" x14ac:dyDescent="0.25">
      <c r="A1955" s="191">
        <v>33</v>
      </c>
      <c r="B1955" s="121" t="s">
        <v>782</v>
      </c>
      <c r="F1955" s="317" t="s">
        <v>772</v>
      </c>
      <c r="G1955" s="204">
        <f>D1842-J1953-G1953+1</f>
        <v>43</v>
      </c>
      <c r="I1955" s="145" t="s">
        <v>965</v>
      </c>
      <c r="J1955" s="172">
        <f t="shared" si="58"/>
        <v>458</v>
      </c>
      <c r="K1955" s="171">
        <f t="shared" si="59"/>
        <v>458</v>
      </c>
    </row>
    <row r="1956" spans="1:13" ht="16.5" thickTop="1" thickBot="1" x14ac:dyDescent="0.25">
      <c r="A1956" s="191"/>
      <c r="B1956" s="238" t="s">
        <v>755</v>
      </c>
      <c r="C1956" s="139"/>
      <c r="D1956" s="323" t="s">
        <v>706</v>
      </c>
      <c r="E1956" s="118"/>
      <c r="F1956" s="321"/>
      <c r="G1956" s="193"/>
      <c r="H1956" s="117"/>
      <c r="I1956" s="152"/>
      <c r="J1956" s="172" t="str">
        <f t="shared" si="58"/>
        <v/>
      </c>
      <c r="K1956" s="171"/>
    </row>
    <row r="1957" spans="1:13" ht="15.75" thickTop="1" x14ac:dyDescent="0.2">
      <c r="A1957" s="191"/>
      <c r="B1957" s="138"/>
      <c r="D1957" s="321"/>
      <c r="E1957" s="118"/>
      <c r="F1957" s="321"/>
      <c r="G1957" s="193"/>
      <c r="H1957" s="117"/>
      <c r="J1957" s="172" t="str">
        <f t="shared" si="58"/>
        <v/>
      </c>
      <c r="K1957" s="171"/>
    </row>
    <row r="1958" spans="1:13" x14ac:dyDescent="0.2">
      <c r="A1958" s="239" t="s">
        <v>1</v>
      </c>
      <c r="B1958" s="240" t="s">
        <v>912</v>
      </c>
      <c r="C1958" s="141"/>
      <c r="D1958" s="340" t="s">
        <v>1110</v>
      </c>
      <c r="E1958" s="241"/>
      <c r="F1958" s="340"/>
      <c r="G1958" s="239"/>
      <c r="H1958" s="141"/>
      <c r="I1958" s="242"/>
      <c r="J1958" s="172" t="str">
        <f t="shared" si="58"/>
        <v/>
      </c>
      <c r="K1958" s="171"/>
    </row>
    <row r="1959" spans="1:13" x14ac:dyDescent="0.2">
      <c r="A1959" s="243"/>
      <c r="B1959" s="240" t="s">
        <v>757</v>
      </c>
      <c r="C1959" s="133"/>
      <c r="D1959" s="341">
        <f>+G16</f>
        <v>500</v>
      </c>
      <c r="E1959" s="241" t="s">
        <v>758</v>
      </c>
      <c r="F1959" s="340"/>
      <c r="G1959" s="239"/>
      <c r="H1959" s="141"/>
      <c r="I1959" s="244"/>
      <c r="J1959" s="172" t="str">
        <f t="shared" si="58"/>
        <v/>
      </c>
      <c r="K1959" s="171"/>
    </row>
    <row r="1960" spans="1:13" x14ac:dyDescent="0.2">
      <c r="A1960" s="243"/>
      <c r="B1960" s="141"/>
      <c r="C1960" s="141"/>
      <c r="D1960" s="340"/>
      <c r="E1960" s="241"/>
      <c r="F1960" s="340"/>
      <c r="G1960" s="239"/>
      <c r="H1960" s="141"/>
      <c r="I1960" s="244"/>
      <c r="J1960" s="172" t="str">
        <f t="shared" si="58"/>
        <v/>
      </c>
      <c r="K1960" s="171"/>
    </row>
    <row r="1961" spans="1:13" s="108" customFormat="1" x14ac:dyDescent="0.2">
      <c r="A1961" s="201" t="s">
        <v>759</v>
      </c>
      <c r="B1961" s="166" t="s">
        <v>712</v>
      </c>
      <c r="C1961" s="167"/>
      <c r="D1961" s="327" t="s">
        <v>713</v>
      </c>
      <c r="E1961" s="168"/>
      <c r="F1961" s="327" t="s">
        <v>760</v>
      </c>
      <c r="G1961" s="156" t="s">
        <v>715</v>
      </c>
      <c r="H1961" s="167"/>
      <c r="I1961" s="169" t="s">
        <v>716</v>
      </c>
      <c r="J1961" s="172">
        <f t="shared" si="58"/>
        <v>0</v>
      </c>
      <c r="K1961" s="171"/>
    </row>
    <row r="1962" spans="1:13" x14ac:dyDescent="0.2">
      <c r="A1962" s="202" t="s">
        <v>1</v>
      </c>
      <c r="B1962" s="117"/>
      <c r="C1962" s="117"/>
      <c r="D1962" s="321"/>
      <c r="E1962" s="118"/>
      <c r="F1962" s="321"/>
      <c r="G1962" s="193"/>
      <c r="H1962" s="117"/>
      <c r="I1962" s="144"/>
      <c r="J1962" s="172" t="str">
        <f t="shared" si="58"/>
        <v/>
      </c>
      <c r="K1962" s="171"/>
    </row>
    <row r="1963" spans="1:13" x14ac:dyDescent="0.2">
      <c r="A1963" s="203" t="s">
        <v>1</v>
      </c>
      <c r="B1963" s="121" t="s">
        <v>762</v>
      </c>
      <c r="G1963" s="204"/>
      <c r="J1963" s="172" t="str">
        <f t="shared" si="58"/>
        <v/>
      </c>
      <c r="K1963" s="171"/>
    </row>
    <row r="1964" spans="1:13" x14ac:dyDescent="0.2">
      <c r="A1964" s="191">
        <v>1</v>
      </c>
      <c r="B1964" s="121" t="s">
        <v>763</v>
      </c>
      <c r="D1964" s="317" t="s">
        <v>1111</v>
      </c>
      <c r="F1964" s="317" t="s">
        <v>701</v>
      </c>
      <c r="G1964" s="204">
        <v>4</v>
      </c>
      <c r="I1964" s="145" t="s">
        <v>765</v>
      </c>
      <c r="J1964" s="172">
        <f t="shared" si="58"/>
        <v>4</v>
      </c>
      <c r="K1964" s="171">
        <f t="shared" si="59"/>
        <v>1</v>
      </c>
    </row>
    <row r="1965" spans="1:13" x14ac:dyDescent="0.2">
      <c r="A1965" s="191"/>
      <c r="G1965" s="204"/>
      <c r="J1965" s="172" t="str">
        <f t="shared" si="58"/>
        <v/>
      </c>
      <c r="K1965" s="171">
        <f t="shared" si="59"/>
        <v>5</v>
      </c>
    </row>
    <row r="1966" spans="1:13" x14ac:dyDescent="0.2">
      <c r="A1966" s="191">
        <v>2</v>
      </c>
      <c r="B1966" s="121" t="s">
        <v>766</v>
      </c>
      <c r="D1966" s="317" t="s">
        <v>767</v>
      </c>
      <c r="F1966" s="317" t="s">
        <v>701</v>
      </c>
      <c r="G1966" s="204">
        <v>1</v>
      </c>
      <c r="I1966" s="145" t="s">
        <v>768</v>
      </c>
      <c r="J1966" s="172">
        <f t="shared" si="58"/>
        <v>5</v>
      </c>
      <c r="K1966" s="171">
        <f t="shared" si="59"/>
        <v>5</v>
      </c>
    </row>
    <row r="1967" spans="1:13" x14ac:dyDescent="0.2">
      <c r="A1967" s="191"/>
      <c r="G1967" s="204"/>
      <c r="J1967" s="172" t="str">
        <f t="shared" si="58"/>
        <v/>
      </c>
      <c r="K1967" s="171">
        <f t="shared" si="59"/>
        <v>6</v>
      </c>
    </row>
    <row r="1968" spans="1:13" x14ac:dyDescent="0.2">
      <c r="A1968" s="191">
        <v>3</v>
      </c>
      <c r="B1968" s="121" t="s">
        <v>769</v>
      </c>
      <c r="D1968" s="317" t="s">
        <v>770</v>
      </c>
      <c r="F1968" s="317" t="s">
        <v>701</v>
      </c>
      <c r="G1968" s="204">
        <v>4</v>
      </c>
      <c r="I1968" s="145" t="s">
        <v>768</v>
      </c>
      <c r="J1968" s="172">
        <f t="shared" si="58"/>
        <v>6</v>
      </c>
      <c r="K1968" s="171">
        <f t="shared" si="59"/>
        <v>6</v>
      </c>
    </row>
    <row r="1969" spans="1:11" x14ac:dyDescent="0.2">
      <c r="A1969" s="191"/>
      <c r="G1969" s="204"/>
      <c r="J1969" s="172" t="str">
        <f t="shared" si="58"/>
        <v/>
      </c>
      <c r="K1969" s="171">
        <f t="shared" si="59"/>
        <v>10</v>
      </c>
    </row>
    <row r="1970" spans="1:11" x14ac:dyDescent="0.2">
      <c r="A1970" s="191">
        <v>4</v>
      </c>
      <c r="B1970" s="121" t="s">
        <v>771</v>
      </c>
      <c r="F1970" s="317" t="s">
        <v>772</v>
      </c>
      <c r="G1970" s="204">
        <v>1</v>
      </c>
      <c r="I1970" s="145" t="s">
        <v>773</v>
      </c>
      <c r="J1970" s="172">
        <f t="shared" si="58"/>
        <v>10</v>
      </c>
      <c r="K1970" s="171">
        <f t="shared" si="59"/>
        <v>10</v>
      </c>
    </row>
    <row r="1971" spans="1:11" x14ac:dyDescent="0.2">
      <c r="A1971" s="191"/>
      <c r="G1971" s="204"/>
      <c r="J1971" s="172" t="str">
        <f t="shared" si="58"/>
        <v/>
      </c>
      <c r="K1971" s="171">
        <f t="shared" si="59"/>
        <v>11</v>
      </c>
    </row>
    <row r="1972" spans="1:11" x14ac:dyDescent="0.2">
      <c r="A1972" s="191"/>
      <c r="B1972" s="173" t="s">
        <v>832</v>
      </c>
      <c r="G1972" s="204"/>
      <c r="J1972" s="172" t="str">
        <f t="shared" si="58"/>
        <v/>
      </c>
      <c r="K1972" s="171">
        <f t="shared" si="59"/>
        <v>11</v>
      </c>
    </row>
    <row r="1973" spans="1:11" x14ac:dyDescent="0.2">
      <c r="A1973" s="191"/>
      <c r="G1973" s="204"/>
      <c r="J1973" s="172" t="str">
        <f t="shared" si="58"/>
        <v/>
      </c>
      <c r="K1973" s="171">
        <f t="shared" si="59"/>
        <v>11</v>
      </c>
    </row>
    <row r="1974" spans="1:11" x14ac:dyDescent="0.2">
      <c r="A1974" s="191">
        <v>5</v>
      </c>
      <c r="B1974" s="109" t="s">
        <v>83</v>
      </c>
      <c r="F1974" s="317" t="s">
        <v>701</v>
      </c>
      <c r="G1974" s="204">
        <v>16</v>
      </c>
      <c r="I1974" s="111" t="s">
        <v>221</v>
      </c>
      <c r="J1974" s="172">
        <f t="shared" si="58"/>
        <v>11</v>
      </c>
      <c r="K1974" s="171">
        <f t="shared" si="59"/>
        <v>11</v>
      </c>
    </row>
    <row r="1975" spans="1:11" x14ac:dyDescent="0.2">
      <c r="A1975" s="191"/>
      <c r="G1975" s="204"/>
      <c r="J1975" s="172" t="str">
        <f t="shared" si="58"/>
        <v/>
      </c>
      <c r="K1975" s="171">
        <f t="shared" si="59"/>
        <v>27</v>
      </c>
    </row>
    <row r="1976" spans="1:11" x14ac:dyDescent="0.2">
      <c r="A1976" s="191"/>
      <c r="G1976" s="204"/>
      <c r="J1976" s="172" t="str">
        <f t="shared" si="58"/>
        <v/>
      </c>
      <c r="K1976" s="171">
        <f t="shared" si="59"/>
        <v>27</v>
      </c>
    </row>
    <row r="1977" spans="1:11" x14ac:dyDescent="0.2">
      <c r="A1977" s="191"/>
      <c r="B1977" s="173" t="s">
        <v>1094</v>
      </c>
      <c r="G1977" s="204"/>
      <c r="I1977" s="145"/>
      <c r="J1977" s="172" t="str">
        <f t="shared" si="58"/>
        <v/>
      </c>
      <c r="K1977" s="171">
        <f t="shared" si="59"/>
        <v>27</v>
      </c>
    </row>
    <row r="1978" spans="1:11" x14ac:dyDescent="0.2">
      <c r="A1978" s="191"/>
      <c r="G1978" s="204"/>
      <c r="I1978" s="145"/>
      <c r="J1978" s="172" t="str">
        <f t="shared" si="58"/>
        <v/>
      </c>
      <c r="K1978" s="171">
        <f t="shared" si="59"/>
        <v>27</v>
      </c>
    </row>
    <row r="1979" spans="1:11" x14ac:dyDescent="0.2">
      <c r="A1979" s="191">
        <v>6</v>
      </c>
      <c r="B1979" s="121" t="s">
        <v>1008</v>
      </c>
      <c r="F1979" s="317" t="s">
        <v>772</v>
      </c>
      <c r="G1979" s="204">
        <v>5</v>
      </c>
      <c r="I1979" s="145" t="s">
        <v>1009</v>
      </c>
      <c r="J1979" s="172">
        <f t="shared" si="58"/>
        <v>27</v>
      </c>
      <c r="K1979" s="171">
        <f t="shared" si="59"/>
        <v>27</v>
      </c>
    </row>
    <row r="1980" spans="1:11" x14ac:dyDescent="0.2">
      <c r="A1980" s="191"/>
      <c r="G1980" s="204"/>
      <c r="I1980" s="145" t="s">
        <v>1010</v>
      </c>
      <c r="J1980" s="172" t="str">
        <f t="shared" si="58"/>
        <v/>
      </c>
      <c r="K1980" s="171">
        <f t="shared" si="59"/>
        <v>32</v>
      </c>
    </row>
    <row r="1981" spans="1:11" x14ac:dyDescent="0.2">
      <c r="A1981" s="191"/>
      <c r="G1981" s="204"/>
      <c r="J1981" s="172" t="str">
        <f t="shared" si="58"/>
        <v/>
      </c>
      <c r="K1981" s="171">
        <f t="shared" si="59"/>
        <v>32</v>
      </c>
    </row>
    <row r="1982" spans="1:11" x14ac:dyDescent="0.2">
      <c r="A1982" s="191">
        <v>7</v>
      </c>
      <c r="B1982" s="121" t="s">
        <v>1011</v>
      </c>
      <c r="F1982" s="317" t="s">
        <v>772</v>
      </c>
      <c r="G1982" s="204">
        <v>30</v>
      </c>
      <c r="I1982" s="145" t="s">
        <v>1012</v>
      </c>
      <c r="J1982" s="172">
        <f t="shared" si="58"/>
        <v>32</v>
      </c>
      <c r="K1982" s="171">
        <f t="shared" si="59"/>
        <v>32</v>
      </c>
    </row>
    <row r="1983" spans="1:11" x14ac:dyDescent="0.2">
      <c r="A1983" s="191"/>
      <c r="B1983" s="121"/>
      <c r="G1983" s="204"/>
      <c r="I1983" s="145" t="s">
        <v>894</v>
      </c>
      <c r="J1983" s="172" t="str">
        <f t="shared" si="58"/>
        <v/>
      </c>
      <c r="K1983" s="171">
        <f t="shared" si="59"/>
        <v>62</v>
      </c>
    </row>
    <row r="1984" spans="1:11" x14ac:dyDescent="0.2">
      <c r="A1984" s="191"/>
      <c r="G1984" s="204"/>
      <c r="J1984" s="172" t="str">
        <f t="shared" si="58"/>
        <v/>
      </c>
      <c r="K1984" s="171">
        <f t="shared" si="59"/>
        <v>62</v>
      </c>
    </row>
    <row r="1985" spans="1:11" x14ac:dyDescent="0.2">
      <c r="A1985" s="191">
        <v>8</v>
      </c>
      <c r="B1985" s="121" t="s">
        <v>1013</v>
      </c>
      <c r="F1985" s="317" t="s">
        <v>772</v>
      </c>
      <c r="G1985" s="204">
        <v>6</v>
      </c>
      <c r="I1985" s="145" t="s">
        <v>1014</v>
      </c>
      <c r="J1985" s="172">
        <f t="shared" si="58"/>
        <v>62</v>
      </c>
      <c r="K1985" s="171">
        <f t="shared" si="59"/>
        <v>62</v>
      </c>
    </row>
    <row r="1986" spans="1:11" x14ac:dyDescent="0.2">
      <c r="A1986" s="191"/>
      <c r="G1986" s="204"/>
      <c r="I1986" s="145" t="s">
        <v>894</v>
      </c>
      <c r="J1986" s="172" t="str">
        <f t="shared" si="58"/>
        <v/>
      </c>
      <c r="K1986" s="171">
        <f t="shared" si="59"/>
        <v>68</v>
      </c>
    </row>
    <row r="1987" spans="1:11" x14ac:dyDescent="0.2">
      <c r="A1987" s="191"/>
      <c r="G1987" s="204"/>
      <c r="J1987" s="172" t="str">
        <f t="shared" ref="J1987:J2050" si="60">IF(A1987=1, 4,IF(G1987="", "",+K1987))</f>
        <v/>
      </c>
      <c r="K1987" s="171">
        <f t="shared" si="59"/>
        <v>68</v>
      </c>
    </row>
    <row r="1988" spans="1:11" x14ac:dyDescent="0.2">
      <c r="A1988" s="191">
        <v>9</v>
      </c>
      <c r="B1988" s="121" t="s">
        <v>71</v>
      </c>
      <c r="F1988" s="317" t="s">
        <v>772</v>
      </c>
      <c r="G1988" s="204">
        <v>6</v>
      </c>
      <c r="I1988" s="145" t="s">
        <v>1015</v>
      </c>
      <c r="J1988" s="172">
        <f t="shared" si="60"/>
        <v>68</v>
      </c>
      <c r="K1988" s="171">
        <f t="shared" si="59"/>
        <v>68</v>
      </c>
    </row>
    <row r="1989" spans="1:11" x14ac:dyDescent="0.2">
      <c r="A1989" s="191"/>
      <c r="G1989" s="204"/>
      <c r="I1989" s="145" t="s">
        <v>894</v>
      </c>
      <c r="J1989" s="172" t="str">
        <f t="shared" si="60"/>
        <v/>
      </c>
      <c r="K1989" s="171">
        <f t="shared" si="59"/>
        <v>74</v>
      </c>
    </row>
    <row r="1990" spans="1:11" x14ac:dyDescent="0.2">
      <c r="A1990" s="191"/>
      <c r="G1990" s="204"/>
      <c r="I1990" s="145"/>
      <c r="J1990" s="172" t="str">
        <f t="shared" si="60"/>
        <v/>
      </c>
      <c r="K1990" s="171">
        <f t="shared" si="59"/>
        <v>74</v>
      </c>
    </row>
    <row r="1991" spans="1:11" x14ac:dyDescent="0.2">
      <c r="A1991" s="191">
        <v>10</v>
      </c>
      <c r="B1991" s="121" t="s">
        <v>72</v>
      </c>
      <c r="F1991" s="317" t="s">
        <v>772</v>
      </c>
      <c r="G1991" s="204">
        <v>5</v>
      </c>
      <c r="I1991" s="145" t="s">
        <v>1016</v>
      </c>
      <c r="J1991" s="172">
        <f t="shared" si="60"/>
        <v>74</v>
      </c>
      <c r="K1991" s="171">
        <f t="shared" si="59"/>
        <v>74</v>
      </c>
    </row>
    <row r="1992" spans="1:11" x14ac:dyDescent="0.2">
      <c r="A1992" s="191"/>
      <c r="G1992" s="204"/>
      <c r="I1992" s="145" t="s">
        <v>894</v>
      </c>
      <c r="J1992" s="172" t="str">
        <f t="shared" si="60"/>
        <v/>
      </c>
      <c r="K1992" s="171">
        <f t="shared" si="59"/>
        <v>79</v>
      </c>
    </row>
    <row r="1993" spans="1:11" x14ac:dyDescent="0.2">
      <c r="A1993" s="191"/>
      <c r="G1993" s="204"/>
      <c r="J1993" s="172" t="str">
        <f t="shared" si="60"/>
        <v/>
      </c>
      <c r="K1993" s="171">
        <f t="shared" si="59"/>
        <v>79</v>
      </c>
    </row>
    <row r="1994" spans="1:11" x14ac:dyDescent="0.2">
      <c r="A1994" s="191">
        <v>11</v>
      </c>
      <c r="B1994" s="121" t="s">
        <v>73</v>
      </c>
      <c r="F1994" s="317" t="s">
        <v>772</v>
      </c>
      <c r="G1994" s="204">
        <v>3</v>
      </c>
      <c r="I1994" s="145" t="s">
        <v>1017</v>
      </c>
      <c r="J1994" s="172">
        <f t="shared" si="60"/>
        <v>79</v>
      </c>
      <c r="K1994" s="171">
        <f t="shared" si="59"/>
        <v>79</v>
      </c>
    </row>
    <row r="1995" spans="1:11" x14ac:dyDescent="0.2">
      <c r="A1995" s="191"/>
      <c r="G1995" s="204"/>
      <c r="I1995" s="145" t="s">
        <v>894</v>
      </c>
      <c r="J1995" s="172" t="str">
        <f t="shared" si="60"/>
        <v/>
      </c>
      <c r="K1995" s="171">
        <f t="shared" si="59"/>
        <v>82</v>
      </c>
    </row>
    <row r="1996" spans="1:11" x14ac:dyDescent="0.2">
      <c r="A1996" s="191"/>
      <c r="G1996" s="204"/>
      <c r="I1996" s="145"/>
      <c r="J1996" s="172" t="str">
        <f t="shared" si="60"/>
        <v/>
      </c>
      <c r="K1996" s="171">
        <f t="shared" si="59"/>
        <v>82</v>
      </c>
    </row>
    <row r="1997" spans="1:11" x14ac:dyDescent="0.2">
      <c r="A1997" s="191">
        <v>12</v>
      </c>
      <c r="B1997" s="121" t="s">
        <v>1018</v>
      </c>
      <c r="F1997" s="317" t="s">
        <v>772</v>
      </c>
      <c r="G1997" s="204">
        <v>3</v>
      </c>
      <c r="I1997" s="145" t="s">
        <v>1019</v>
      </c>
      <c r="J1997" s="172">
        <f t="shared" si="60"/>
        <v>82</v>
      </c>
      <c r="K1997" s="171">
        <f t="shared" si="59"/>
        <v>82</v>
      </c>
    </row>
    <row r="1998" spans="1:11" x14ac:dyDescent="0.2">
      <c r="A1998" s="191"/>
      <c r="G1998" s="204"/>
      <c r="I1998" s="145" t="s">
        <v>894</v>
      </c>
      <c r="J1998" s="172" t="str">
        <f t="shared" si="60"/>
        <v/>
      </c>
      <c r="K1998" s="171">
        <f t="shared" ref="K1998:K2047" si="61">IF(A1998=1,1,+K1997+G1997)</f>
        <v>85</v>
      </c>
    </row>
    <row r="1999" spans="1:11" x14ac:dyDescent="0.2">
      <c r="A1999" s="191"/>
      <c r="G1999" s="204"/>
      <c r="I1999" s="145"/>
      <c r="J1999" s="172" t="str">
        <f t="shared" si="60"/>
        <v/>
      </c>
      <c r="K1999" s="171">
        <f t="shared" si="61"/>
        <v>85</v>
      </c>
    </row>
    <row r="2000" spans="1:11" x14ac:dyDescent="0.2">
      <c r="A2000" s="191">
        <v>13</v>
      </c>
      <c r="B2000" s="121" t="s">
        <v>1020</v>
      </c>
      <c r="F2000" s="317" t="s">
        <v>772</v>
      </c>
      <c r="G2000" s="204">
        <v>3</v>
      </c>
      <c r="I2000" s="145" t="s">
        <v>1021</v>
      </c>
      <c r="J2000" s="172">
        <f t="shared" si="60"/>
        <v>85</v>
      </c>
      <c r="K2000" s="171">
        <f t="shared" si="61"/>
        <v>85</v>
      </c>
    </row>
    <row r="2001" spans="1:11" x14ac:dyDescent="0.2">
      <c r="A2001" s="191"/>
      <c r="G2001" s="204"/>
      <c r="I2001" s="145" t="s">
        <v>894</v>
      </c>
      <c r="J2001" s="172" t="str">
        <f t="shared" si="60"/>
        <v/>
      </c>
      <c r="K2001" s="171">
        <f t="shared" si="61"/>
        <v>88</v>
      </c>
    </row>
    <row r="2002" spans="1:11" x14ac:dyDescent="0.2">
      <c r="A2002" s="191"/>
      <c r="G2002" s="204"/>
      <c r="J2002" s="172" t="str">
        <f t="shared" si="60"/>
        <v/>
      </c>
      <c r="K2002" s="171">
        <f t="shared" si="61"/>
        <v>88</v>
      </c>
    </row>
    <row r="2003" spans="1:11" x14ac:dyDescent="0.2">
      <c r="A2003" s="191">
        <v>14</v>
      </c>
      <c r="B2003" s="121" t="s">
        <v>74</v>
      </c>
      <c r="F2003" s="317" t="s">
        <v>772</v>
      </c>
      <c r="G2003" s="204">
        <v>3</v>
      </c>
      <c r="I2003" s="145" t="s">
        <v>1022</v>
      </c>
      <c r="J2003" s="172">
        <f t="shared" si="60"/>
        <v>88</v>
      </c>
      <c r="K2003" s="171">
        <f t="shared" si="61"/>
        <v>88</v>
      </c>
    </row>
    <row r="2004" spans="1:11" x14ac:dyDescent="0.2">
      <c r="A2004" s="191"/>
      <c r="G2004" s="204"/>
      <c r="I2004" s="145" t="s">
        <v>894</v>
      </c>
      <c r="J2004" s="172" t="str">
        <f t="shared" si="60"/>
        <v/>
      </c>
      <c r="K2004" s="171">
        <f t="shared" si="61"/>
        <v>91</v>
      </c>
    </row>
    <row r="2005" spans="1:11" x14ac:dyDescent="0.2">
      <c r="A2005" s="191"/>
      <c r="G2005" s="204"/>
      <c r="I2005" s="145"/>
      <c r="J2005" s="172" t="str">
        <f t="shared" si="60"/>
        <v/>
      </c>
      <c r="K2005" s="171">
        <f t="shared" si="61"/>
        <v>91</v>
      </c>
    </row>
    <row r="2006" spans="1:11" x14ac:dyDescent="0.2">
      <c r="A2006" s="191">
        <v>15</v>
      </c>
      <c r="B2006" s="121" t="s">
        <v>75</v>
      </c>
      <c r="F2006" s="317" t="s">
        <v>772</v>
      </c>
      <c r="G2006" s="204">
        <v>3</v>
      </c>
      <c r="I2006" s="145" t="s">
        <v>1023</v>
      </c>
      <c r="J2006" s="172">
        <f t="shared" si="60"/>
        <v>91</v>
      </c>
      <c r="K2006" s="171">
        <f t="shared" si="61"/>
        <v>91</v>
      </c>
    </row>
    <row r="2007" spans="1:11" x14ac:dyDescent="0.2">
      <c r="A2007" s="191"/>
      <c r="G2007" s="204"/>
      <c r="I2007" s="145" t="s">
        <v>894</v>
      </c>
      <c r="J2007" s="172" t="str">
        <f t="shared" si="60"/>
        <v/>
      </c>
      <c r="K2007" s="171">
        <f t="shared" si="61"/>
        <v>94</v>
      </c>
    </row>
    <row r="2008" spans="1:11" x14ac:dyDescent="0.2">
      <c r="A2008" s="191"/>
      <c r="G2008" s="204"/>
      <c r="I2008" s="145"/>
      <c r="J2008" s="172" t="str">
        <f t="shared" si="60"/>
        <v/>
      </c>
      <c r="K2008" s="171">
        <f t="shared" si="61"/>
        <v>94</v>
      </c>
    </row>
    <row r="2009" spans="1:11" x14ac:dyDescent="0.2">
      <c r="A2009" s="191">
        <v>16</v>
      </c>
      <c r="B2009" s="121" t="s">
        <v>1024</v>
      </c>
      <c r="F2009" s="317" t="s">
        <v>772</v>
      </c>
      <c r="G2009" s="204">
        <v>5</v>
      </c>
      <c r="I2009" s="145" t="s">
        <v>1025</v>
      </c>
      <c r="J2009" s="172">
        <f t="shared" si="60"/>
        <v>94</v>
      </c>
      <c r="K2009" s="171">
        <f t="shared" si="61"/>
        <v>94</v>
      </c>
    </row>
    <row r="2010" spans="1:11" x14ac:dyDescent="0.2">
      <c r="A2010" s="191"/>
      <c r="G2010" s="204"/>
      <c r="I2010" s="145" t="s">
        <v>894</v>
      </c>
      <c r="J2010" s="172" t="str">
        <f t="shared" si="60"/>
        <v/>
      </c>
      <c r="K2010" s="171">
        <f t="shared" si="61"/>
        <v>99</v>
      </c>
    </row>
    <row r="2011" spans="1:11" x14ac:dyDescent="0.2">
      <c r="A2011" s="191"/>
      <c r="G2011" s="204"/>
      <c r="J2011" s="172" t="str">
        <f t="shared" si="60"/>
        <v/>
      </c>
      <c r="K2011" s="171">
        <f t="shared" si="61"/>
        <v>99</v>
      </c>
    </row>
    <row r="2012" spans="1:11" x14ac:dyDescent="0.2">
      <c r="A2012" s="191">
        <v>17</v>
      </c>
      <c r="B2012" s="121" t="s">
        <v>76</v>
      </c>
      <c r="F2012" s="317" t="s">
        <v>772</v>
      </c>
      <c r="G2012" s="204">
        <v>5</v>
      </c>
      <c r="I2012" s="145" t="s">
        <v>1026</v>
      </c>
      <c r="J2012" s="172">
        <f t="shared" si="60"/>
        <v>99</v>
      </c>
      <c r="K2012" s="171">
        <f t="shared" si="61"/>
        <v>99</v>
      </c>
    </row>
    <row r="2013" spans="1:11" x14ac:dyDescent="0.2">
      <c r="A2013" s="191"/>
      <c r="G2013" s="204"/>
      <c r="I2013" s="145" t="s">
        <v>1010</v>
      </c>
      <c r="J2013" s="172" t="str">
        <f t="shared" si="60"/>
        <v/>
      </c>
      <c r="K2013" s="171">
        <f t="shared" si="61"/>
        <v>104</v>
      </c>
    </row>
    <row r="2014" spans="1:11" x14ac:dyDescent="0.2">
      <c r="A2014" s="191"/>
      <c r="G2014" s="204"/>
      <c r="I2014" s="145"/>
      <c r="J2014" s="172" t="str">
        <f t="shared" si="60"/>
        <v/>
      </c>
      <c r="K2014" s="171">
        <f t="shared" si="61"/>
        <v>104</v>
      </c>
    </row>
    <row r="2015" spans="1:11" x14ac:dyDescent="0.2">
      <c r="A2015" s="191">
        <v>18</v>
      </c>
      <c r="B2015" s="121" t="s">
        <v>77</v>
      </c>
      <c r="F2015" s="317" t="s">
        <v>772</v>
      </c>
      <c r="G2015" s="204">
        <v>30</v>
      </c>
      <c r="I2015" s="145" t="s">
        <v>1027</v>
      </c>
      <c r="J2015" s="172">
        <f t="shared" si="60"/>
        <v>104</v>
      </c>
      <c r="K2015" s="171">
        <f t="shared" si="61"/>
        <v>104</v>
      </c>
    </row>
    <row r="2016" spans="1:11" x14ac:dyDescent="0.2">
      <c r="A2016" s="191"/>
      <c r="G2016" s="204"/>
      <c r="I2016" s="145" t="s">
        <v>894</v>
      </c>
      <c r="J2016" s="172" t="str">
        <f t="shared" si="60"/>
        <v/>
      </c>
      <c r="K2016" s="171">
        <f t="shared" si="61"/>
        <v>134</v>
      </c>
    </row>
    <row r="2017" spans="1:11" x14ac:dyDescent="0.2">
      <c r="A2017" s="191"/>
      <c r="G2017" s="204"/>
      <c r="I2017" s="145"/>
      <c r="J2017" s="172" t="str">
        <f t="shared" si="60"/>
        <v/>
      </c>
      <c r="K2017" s="171">
        <f t="shared" si="61"/>
        <v>134</v>
      </c>
    </row>
    <row r="2018" spans="1:11" ht="30" x14ac:dyDescent="0.2">
      <c r="A2018" s="191">
        <v>19</v>
      </c>
      <c r="B2018" s="109" t="s">
        <v>1063</v>
      </c>
      <c r="F2018" s="317" t="s">
        <v>772</v>
      </c>
      <c r="G2018" s="204">
        <v>120</v>
      </c>
      <c r="I2018" s="145" t="s">
        <v>1064</v>
      </c>
      <c r="J2018" s="172">
        <f t="shared" si="60"/>
        <v>134</v>
      </c>
      <c r="K2018" s="171">
        <f t="shared" si="61"/>
        <v>134</v>
      </c>
    </row>
    <row r="2019" spans="1:11" x14ac:dyDescent="0.2">
      <c r="A2019" s="191"/>
      <c r="G2019" s="204"/>
      <c r="I2019" s="145"/>
      <c r="J2019" s="172" t="str">
        <f t="shared" si="60"/>
        <v/>
      </c>
      <c r="K2019" s="171">
        <f t="shared" si="61"/>
        <v>254</v>
      </c>
    </row>
    <row r="2020" spans="1:11" x14ac:dyDescent="0.2">
      <c r="A2020" s="191">
        <v>20</v>
      </c>
      <c r="B2020" s="121" t="s">
        <v>78</v>
      </c>
      <c r="F2020" s="317" t="s">
        <v>772</v>
      </c>
      <c r="G2020" s="204">
        <v>55</v>
      </c>
      <c r="I2020" s="145" t="s">
        <v>1030</v>
      </c>
      <c r="J2020" s="172">
        <f t="shared" si="60"/>
        <v>254</v>
      </c>
      <c r="K2020" s="171">
        <f t="shared" si="61"/>
        <v>254</v>
      </c>
    </row>
    <row r="2021" spans="1:11" x14ac:dyDescent="0.2">
      <c r="A2021" s="191"/>
      <c r="G2021" s="204"/>
      <c r="I2021" s="145" t="s">
        <v>894</v>
      </c>
      <c r="J2021" s="172" t="str">
        <f t="shared" si="60"/>
        <v/>
      </c>
      <c r="K2021" s="171">
        <f t="shared" si="61"/>
        <v>309</v>
      </c>
    </row>
    <row r="2022" spans="1:11" x14ac:dyDescent="0.2">
      <c r="A2022" s="191"/>
      <c r="G2022" s="204"/>
      <c r="J2022" s="172" t="str">
        <f t="shared" si="60"/>
        <v/>
      </c>
      <c r="K2022" s="171">
        <f t="shared" si="61"/>
        <v>309</v>
      </c>
    </row>
    <row r="2023" spans="1:11" x14ac:dyDescent="0.2">
      <c r="A2023" s="191">
        <v>21</v>
      </c>
      <c r="B2023" s="109" t="s">
        <v>954</v>
      </c>
      <c r="F2023" s="317" t="s">
        <v>701</v>
      </c>
      <c r="G2023" s="204">
        <v>6</v>
      </c>
      <c r="I2023" s="145" t="s">
        <v>1031</v>
      </c>
      <c r="J2023" s="172">
        <f t="shared" si="60"/>
        <v>309</v>
      </c>
      <c r="K2023" s="171">
        <f t="shared" si="61"/>
        <v>309</v>
      </c>
    </row>
    <row r="2024" spans="1:11" x14ac:dyDescent="0.2">
      <c r="A2024" s="191"/>
      <c r="G2024" s="204"/>
      <c r="I2024" s="111" t="s">
        <v>1032</v>
      </c>
      <c r="J2024" s="172" t="str">
        <f t="shared" si="60"/>
        <v/>
      </c>
      <c r="K2024" s="171">
        <f t="shared" si="61"/>
        <v>315</v>
      </c>
    </row>
    <row r="2025" spans="1:11" x14ac:dyDescent="0.2">
      <c r="A2025" s="191"/>
      <c r="G2025" s="204"/>
      <c r="I2025" s="145"/>
      <c r="J2025" s="172" t="str">
        <f t="shared" si="60"/>
        <v/>
      </c>
      <c r="K2025" s="171">
        <f t="shared" si="61"/>
        <v>315</v>
      </c>
    </row>
    <row r="2026" spans="1:11" x14ac:dyDescent="0.2">
      <c r="A2026" s="191">
        <v>22</v>
      </c>
      <c r="B2026" s="109" t="s">
        <v>819</v>
      </c>
      <c r="F2026" s="317" t="s">
        <v>772</v>
      </c>
      <c r="G2026" s="204">
        <v>9</v>
      </c>
      <c r="I2026" s="145" t="s">
        <v>1033</v>
      </c>
      <c r="J2026" s="172">
        <f t="shared" si="60"/>
        <v>315</v>
      </c>
      <c r="K2026" s="171">
        <f t="shared" si="61"/>
        <v>315</v>
      </c>
    </row>
    <row r="2027" spans="1:11" x14ac:dyDescent="0.2">
      <c r="A2027" s="191"/>
      <c r="G2027" s="204"/>
      <c r="I2027" s="145" t="s">
        <v>971</v>
      </c>
      <c r="J2027" s="172" t="str">
        <f t="shared" si="60"/>
        <v/>
      </c>
      <c r="K2027" s="171">
        <f t="shared" si="61"/>
        <v>324</v>
      </c>
    </row>
    <row r="2028" spans="1:11" x14ac:dyDescent="0.2">
      <c r="A2028" s="191"/>
      <c r="G2028" s="204"/>
      <c r="I2028" s="145" t="s">
        <v>972</v>
      </c>
      <c r="J2028" s="172" t="str">
        <f t="shared" si="60"/>
        <v/>
      </c>
      <c r="K2028" s="171">
        <f t="shared" si="61"/>
        <v>324</v>
      </c>
    </row>
    <row r="2029" spans="1:11" x14ac:dyDescent="0.2">
      <c r="A2029" s="191"/>
      <c r="G2029" s="204"/>
      <c r="I2029" s="145" t="s">
        <v>973</v>
      </c>
      <c r="J2029" s="172" t="str">
        <f t="shared" si="60"/>
        <v/>
      </c>
      <c r="K2029" s="171">
        <f t="shared" si="61"/>
        <v>324</v>
      </c>
    </row>
    <row r="2030" spans="1:11" x14ac:dyDescent="0.2">
      <c r="A2030" s="191"/>
      <c r="G2030" s="204"/>
      <c r="I2030" s="145" t="s">
        <v>894</v>
      </c>
      <c r="J2030" s="172" t="str">
        <f t="shared" si="60"/>
        <v/>
      </c>
      <c r="K2030" s="171">
        <f t="shared" si="61"/>
        <v>324</v>
      </c>
    </row>
    <row r="2031" spans="1:11" x14ac:dyDescent="0.2">
      <c r="A2031" s="191"/>
      <c r="G2031" s="204"/>
      <c r="I2031" s="145"/>
      <c r="J2031" s="172" t="str">
        <f t="shared" si="60"/>
        <v/>
      </c>
      <c r="K2031" s="171">
        <f t="shared" si="61"/>
        <v>324</v>
      </c>
    </row>
    <row r="2032" spans="1:11" x14ac:dyDescent="0.2">
      <c r="A2032" s="191">
        <v>23</v>
      </c>
      <c r="B2032" s="121" t="s">
        <v>1065</v>
      </c>
      <c r="F2032" s="317" t="s">
        <v>701</v>
      </c>
      <c r="G2032" s="204">
        <v>5</v>
      </c>
      <c r="I2032" s="145" t="s">
        <v>1066</v>
      </c>
      <c r="J2032" s="172">
        <f t="shared" si="60"/>
        <v>324</v>
      </c>
      <c r="K2032" s="171">
        <f t="shared" si="61"/>
        <v>324</v>
      </c>
    </row>
    <row r="2033" spans="1:14" x14ac:dyDescent="0.2">
      <c r="A2033" s="191"/>
      <c r="G2033" s="204"/>
      <c r="I2033" s="145" t="s">
        <v>1067</v>
      </c>
      <c r="J2033" s="172" t="str">
        <f t="shared" si="60"/>
        <v/>
      </c>
      <c r="K2033" s="171">
        <f t="shared" si="61"/>
        <v>329</v>
      </c>
    </row>
    <row r="2034" spans="1:14" x14ac:dyDescent="0.2">
      <c r="A2034" s="191"/>
      <c r="G2034" s="204"/>
      <c r="I2034" s="145"/>
      <c r="J2034" s="172" t="str">
        <f t="shared" si="60"/>
        <v/>
      </c>
      <c r="K2034" s="171">
        <f t="shared" si="61"/>
        <v>329</v>
      </c>
    </row>
    <row r="2035" spans="1:14" ht="30" x14ac:dyDescent="0.2">
      <c r="A2035" s="191">
        <v>24</v>
      </c>
      <c r="B2035" s="109" t="s">
        <v>1068</v>
      </c>
      <c r="F2035" s="317" t="s">
        <v>701</v>
      </c>
      <c r="G2035" s="204">
        <v>1</v>
      </c>
      <c r="I2035" s="145" t="s">
        <v>1039</v>
      </c>
      <c r="J2035" s="172">
        <f t="shared" si="60"/>
        <v>329</v>
      </c>
      <c r="K2035" s="171">
        <f t="shared" si="61"/>
        <v>329</v>
      </c>
    </row>
    <row r="2036" spans="1:14" x14ac:dyDescent="0.2">
      <c r="A2036" s="191"/>
      <c r="G2036" s="204"/>
      <c r="I2036" s="145" t="s">
        <v>1069</v>
      </c>
      <c r="J2036" s="172" t="str">
        <f t="shared" si="60"/>
        <v/>
      </c>
      <c r="K2036" s="171">
        <f t="shared" si="61"/>
        <v>330</v>
      </c>
    </row>
    <row r="2037" spans="1:14" x14ac:dyDescent="0.2">
      <c r="A2037" s="191"/>
      <c r="G2037" s="204"/>
      <c r="I2037" s="145" t="s">
        <v>1040</v>
      </c>
      <c r="J2037" s="172" t="str">
        <f t="shared" si="60"/>
        <v/>
      </c>
      <c r="K2037" s="171">
        <f t="shared" si="61"/>
        <v>330</v>
      </c>
    </row>
    <row r="2038" spans="1:14" x14ac:dyDescent="0.2">
      <c r="A2038" s="191"/>
      <c r="G2038" s="204"/>
      <c r="I2038" s="145" t="s">
        <v>1041</v>
      </c>
      <c r="J2038" s="172" t="str">
        <f t="shared" si="60"/>
        <v/>
      </c>
      <c r="K2038" s="171">
        <f t="shared" si="61"/>
        <v>330</v>
      </c>
    </row>
    <row r="2039" spans="1:14" x14ac:dyDescent="0.2">
      <c r="A2039" s="191"/>
      <c r="G2039" s="204"/>
      <c r="I2039" s="145" t="s">
        <v>1070</v>
      </c>
      <c r="J2039" s="172" t="str">
        <f t="shared" si="60"/>
        <v/>
      </c>
      <c r="K2039" s="171">
        <f t="shared" si="61"/>
        <v>330</v>
      </c>
    </row>
    <row r="2040" spans="1:14" x14ac:dyDescent="0.2">
      <c r="A2040" s="191"/>
      <c r="G2040" s="204"/>
      <c r="I2040" s="145" t="s">
        <v>1071</v>
      </c>
      <c r="J2040" s="172" t="str">
        <f t="shared" si="60"/>
        <v/>
      </c>
      <c r="K2040" s="171">
        <f t="shared" si="61"/>
        <v>330</v>
      </c>
    </row>
    <row r="2041" spans="1:14" x14ac:dyDescent="0.2">
      <c r="A2041" s="191"/>
      <c r="G2041" s="204"/>
      <c r="I2041" s="145"/>
      <c r="J2041" s="172" t="str">
        <f t="shared" si="60"/>
        <v/>
      </c>
      <c r="K2041" s="171">
        <f t="shared" si="61"/>
        <v>330</v>
      </c>
    </row>
    <row r="2042" spans="1:14" ht="30" x14ac:dyDescent="0.2">
      <c r="A2042" s="191">
        <v>25</v>
      </c>
      <c r="B2042" s="121" t="s">
        <v>1072</v>
      </c>
      <c r="F2042" s="317" t="s">
        <v>772</v>
      </c>
      <c r="G2042" s="204">
        <v>40</v>
      </c>
      <c r="I2042" s="145" t="s">
        <v>1073</v>
      </c>
      <c r="J2042" s="172">
        <f t="shared" si="60"/>
        <v>330</v>
      </c>
      <c r="K2042" s="171">
        <f t="shared" si="61"/>
        <v>330</v>
      </c>
    </row>
    <row r="2043" spans="1:14" x14ac:dyDescent="0.2">
      <c r="A2043" s="191"/>
      <c r="G2043" s="204"/>
      <c r="I2043" s="145" t="s">
        <v>894</v>
      </c>
      <c r="J2043" s="172" t="str">
        <f t="shared" si="60"/>
        <v/>
      </c>
      <c r="K2043" s="171">
        <f t="shared" si="61"/>
        <v>370</v>
      </c>
    </row>
    <row r="2044" spans="1:14" x14ac:dyDescent="0.2">
      <c r="A2044" s="191"/>
      <c r="G2044" s="204"/>
      <c r="I2044" s="145"/>
      <c r="J2044" s="172" t="str">
        <f t="shared" si="60"/>
        <v/>
      </c>
      <c r="K2044" s="171">
        <f t="shared" si="61"/>
        <v>370</v>
      </c>
    </row>
    <row r="2045" spans="1:14" ht="30" x14ac:dyDescent="0.2">
      <c r="A2045" s="191">
        <v>26</v>
      </c>
      <c r="B2045" s="121" t="s">
        <v>1074</v>
      </c>
      <c r="F2045" s="317" t="s">
        <v>772</v>
      </c>
      <c r="G2045" s="204">
        <v>40</v>
      </c>
      <c r="I2045" s="145" t="s">
        <v>1073</v>
      </c>
      <c r="J2045" s="172">
        <f t="shared" si="60"/>
        <v>370</v>
      </c>
      <c r="K2045" s="171">
        <f t="shared" si="61"/>
        <v>370</v>
      </c>
    </row>
    <row r="2046" spans="1:14" x14ac:dyDescent="0.2">
      <c r="A2046" s="191"/>
      <c r="G2046" s="204"/>
      <c r="I2046" s="145" t="s">
        <v>894</v>
      </c>
      <c r="J2046" s="172" t="str">
        <f t="shared" si="60"/>
        <v/>
      </c>
      <c r="K2046" s="171">
        <f t="shared" si="61"/>
        <v>410</v>
      </c>
    </row>
    <row r="2047" spans="1:14" s="125" customFormat="1" x14ac:dyDescent="0.2">
      <c r="A2047" s="217"/>
      <c r="B2047" s="173" t="s">
        <v>1112</v>
      </c>
      <c r="C2047" s="125" t="s">
        <v>1113</v>
      </c>
      <c r="D2047" s="318"/>
      <c r="E2047" s="126"/>
      <c r="F2047" s="318"/>
      <c r="G2047" s="215"/>
      <c r="I2047" s="216"/>
      <c r="J2047" s="172" t="str">
        <f t="shared" si="60"/>
        <v/>
      </c>
      <c r="K2047" s="171">
        <f t="shared" si="61"/>
        <v>410</v>
      </c>
      <c r="L2047" s="109"/>
      <c r="M2047" s="109"/>
      <c r="N2047" s="109"/>
    </row>
    <row r="2048" spans="1:14" s="125" customFormat="1" x14ac:dyDescent="0.2">
      <c r="A2048" s="214"/>
      <c r="D2048" s="318"/>
      <c r="E2048" s="126"/>
      <c r="F2048" s="318"/>
      <c r="G2048" s="215"/>
      <c r="I2048" s="216"/>
      <c r="J2048" s="172" t="str">
        <f t="shared" si="60"/>
        <v/>
      </c>
      <c r="K2048" s="171">
        <f>IF(A2048=1,1,+K2047+G2047)</f>
        <v>410</v>
      </c>
      <c r="L2048" s="109"/>
      <c r="M2048" s="109"/>
      <c r="N2048" s="109"/>
    </row>
    <row r="2049" spans="1:13" x14ac:dyDescent="0.2">
      <c r="A2049" s="191"/>
      <c r="G2049" s="204"/>
      <c r="I2049" s="145"/>
      <c r="J2049" s="172" t="str">
        <f t="shared" si="60"/>
        <v/>
      </c>
      <c r="K2049" s="171">
        <f>IF(A2049=1,1,+K2048+G2048)</f>
        <v>410</v>
      </c>
    </row>
    <row r="2050" spans="1:13" s="125" customFormat="1" x14ac:dyDescent="0.2">
      <c r="A2050" s="121">
        <v>27</v>
      </c>
      <c r="B2050" s="121" t="s">
        <v>1077</v>
      </c>
      <c r="C2050" s="121"/>
      <c r="D2050" s="317"/>
      <c r="E2050" s="110"/>
      <c r="F2050" s="317" t="s">
        <v>701</v>
      </c>
      <c r="G2050" s="110">
        <v>1</v>
      </c>
      <c r="H2050" s="121"/>
      <c r="I2050" s="145" t="s">
        <v>1078</v>
      </c>
      <c r="J2050" s="172">
        <f t="shared" si="60"/>
        <v>410</v>
      </c>
      <c r="K2050" s="171">
        <f>IF(A2050=1,1,+K2049+G2049)</f>
        <v>410</v>
      </c>
      <c r="L2050" s="109"/>
      <c r="M2050" s="109"/>
    </row>
    <row r="2051" spans="1:13" s="125" customFormat="1" x14ac:dyDescent="0.2">
      <c r="A2051" s="121"/>
      <c r="B2051" s="121"/>
      <c r="C2051" s="121"/>
      <c r="D2051" s="317"/>
      <c r="E2051" s="110"/>
      <c r="F2051" s="317"/>
      <c r="G2051" s="110"/>
      <c r="H2051" s="121"/>
      <c r="I2051" s="145" t="s">
        <v>1079</v>
      </c>
      <c r="J2051" s="172" t="str">
        <f t="shared" ref="J2051:J2114" si="62">IF(A2051=1, 4,IF(G2051="", "",+K2051))</f>
        <v/>
      </c>
      <c r="K2051" s="171">
        <f t="shared" ref="K2051:K2072" si="63">IF(A2051=1,1,+K2050+G2050)</f>
        <v>411</v>
      </c>
      <c r="L2051" s="109"/>
      <c r="M2051" s="109"/>
    </row>
    <row r="2052" spans="1:13" s="125" customFormat="1" x14ac:dyDescent="0.2">
      <c r="A2052" s="121"/>
      <c r="B2052" s="121"/>
      <c r="C2052" s="121"/>
      <c r="D2052" s="317"/>
      <c r="E2052" s="110"/>
      <c r="F2052" s="317"/>
      <c r="G2052" s="110"/>
      <c r="H2052" s="121"/>
      <c r="I2052" s="145" t="s">
        <v>1080</v>
      </c>
      <c r="J2052" s="172" t="str">
        <f t="shared" si="62"/>
        <v/>
      </c>
      <c r="K2052" s="171">
        <f t="shared" si="63"/>
        <v>411</v>
      </c>
      <c r="L2052" s="109"/>
      <c r="M2052" s="109"/>
    </row>
    <row r="2053" spans="1:13" s="125" customFormat="1" x14ac:dyDescent="0.2">
      <c r="A2053" s="121"/>
      <c r="B2053" s="121"/>
      <c r="C2053" s="121"/>
      <c r="D2053" s="317"/>
      <c r="E2053" s="110"/>
      <c r="F2053" s="317"/>
      <c r="G2053" s="110"/>
      <c r="H2053" s="121"/>
      <c r="I2053" s="145" t="s">
        <v>1081</v>
      </c>
      <c r="J2053" s="172" t="str">
        <f t="shared" si="62"/>
        <v/>
      </c>
      <c r="K2053" s="171">
        <f t="shared" si="63"/>
        <v>411</v>
      </c>
      <c r="L2053" s="109"/>
      <c r="M2053" s="109"/>
    </row>
    <row r="2054" spans="1:13" s="125" customFormat="1" x14ac:dyDescent="0.2">
      <c r="A2054" s="121"/>
      <c r="B2054" s="121"/>
      <c r="C2054" s="121"/>
      <c r="D2054" s="317"/>
      <c r="E2054" s="110"/>
      <c r="F2054" s="317"/>
      <c r="G2054" s="110"/>
      <c r="H2054" s="121"/>
      <c r="I2054" s="145" t="s">
        <v>1082</v>
      </c>
      <c r="J2054" s="172" t="str">
        <f t="shared" si="62"/>
        <v/>
      </c>
      <c r="K2054" s="171">
        <f t="shared" si="63"/>
        <v>411</v>
      </c>
      <c r="L2054" s="109"/>
      <c r="M2054" s="109"/>
    </row>
    <row r="2055" spans="1:13" s="125" customFormat="1" x14ac:dyDescent="0.2">
      <c r="A2055" s="121"/>
      <c r="B2055" s="121"/>
      <c r="C2055" s="121"/>
      <c r="D2055" s="317"/>
      <c r="E2055" s="110"/>
      <c r="F2055" s="317"/>
      <c r="G2055" s="110"/>
      <c r="H2055" s="121"/>
      <c r="I2055" s="145" t="s">
        <v>1083</v>
      </c>
      <c r="J2055" s="172" t="str">
        <f t="shared" si="62"/>
        <v/>
      </c>
      <c r="K2055" s="171">
        <f t="shared" si="63"/>
        <v>411</v>
      </c>
      <c r="L2055" s="109"/>
      <c r="M2055" s="109"/>
    </row>
    <row r="2056" spans="1:13" s="125" customFormat="1" x14ac:dyDescent="0.2">
      <c r="A2056" s="121"/>
      <c r="B2056" s="121"/>
      <c r="C2056" s="121"/>
      <c r="D2056" s="317"/>
      <c r="E2056" s="110"/>
      <c r="F2056" s="317"/>
      <c r="G2056" s="110"/>
      <c r="H2056" s="121"/>
      <c r="I2056" s="145"/>
      <c r="J2056" s="172" t="str">
        <f t="shared" si="62"/>
        <v/>
      </c>
      <c r="K2056" s="171">
        <f t="shared" si="63"/>
        <v>411</v>
      </c>
      <c r="L2056" s="109"/>
      <c r="M2056" s="109"/>
    </row>
    <row r="2057" spans="1:13" s="125" customFormat="1" x14ac:dyDescent="0.2">
      <c r="A2057" s="121">
        <v>28</v>
      </c>
      <c r="B2057" s="121" t="s">
        <v>1084</v>
      </c>
      <c r="C2057" s="121"/>
      <c r="D2057" s="317"/>
      <c r="E2057" s="110"/>
      <c r="F2057" s="317" t="s">
        <v>701</v>
      </c>
      <c r="G2057" s="110">
        <v>12</v>
      </c>
      <c r="H2057" s="121"/>
      <c r="I2057" s="145" t="s">
        <v>1085</v>
      </c>
      <c r="J2057" s="172">
        <f t="shared" si="62"/>
        <v>411</v>
      </c>
      <c r="K2057" s="171">
        <f t="shared" si="63"/>
        <v>411</v>
      </c>
      <c r="L2057" s="109"/>
      <c r="M2057" s="109"/>
    </row>
    <row r="2058" spans="1:13" s="125" customFormat="1" x14ac:dyDescent="0.2">
      <c r="A2058" s="121"/>
      <c r="B2058" s="121"/>
      <c r="C2058" s="121"/>
      <c r="D2058" s="317"/>
      <c r="E2058" s="110"/>
      <c r="F2058" s="317"/>
      <c r="G2058" s="110"/>
      <c r="H2058" s="121"/>
      <c r="I2058" s="145"/>
      <c r="J2058" s="172" t="str">
        <f t="shared" si="62"/>
        <v/>
      </c>
      <c r="K2058" s="171">
        <f t="shared" si="63"/>
        <v>423</v>
      </c>
      <c r="L2058" s="109"/>
      <c r="M2058" s="109"/>
    </row>
    <row r="2059" spans="1:13" s="125" customFormat="1" x14ac:dyDescent="0.2">
      <c r="A2059" s="121">
        <v>29</v>
      </c>
      <c r="B2059" s="121" t="s">
        <v>1086</v>
      </c>
      <c r="C2059" s="121"/>
      <c r="D2059" s="317" t="s">
        <v>85</v>
      </c>
      <c r="E2059" s="110"/>
      <c r="F2059" s="317" t="s">
        <v>701</v>
      </c>
      <c r="G2059" s="110">
        <v>11</v>
      </c>
      <c r="H2059" s="121"/>
      <c r="I2059" s="145" t="s">
        <v>1087</v>
      </c>
      <c r="J2059" s="172">
        <f t="shared" si="62"/>
        <v>423</v>
      </c>
      <c r="K2059" s="171">
        <f t="shared" si="63"/>
        <v>423</v>
      </c>
      <c r="L2059" s="109"/>
      <c r="M2059" s="109"/>
    </row>
    <row r="2060" spans="1:13" s="125" customFormat="1" x14ac:dyDescent="0.2">
      <c r="A2060" s="121"/>
      <c r="B2060" s="121"/>
      <c r="C2060" s="121"/>
      <c r="D2060" s="317"/>
      <c r="E2060" s="110"/>
      <c r="F2060" s="317"/>
      <c r="G2060" s="110"/>
      <c r="H2060" s="121"/>
      <c r="I2060" s="145" t="s">
        <v>1</v>
      </c>
      <c r="J2060" s="172" t="str">
        <f t="shared" si="62"/>
        <v/>
      </c>
      <c r="K2060" s="171">
        <f t="shared" si="63"/>
        <v>434</v>
      </c>
      <c r="L2060" s="109"/>
      <c r="M2060" s="109"/>
    </row>
    <row r="2061" spans="1:13" s="125" customFormat="1" x14ac:dyDescent="0.2">
      <c r="A2061" s="121">
        <v>30</v>
      </c>
      <c r="B2061" s="121" t="s">
        <v>1088</v>
      </c>
      <c r="C2061" s="121"/>
      <c r="D2061" s="317"/>
      <c r="E2061" s="110"/>
      <c r="F2061" s="317" t="s">
        <v>701</v>
      </c>
      <c r="G2061" s="110">
        <v>1</v>
      </c>
      <c r="H2061" s="121"/>
      <c r="I2061" s="145" t="s">
        <v>1089</v>
      </c>
      <c r="J2061" s="172">
        <f t="shared" si="62"/>
        <v>434</v>
      </c>
      <c r="K2061" s="171">
        <f t="shared" si="63"/>
        <v>434</v>
      </c>
      <c r="L2061" s="109"/>
      <c r="M2061" s="109"/>
    </row>
    <row r="2062" spans="1:13" s="125" customFormat="1" x14ac:dyDescent="0.2">
      <c r="A2062" s="121"/>
      <c r="B2062" s="121"/>
      <c r="C2062" s="121"/>
      <c r="D2062" s="317"/>
      <c r="E2062" s="110"/>
      <c r="F2062" s="317"/>
      <c r="G2062" s="110"/>
      <c r="H2062" s="121"/>
      <c r="I2062" s="145" t="s">
        <v>1079</v>
      </c>
      <c r="J2062" s="172" t="str">
        <f t="shared" si="62"/>
        <v/>
      </c>
      <c r="K2062" s="171">
        <f t="shared" si="63"/>
        <v>435</v>
      </c>
      <c r="L2062" s="109"/>
      <c r="M2062" s="109"/>
    </row>
    <row r="2063" spans="1:13" s="125" customFormat="1" x14ac:dyDescent="0.2">
      <c r="A2063" s="121"/>
      <c r="B2063" s="121"/>
      <c r="C2063" s="121"/>
      <c r="D2063" s="317"/>
      <c r="E2063" s="110"/>
      <c r="F2063" s="317"/>
      <c r="G2063" s="110"/>
      <c r="H2063" s="121"/>
      <c r="I2063" s="145" t="s">
        <v>1080</v>
      </c>
      <c r="J2063" s="172" t="str">
        <f t="shared" si="62"/>
        <v/>
      </c>
      <c r="K2063" s="171">
        <f t="shared" si="63"/>
        <v>435</v>
      </c>
      <c r="L2063" s="109"/>
      <c r="M2063" s="109"/>
    </row>
    <row r="2064" spans="1:13" s="125" customFormat="1" x14ac:dyDescent="0.2">
      <c r="A2064" s="121"/>
      <c r="B2064" s="121"/>
      <c r="C2064" s="121"/>
      <c r="D2064" s="317"/>
      <c r="E2064" s="110"/>
      <c r="F2064" s="317"/>
      <c r="G2064" s="110"/>
      <c r="H2064" s="121"/>
      <c r="I2064" s="145" t="s">
        <v>1081</v>
      </c>
      <c r="J2064" s="172" t="str">
        <f t="shared" si="62"/>
        <v/>
      </c>
      <c r="K2064" s="171">
        <f t="shared" si="63"/>
        <v>435</v>
      </c>
      <c r="L2064" s="109"/>
      <c r="M2064" s="109"/>
    </row>
    <row r="2065" spans="1:13" s="125" customFormat="1" x14ac:dyDescent="0.2">
      <c r="A2065" s="121"/>
      <c r="B2065" s="121"/>
      <c r="C2065" s="121"/>
      <c r="D2065" s="317"/>
      <c r="E2065" s="110"/>
      <c r="F2065" s="317"/>
      <c r="G2065" s="110"/>
      <c r="H2065" s="121"/>
      <c r="I2065" s="145" t="s">
        <v>1082</v>
      </c>
      <c r="J2065" s="172" t="str">
        <f t="shared" si="62"/>
        <v/>
      </c>
      <c r="K2065" s="171">
        <f t="shared" si="63"/>
        <v>435</v>
      </c>
      <c r="L2065" s="109"/>
      <c r="M2065" s="109"/>
    </row>
    <row r="2066" spans="1:13" s="125" customFormat="1" x14ac:dyDescent="0.2">
      <c r="A2066" s="121"/>
      <c r="B2066" s="121"/>
      <c r="C2066" s="121"/>
      <c r="D2066" s="317"/>
      <c r="E2066" s="110"/>
      <c r="F2066" s="317"/>
      <c r="G2066" s="110"/>
      <c r="H2066" s="121"/>
      <c r="I2066" s="145" t="s">
        <v>1083</v>
      </c>
      <c r="J2066" s="172" t="str">
        <f t="shared" si="62"/>
        <v/>
      </c>
      <c r="K2066" s="171">
        <f t="shared" si="63"/>
        <v>435</v>
      </c>
      <c r="L2066" s="109"/>
      <c r="M2066" s="109"/>
    </row>
    <row r="2067" spans="1:13" s="125" customFormat="1" x14ac:dyDescent="0.2">
      <c r="A2067" s="121"/>
      <c r="B2067" s="121"/>
      <c r="C2067" s="121"/>
      <c r="D2067" s="317"/>
      <c r="E2067" s="110"/>
      <c r="F2067" s="317"/>
      <c r="G2067" s="110"/>
      <c r="H2067" s="121"/>
      <c r="I2067" s="145"/>
      <c r="J2067" s="172" t="str">
        <f t="shared" si="62"/>
        <v/>
      </c>
      <c r="K2067" s="171">
        <f t="shared" si="63"/>
        <v>435</v>
      </c>
      <c r="L2067" s="109"/>
      <c r="M2067" s="109"/>
    </row>
    <row r="2068" spans="1:13" s="125" customFormat="1" x14ac:dyDescent="0.2">
      <c r="A2068" s="121">
        <v>31</v>
      </c>
      <c r="B2068" s="121" t="s">
        <v>1090</v>
      </c>
      <c r="C2068" s="121"/>
      <c r="D2068" s="317"/>
      <c r="E2068" s="110"/>
      <c r="F2068" s="317" t="s">
        <v>701</v>
      </c>
      <c r="G2068" s="110">
        <v>12</v>
      </c>
      <c r="H2068" s="121"/>
      <c r="I2068" s="145" t="s">
        <v>1091</v>
      </c>
      <c r="J2068" s="172">
        <f t="shared" si="62"/>
        <v>435</v>
      </c>
      <c r="K2068" s="171">
        <f t="shared" si="63"/>
        <v>435</v>
      </c>
      <c r="L2068" s="109"/>
      <c r="M2068" s="109"/>
    </row>
    <row r="2069" spans="1:13" s="125" customFormat="1" x14ac:dyDescent="0.2">
      <c r="A2069" s="121"/>
      <c r="B2069" s="121"/>
      <c r="C2069" s="121"/>
      <c r="D2069" s="317"/>
      <c r="E2069" s="110"/>
      <c r="F2069" s="317"/>
      <c r="G2069" s="110"/>
      <c r="H2069" s="121"/>
      <c r="I2069" s="145"/>
      <c r="J2069" s="172" t="str">
        <f t="shared" si="62"/>
        <v/>
      </c>
      <c r="K2069" s="171">
        <f t="shared" si="63"/>
        <v>447</v>
      </c>
      <c r="L2069" s="109"/>
      <c r="M2069" s="109"/>
    </row>
    <row r="2070" spans="1:13" s="125" customFormat="1" x14ac:dyDescent="0.2">
      <c r="A2070" s="121">
        <v>32</v>
      </c>
      <c r="B2070" s="121" t="s">
        <v>1092</v>
      </c>
      <c r="C2070" s="121"/>
      <c r="D2070" s="317" t="s">
        <v>85</v>
      </c>
      <c r="E2070" s="110"/>
      <c r="F2070" s="317" t="s">
        <v>701</v>
      </c>
      <c r="G2070" s="110">
        <v>11</v>
      </c>
      <c r="H2070" s="121"/>
      <c r="I2070" s="145" t="s">
        <v>1093</v>
      </c>
      <c r="J2070" s="172">
        <f t="shared" si="62"/>
        <v>447</v>
      </c>
      <c r="K2070" s="171">
        <f t="shared" si="63"/>
        <v>447</v>
      </c>
      <c r="L2070" s="109"/>
      <c r="M2070" s="109"/>
    </row>
    <row r="2071" spans="1:13" s="125" customFormat="1" x14ac:dyDescent="0.2">
      <c r="A2071" s="217"/>
      <c r="D2071" s="318"/>
      <c r="E2071" s="126"/>
      <c r="F2071" s="318"/>
      <c r="G2071" s="215"/>
      <c r="I2071" s="216" t="s">
        <v>1</v>
      </c>
      <c r="J2071" s="172" t="str">
        <f t="shared" si="62"/>
        <v/>
      </c>
      <c r="K2071" s="171">
        <f t="shared" si="63"/>
        <v>458</v>
      </c>
      <c r="L2071" s="109"/>
      <c r="M2071" s="109"/>
    </row>
    <row r="2072" spans="1:13" ht="15.75" thickBot="1" x14ac:dyDescent="0.25">
      <c r="A2072" s="191">
        <v>27</v>
      </c>
      <c r="B2072" s="121" t="s">
        <v>782</v>
      </c>
      <c r="F2072" s="317" t="s">
        <v>772</v>
      </c>
      <c r="G2072" s="204">
        <f>D1959-J2070-G2070+1</f>
        <v>43</v>
      </c>
      <c r="I2072" s="145" t="s">
        <v>965</v>
      </c>
      <c r="J2072" s="172">
        <f t="shared" si="62"/>
        <v>458</v>
      </c>
      <c r="K2072" s="171">
        <f t="shared" si="63"/>
        <v>458</v>
      </c>
    </row>
    <row r="2073" spans="1:13" ht="16.5" thickTop="1" thickBot="1" x14ac:dyDescent="0.25">
      <c r="B2073" s="246" t="s">
        <v>755</v>
      </c>
      <c r="C2073" s="139"/>
      <c r="D2073" s="323" t="s">
        <v>706</v>
      </c>
      <c r="E2073" s="118"/>
      <c r="F2073" s="321"/>
      <c r="G2073" s="118"/>
      <c r="H2073" s="117"/>
      <c r="I2073" s="152"/>
      <c r="J2073" s="172" t="str">
        <f t="shared" si="62"/>
        <v/>
      </c>
      <c r="K2073" s="171"/>
    </row>
    <row r="2074" spans="1:13" ht="15.75" thickTop="1" x14ac:dyDescent="0.2">
      <c r="B2074" s="138"/>
      <c r="D2074" s="321"/>
      <c r="E2074" s="118"/>
      <c r="F2074" s="321"/>
      <c r="G2074" s="118"/>
      <c r="H2074" s="117"/>
      <c r="J2074" s="172" t="str">
        <f t="shared" si="62"/>
        <v/>
      </c>
      <c r="K2074" s="171"/>
    </row>
    <row r="2075" spans="1:13" x14ac:dyDescent="0.2">
      <c r="A2075" s="247" t="s">
        <v>1</v>
      </c>
      <c r="B2075" s="248" t="s">
        <v>756</v>
      </c>
      <c r="C2075" s="249"/>
      <c r="D2075" s="342" t="s">
        <v>1114</v>
      </c>
      <c r="E2075" s="247"/>
      <c r="F2075" s="342"/>
      <c r="G2075" s="247"/>
      <c r="H2075" s="249"/>
      <c r="I2075" s="250" t="s">
        <v>1115</v>
      </c>
      <c r="J2075" s="172" t="str">
        <f t="shared" si="62"/>
        <v/>
      </c>
      <c r="K2075" s="171"/>
    </row>
    <row r="2076" spans="1:13" x14ac:dyDescent="0.2">
      <c r="A2076" s="249"/>
      <c r="B2076" s="248" t="s">
        <v>757</v>
      </c>
      <c r="C2076" s="134"/>
      <c r="D2076" s="342">
        <f>F17</f>
        <v>100</v>
      </c>
      <c r="E2076" s="247"/>
      <c r="F2076" s="342"/>
      <c r="G2076" s="247"/>
      <c r="H2076" s="249"/>
      <c r="I2076" s="251"/>
      <c r="J2076" s="172" t="str">
        <f t="shared" si="62"/>
        <v/>
      </c>
      <c r="K2076" s="171"/>
    </row>
    <row r="2077" spans="1:13" x14ac:dyDescent="0.2">
      <c r="A2077" s="249"/>
      <c r="B2077" s="249"/>
      <c r="C2077" s="249"/>
      <c r="D2077" s="342"/>
      <c r="E2077" s="247"/>
      <c r="F2077" s="342"/>
      <c r="G2077" s="247"/>
      <c r="H2077" s="249"/>
      <c r="I2077" s="251"/>
      <c r="J2077" s="172" t="str">
        <f t="shared" si="62"/>
        <v/>
      </c>
      <c r="K2077" s="171"/>
    </row>
    <row r="2078" spans="1:13" s="108" customFormat="1" x14ac:dyDescent="0.2">
      <c r="A2078" s="165" t="s">
        <v>759</v>
      </c>
      <c r="B2078" s="166" t="s">
        <v>712</v>
      </c>
      <c r="C2078" s="167"/>
      <c r="D2078" s="327" t="s">
        <v>713</v>
      </c>
      <c r="E2078" s="168"/>
      <c r="F2078" s="327" t="s">
        <v>760</v>
      </c>
      <c r="G2078" s="156" t="s">
        <v>715</v>
      </c>
      <c r="H2078" s="167"/>
      <c r="I2078" s="169" t="s">
        <v>716</v>
      </c>
      <c r="J2078" s="172">
        <f t="shared" si="62"/>
        <v>0</v>
      </c>
      <c r="K2078" s="171"/>
    </row>
    <row r="2079" spans="1:13" x14ac:dyDescent="0.2">
      <c r="A2079" s="117" t="s">
        <v>1</v>
      </c>
      <c r="B2079" s="117"/>
      <c r="C2079" s="117"/>
      <c r="D2079" s="321"/>
      <c r="E2079" s="118"/>
      <c r="F2079" s="321"/>
      <c r="G2079" s="118"/>
      <c r="H2079" s="117"/>
      <c r="I2079" s="144"/>
      <c r="J2079" s="172" t="str">
        <f t="shared" si="62"/>
        <v/>
      </c>
      <c r="K2079" s="171"/>
    </row>
    <row r="2080" spans="1:13" x14ac:dyDescent="0.2">
      <c r="A2080" s="121" t="s">
        <v>1</v>
      </c>
      <c r="B2080" s="121" t="s">
        <v>762</v>
      </c>
      <c r="J2080" s="172" t="str">
        <f t="shared" si="62"/>
        <v/>
      </c>
      <c r="K2080" s="171"/>
    </row>
    <row r="2081" spans="1:11" x14ac:dyDescent="0.2">
      <c r="A2081" s="109">
        <v>1</v>
      </c>
      <c r="B2081" s="121" t="s">
        <v>763</v>
      </c>
      <c r="D2081" s="317" t="s">
        <v>1116</v>
      </c>
      <c r="F2081" s="317" t="s">
        <v>701</v>
      </c>
      <c r="G2081" s="110">
        <v>4</v>
      </c>
      <c r="I2081" s="145" t="s">
        <v>765</v>
      </c>
      <c r="J2081" s="172">
        <f t="shared" si="62"/>
        <v>4</v>
      </c>
      <c r="K2081" s="171">
        <f t="shared" ref="K2081:K2142" si="64">IF(A2081=1,1,+K2080+G2080)</f>
        <v>1</v>
      </c>
    </row>
    <row r="2082" spans="1:11" x14ac:dyDescent="0.2">
      <c r="J2082" s="172" t="str">
        <f t="shared" si="62"/>
        <v/>
      </c>
      <c r="K2082" s="171">
        <f t="shared" si="64"/>
        <v>5</v>
      </c>
    </row>
    <row r="2083" spans="1:11" x14ac:dyDescent="0.2">
      <c r="A2083" s="109">
        <v>2</v>
      </c>
      <c r="B2083" s="121" t="s">
        <v>766</v>
      </c>
      <c r="D2083" s="317" t="s">
        <v>767</v>
      </c>
      <c r="F2083" s="317" t="s">
        <v>701</v>
      </c>
      <c r="G2083" s="110">
        <v>1</v>
      </c>
      <c r="I2083" s="145" t="s">
        <v>768</v>
      </c>
      <c r="J2083" s="172">
        <f t="shared" si="62"/>
        <v>5</v>
      </c>
      <c r="K2083" s="171">
        <f t="shared" si="64"/>
        <v>5</v>
      </c>
    </row>
    <row r="2084" spans="1:11" x14ac:dyDescent="0.2">
      <c r="J2084" s="172" t="str">
        <f t="shared" si="62"/>
        <v/>
      </c>
      <c r="K2084" s="171">
        <f t="shared" si="64"/>
        <v>6</v>
      </c>
    </row>
    <row r="2085" spans="1:11" x14ac:dyDescent="0.2">
      <c r="A2085" s="109">
        <v>3</v>
      </c>
      <c r="B2085" s="121" t="s">
        <v>769</v>
      </c>
      <c r="D2085" s="317" t="s">
        <v>770</v>
      </c>
      <c r="F2085" s="317" t="s">
        <v>701</v>
      </c>
      <c r="G2085" s="110">
        <v>4</v>
      </c>
      <c r="I2085" s="145" t="s">
        <v>768</v>
      </c>
      <c r="J2085" s="172">
        <f t="shared" si="62"/>
        <v>6</v>
      </c>
      <c r="K2085" s="171">
        <f t="shared" si="64"/>
        <v>6</v>
      </c>
    </row>
    <row r="2086" spans="1:11" x14ac:dyDescent="0.2">
      <c r="J2086" s="172" t="str">
        <f t="shared" si="62"/>
        <v/>
      </c>
      <c r="K2086" s="171">
        <f t="shared" si="64"/>
        <v>10</v>
      </c>
    </row>
    <row r="2087" spans="1:11" x14ac:dyDescent="0.2">
      <c r="A2087" s="109">
        <v>4</v>
      </c>
      <c r="B2087" s="121" t="s">
        <v>771</v>
      </c>
      <c r="F2087" s="317" t="s">
        <v>772</v>
      </c>
      <c r="G2087" s="110">
        <v>1</v>
      </c>
      <c r="I2087" s="145" t="s">
        <v>773</v>
      </c>
      <c r="J2087" s="172">
        <f t="shared" si="62"/>
        <v>10</v>
      </c>
      <c r="K2087" s="171">
        <f t="shared" si="64"/>
        <v>10</v>
      </c>
    </row>
    <row r="2088" spans="1:11" x14ac:dyDescent="0.2">
      <c r="J2088" s="172" t="str">
        <f t="shared" si="62"/>
        <v/>
      </c>
      <c r="K2088" s="171">
        <f t="shared" si="64"/>
        <v>11</v>
      </c>
    </row>
    <row r="2089" spans="1:11" x14ac:dyDescent="0.2">
      <c r="B2089" s="173" t="s">
        <v>1117</v>
      </c>
      <c r="J2089" s="172" t="str">
        <f t="shared" si="62"/>
        <v/>
      </c>
      <c r="K2089" s="171">
        <f t="shared" si="64"/>
        <v>11</v>
      </c>
    </row>
    <row r="2090" spans="1:11" x14ac:dyDescent="0.2">
      <c r="J2090" s="172" t="str">
        <f t="shared" si="62"/>
        <v/>
      </c>
      <c r="K2090" s="171">
        <f t="shared" si="64"/>
        <v>11</v>
      </c>
    </row>
    <row r="2091" spans="1:11" ht="30" x14ac:dyDescent="0.2">
      <c r="A2091" s="109">
        <v>5</v>
      </c>
      <c r="B2091" s="109" t="s">
        <v>854</v>
      </c>
      <c r="F2091" s="317" t="s">
        <v>772</v>
      </c>
      <c r="G2091" s="110">
        <v>1</v>
      </c>
      <c r="I2091" s="145" t="s">
        <v>855</v>
      </c>
      <c r="J2091" s="172">
        <f t="shared" si="62"/>
        <v>11</v>
      </c>
      <c r="K2091" s="171">
        <f t="shared" si="64"/>
        <v>11</v>
      </c>
    </row>
    <row r="2092" spans="1:11" x14ac:dyDescent="0.2">
      <c r="I2092" s="145" t="s">
        <v>856</v>
      </c>
      <c r="J2092" s="172" t="str">
        <f t="shared" si="62"/>
        <v/>
      </c>
      <c r="K2092" s="171">
        <f t="shared" si="64"/>
        <v>12</v>
      </c>
    </row>
    <row r="2093" spans="1:11" x14ac:dyDescent="0.2">
      <c r="I2093" s="145" t="s">
        <v>857</v>
      </c>
      <c r="J2093" s="172" t="str">
        <f t="shared" si="62"/>
        <v/>
      </c>
      <c r="K2093" s="171">
        <f t="shared" si="64"/>
        <v>12</v>
      </c>
    </row>
    <row r="2094" spans="1:11" x14ac:dyDescent="0.2">
      <c r="I2094" s="145"/>
      <c r="J2094" s="172" t="str">
        <f t="shared" si="62"/>
        <v/>
      </c>
      <c r="K2094" s="171">
        <f t="shared" si="64"/>
        <v>12</v>
      </c>
    </row>
    <row r="2095" spans="1:11" x14ac:dyDescent="0.2">
      <c r="A2095" s="109">
        <v>6</v>
      </c>
      <c r="B2095" s="109" t="s">
        <v>858</v>
      </c>
      <c r="F2095" s="317" t="s">
        <v>772</v>
      </c>
      <c r="G2095" s="110">
        <v>1</v>
      </c>
      <c r="I2095" s="145" t="s">
        <v>859</v>
      </c>
      <c r="J2095" s="172">
        <f t="shared" si="62"/>
        <v>12</v>
      </c>
      <c r="K2095" s="171">
        <f t="shared" si="64"/>
        <v>12</v>
      </c>
    </row>
    <row r="2096" spans="1:11" x14ac:dyDescent="0.2">
      <c r="I2096" s="145" t="s">
        <v>860</v>
      </c>
      <c r="J2096" s="172" t="str">
        <f t="shared" si="62"/>
        <v/>
      </c>
      <c r="K2096" s="171">
        <f t="shared" si="64"/>
        <v>13</v>
      </c>
    </row>
    <row r="2097" spans="1:11" x14ac:dyDescent="0.2">
      <c r="I2097" s="145" t="s">
        <v>861</v>
      </c>
      <c r="J2097" s="172" t="str">
        <f t="shared" si="62"/>
        <v/>
      </c>
      <c r="K2097" s="171">
        <f t="shared" si="64"/>
        <v>13</v>
      </c>
    </row>
    <row r="2098" spans="1:11" x14ac:dyDescent="0.2">
      <c r="I2098" s="145"/>
      <c r="J2098" s="172" t="str">
        <f t="shared" si="62"/>
        <v/>
      </c>
      <c r="K2098" s="171">
        <f t="shared" si="64"/>
        <v>13</v>
      </c>
    </row>
    <row r="2099" spans="1:11" x14ac:dyDescent="0.2">
      <c r="A2099" s="109">
        <v>7</v>
      </c>
      <c r="B2099" s="109" t="s">
        <v>862</v>
      </c>
      <c r="F2099" s="317" t="s">
        <v>772</v>
      </c>
      <c r="G2099" s="110">
        <v>17</v>
      </c>
      <c r="I2099" s="145" t="s">
        <v>863</v>
      </c>
      <c r="J2099" s="172">
        <f t="shared" si="62"/>
        <v>13</v>
      </c>
      <c r="K2099" s="171">
        <f t="shared" si="64"/>
        <v>13</v>
      </c>
    </row>
    <row r="2100" spans="1:11" x14ac:dyDescent="0.2">
      <c r="I2100" s="145"/>
      <c r="J2100" s="172" t="str">
        <f t="shared" si="62"/>
        <v/>
      </c>
      <c r="K2100" s="171">
        <f t="shared" si="64"/>
        <v>30</v>
      </c>
    </row>
    <row r="2101" spans="1:11" x14ac:dyDescent="0.2">
      <c r="A2101" s="109">
        <v>8</v>
      </c>
      <c r="B2101" s="109" t="s">
        <v>864</v>
      </c>
      <c r="D2101" s="317" t="s">
        <v>85</v>
      </c>
      <c r="F2101" s="317" t="s">
        <v>772</v>
      </c>
      <c r="G2101" s="110">
        <v>1</v>
      </c>
      <c r="I2101" s="145" t="s">
        <v>865</v>
      </c>
      <c r="J2101" s="172">
        <f t="shared" si="62"/>
        <v>30</v>
      </c>
      <c r="K2101" s="171">
        <f t="shared" si="64"/>
        <v>30</v>
      </c>
    </row>
    <row r="2102" spans="1:11" x14ac:dyDescent="0.2">
      <c r="I2102" s="145" t="s">
        <v>860</v>
      </c>
      <c r="J2102" s="172" t="str">
        <f t="shared" si="62"/>
        <v/>
      </c>
      <c r="K2102" s="171">
        <f t="shared" si="64"/>
        <v>31</v>
      </c>
    </row>
    <row r="2103" spans="1:11" x14ac:dyDescent="0.2">
      <c r="I2103" s="145" t="s">
        <v>861</v>
      </c>
      <c r="J2103" s="172" t="str">
        <f t="shared" si="62"/>
        <v/>
      </c>
      <c r="K2103" s="171">
        <f t="shared" si="64"/>
        <v>31</v>
      </c>
    </row>
    <row r="2104" spans="1:11" x14ac:dyDescent="0.2">
      <c r="I2104" s="145"/>
      <c r="J2104" s="172" t="str">
        <f t="shared" si="62"/>
        <v/>
      </c>
      <c r="K2104" s="171">
        <f t="shared" si="64"/>
        <v>31</v>
      </c>
    </row>
    <row r="2105" spans="1:11" x14ac:dyDescent="0.2">
      <c r="A2105" s="109">
        <v>9</v>
      </c>
      <c r="B2105" s="109" t="s">
        <v>866</v>
      </c>
      <c r="D2105" s="317" t="s">
        <v>85</v>
      </c>
      <c r="F2105" s="317" t="s">
        <v>772</v>
      </c>
      <c r="G2105" s="110">
        <v>17</v>
      </c>
      <c r="I2105" s="145" t="s">
        <v>867</v>
      </c>
      <c r="J2105" s="172">
        <f t="shared" si="62"/>
        <v>31</v>
      </c>
      <c r="K2105" s="171">
        <f t="shared" si="64"/>
        <v>31</v>
      </c>
    </row>
    <row r="2106" spans="1:11" x14ac:dyDescent="0.2">
      <c r="B2106" s="121"/>
      <c r="I2106" s="145"/>
      <c r="J2106" s="172" t="str">
        <f t="shared" si="62"/>
        <v/>
      </c>
      <c r="K2106" s="171">
        <f t="shared" si="64"/>
        <v>48</v>
      </c>
    </row>
    <row r="2107" spans="1:11" ht="15.75" thickBot="1" x14ac:dyDescent="0.25">
      <c r="A2107" s="109">
        <v>10</v>
      </c>
      <c r="B2107" s="121" t="s">
        <v>782</v>
      </c>
      <c r="F2107" s="317" t="s">
        <v>772</v>
      </c>
      <c r="G2107" s="204">
        <f>D2076-J2105-G2105+1</f>
        <v>53</v>
      </c>
      <c r="I2107" s="145" t="s">
        <v>965</v>
      </c>
      <c r="J2107" s="172">
        <f t="shared" si="62"/>
        <v>48</v>
      </c>
      <c r="K2107" s="171">
        <f t="shared" si="64"/>
        <v>48</v>
      </c>
    </row>
    <row r="2108" spans="1:11" ht="16.5" thickTop="1" thickBot="1" x14ac:dyDescent="0.25">
      <c r="B2108" s="246" t="s">
        <v>755</v>
      </c>
      <c r="C2108" s="139"/>
      <c r="D2108" s="323" t="s">
        <v>977</v>
      </c>
      <c r="E2108" s="118"/>
      <c r="F2108" s="321"/>
      <c r="G2108" s="118"/>
      <c r="H2108" s="117"/>
      <c r="I2108" s="152"/>
      <c r="J2108" s="172" t="str">
        <f t="shared" si="62"/>
        <v/>
      </c>
      <c r="K2108" s="171"/>
    </row>
    <row r="2109" spans="1:11" ht="15.75" thickTop="1" x14ac:dyDescent="0.2">
      <c r="B2109" s="138"/>
      <c r="D2109" s="321"/>
      <c r="E2109" s="118"/>
      <c r="F2109" s="321"/>
      <c r="G2109" s="118"/>
      <c r="H2109" s="117"/>
      <c r="J2109" s="172" t="str">
        <f t="shared" si="62"/>
        <v/>
      </c>
      <c r="K2109" s="171"/>
    </row>
    <row r="2110" spans="1:11" x14ac:dyDescent="0.2">
      <c r="A2110" s="247" t="s">
        <v>1</v>
      </c>
      <c r="B2110" s="248" t="s">
        <v>912</v>
      </c>
      <c r="C2110" s="249"/>
      <c r="D2110" s="342" t="s">
        <v>1114</v>
      </c>
      <c r="E2110" s="247"/>
      <c r="F2110" s="342"/>
      <c r="G2110" s="247"/>
      <c r="H2110" s="249"/>
      <c r="I2110" s="250"/>
      <c r="J2110" s="172" t="str">
        <f t="shared" si="62"/>
        <v/>
      </c>
      <c r="K2110" s="171"/>
    </row>
    <row r="2111" spans="1:11" x14ac:dyDescent="0.2">
      <c r="A2111" s="249"/>
      <c r="B2111" s="248" t="s">
        <v>757</v>
      </c>
      <c r="C2111" s="134"/>
      <c r="D2111" s="342">
        <f>G17</f>
        <v>100</v>
      </c>
      <c r="E2111" s="247" t="s">
        <v>758</v>
      </c>
      <c r="F2111" s="342"/>
      <c r="G2111" s="247"/>
      <c r="H2111" s="249"/>
      <c r="I2111" s="251"/>
      <c r="J2111" s="172" t="str">
        <f t="shared" si="62"/>
        <v/>
      </c>
      <c r="K2111" s="171"/>
    </row>
    <row r="2112" spans="1:11" x14ac:dyDescent="0.2">
      <c r="A2112" s="249"/>
      <c r="B2112" s="249"/>
      <c r="C2112" s="249"/>
      <c r="D2112" s="342"/>
      <c r="E2112" s="247"/>
      <c r="F2112" s="342"/>
      <c r="G2112" s="247"/>
      <c r="H2112" s="249"/>
      <c r="I2112" s="251"/>
      <c r="J2112" s="172" t="str">
        <f t="shared" si="62"/>
        <v/>
      </c>
      <c r="K2112" s="171"/>
    </row>
    <row r="2113" spans="1:11" s="108" customFormat="1" x14ac:dyDescent="0.2">
      <c r="A2113" s="165" t="s">
        <v>759</v>
      </c>
      <c r="B2113" s="166" t="s">
        <v>712</v>
      </c>
      <c r="C2113" s="167"/>
      <c r="D2113" s="327" t="s">
        <v>713</v>
      </c>
      <c r="E2113" s="168"/>
      <c r="F2113" s="327" t="s">
        <v>760</v>
      </c>
      <c r="G2113" s="156" t="s">
        <v>715</v>
      </c>
      <c r="H2113" s="167"/>
      <c r="I2113" s="169" t="s">
        <v>716</v>
      </c>
      <c r="J2113" s="172">
        <f t="shared" si="62"/>
        <v>0</v>
      </c>
      <c r="K2113" s="171"/>
    </row>
    <row r="2114" spans="1:11" x14ac:dyDescent="0.2">
      <c r="A2114" s="117" t="s">
        <v>1</v>
      </c>
      <c r="B2114" s="117"/>
      <c r="C2114" s="117"/>
      <c r="D2114" s="321"/>
      <c r="E2114" s="118"/>
      <c r="F2114" s="321"/>
      <c r="G2114" s="118"/>
      <c r="H2114" s="117"/>
      <c r="I2114" s="144"/>
      <c r="J2114" s="172" t="str">
        <f t="shared" si="62"/>
        <v/>
      </c>
      <c r="K2114" s="171"/>
    </row>
    <row r="2115" spans="1:11" x14ac:dyDescent="0.2">
      <c r="A2115" s="121" t="s">
        <v>1</v>
      </c>
      <c r="B2115" s="121" t="s">
        <v>762</v>
      </c>
      <c r="J2115" s="172" t="str">
        <f t="shared" ref="J2115:J2178" si="65">IF(A2115=1, 4,IF(G2115="", "",+K2115))</f>
        <v/>
      </c>
      <c r="K2115" s="171"/>
    </row>
    <row r="2116" spans="1:11" x14ac:dyDescent="0.2">
      <c r="A2116" s="109">
        <v>1</v>
      </c>
      <c r="B2116" s="121" t="s">
        <v>763</v>
      </c>
      <c r="D2116" s="317" t="s">
        <v>1116</v>
      </c>
      <c r="F2116" s="317" t="s">
        <v>701</v>
      </c>
      <c r="G2116" s="110">
        <v>4</v>
      </c>
      <c r="I2116" s="145" t="s">
        <v>765</v>
      </c>
      <c r="J2116" s="172">
        <f t="shared" si="65"/>
        <v>4</v>
      </c>
      <c r="K2116" s="171">
        <f t="shared" si="64"/>
        <v>1</v>
      </c>
    </row>
    <row r="2117" spans="1:11" x14ac:dyDescent="0.2">
      <c r="J2117" s="172" t="str">
        <f t="shared" si="65"/>
        <v/>
      </c>
      <c r="K2117" s="171">
        <f t="shared" si="64"/>
        <v>5</v>
      </c>
    </row>
    <row r="2118" spans="1:11" x14ac:dyDescent="0.2">
      <c r="A2118" s="109">
        <v>2</v>
      </c>
      <c r="B2118" s="121" t="s">
        <v>766</v>
      </c>
      <c r="D2118" s="317" t="s">
        <v>767</v>
      </c>
      <c r="F2118" s="317" t="s">
        <v>701</v>
      </c>
      <c r="G2118" s="110">
        <v>1</v>
      </c>
      <c r="I2118" s="145" t="s">
        <v>768</v>
      </c>
      <c r="J2118" s="172">
        <f t="shared" si="65"/>
        <v>5</v>
      </c>
      <c r="K2118" s="171">
        <f t="shared" si="64"/>
        <v>5</v>
      </c>
    </row>
    <row r="2119" spans="1:11" x14ac:dyDescent="0.2">
      <c r="J2119" s="172" t="str">
        <f t="shared" si="65"/>
        <v/>
      </c>
      <c r="K2119" s="171">
        <f t="shared" si="64"/>
        <v>6</v>
      </c>
    </row>
    <row r="2120" spans="1:11" x14ac:dyDescent="0.2">
      <c r="A2120" s="109">
        <v>3</v>
      </c>
      <c r="B2120" s="121" t="s">
        <v>769</v>
      </c>
      <c r="D2120" s="317" t="s">
        <v>770</v>
      </c>
      <c r="F2120" s="317" t="s">
        <v>701</v>
      </c>
      <c r="G2120" s="110">
        <v>4</v>
      </c>
      <c r="I2120" s="145" t="s">
        <v>768</v>
      </c>
      <c r="J2120" s="172">
        <f t="shared" si="65"/>
        <v>6</v>
      </c>
      <c r="K2120" s="171">
        <f t="shared" si="64"/>
        <v>6</v>
      </c>
    </row>
    <row r="2121" spans="1:11" x14ac:dyDescent="0.2">
      <c r="J2121" s="172" t="str">
        <f t="shared" si="65"/>
        <v/>
      </c>
      <c r="K2121" s="171">
        <f t="shared" si="64"/>
        <v>10</v>
      </c>
    </row>
    <row r="2122" spans="1:11" x14ac:dyDescent="0.2">
      <c r="A2122" s="109">
        <v>4</v>
      </c>
      <c r="B2122" s="121" t="s">
        <v>771</v>
      </c>
      <c r="F2122" s="317" t="s">
        <v>772</v>
      </c>
      <c r="G2122" s="110">
        <v>1</v>
      </c>
      <c r="I2122" s="145" t="s">
        <v>773</v>
      </c>
      <c r="J2122" s="172">
        <f t="shared" si="65"/>
        <v>10</v>
      </c>
      <c r="K2122" s="171">
        <f t="shared" si="64"/>
        <v>10</v>
      </c>
    </row>
    <row r="2123" spans="1:11" x14ac:dyDescent="0.2">
      <c r="J2123" s="172" t="str">
        <f t="shared" si="65"/>
        <v/>
      </c>
      <c r="K2123" s="171">
        <f t="shared" si="64"/>
        <v>11</v>
      </c>
    </row>
    <row r="2124" spans="1:11" x14ac:dyDescent="0.2">
      <c r="B2124" s="173" t="s">
        <v>1117</v>
      </c>
      <c r="J2124" s="172" t="str">
        <f t="shared" si="65"/>
        <v/>
      </c>
      <c r="K2124" s="171">
        <f t="shared" si="64"/>
        <v>11</v>
      </c>
    </row>
    <row r="2125" spans="1:11" x14ac:dyDescent="0.2">
      <c r="J2125" s="172" t="str">
        <f t="shared" si="65"/>
        <v/>
      </c>
      <c r="K2125" s="171">
        <f t="shared" si="64"/>
        <v>11</v>
      </c>
    </row>
    <row r="2126" spans="1:11" ht="30" x14ac:dyDescent="0.2">
      <c r="A2126" s="109">
        <v>5</v>
      </c>
      <c r="B2126" s="109" t="s">
        <v>854</v>
      </c>
      <c r="F2126" s="317" t="s">
        <v>772</v>
      </c>
      <c r="G2126" s="110">
        <v>1</v>
      </c>
      <c r="I2126" s="145" t="s">
        <v>855</v>
      </c>
      <c r="J2126" s="172">
        <f t="shared" si="65"/>
        <v>11</v>
      </c>
      <c r="K2126" s="171">
        <f t="shared" si="64"/>
        <v>11</v>
      </c>
    </row>
    <row r="2127" spans="1:11" x14ac:dyDescent="0.2">
      <c r="I2127" s="145" t="s">
        <v>856</v>
      </c>
      <c r="J2127" s="172" t="str">
        <f t="shared" si="65"/>
        <v/>
      </c>
      <c r="K2127" s="171">
        <f t="shared" si="64"/>
        <v>12</v>
      </c>
    </row>
    <row r="2128" spans="1:11" x14ac:dyDescent="0.2">
      <c r="I2128" s="145" t="s">
        <v>857</v>
      </c>
      <c r="J2128" s="172" t="str">
        <f t="shared" si="65"/>
        <v/>
      </c>
      <c r="K2128" s="171">
        <f t="shared" si="64"/>
        <v>12</v>
      </c>
    </row>
    <row r="2129" spans="1:11" x14ac:dyDescent="0.2">
      <c r="I2129" s="145"/>
      <c r="J2129" s="172" t="str">
        <f t="shared" si="65"/>
        <v/>
      </c>
      <c r="K2129" s="171">
        <f t="shared" si="64"/>
        <v>12</v>
      </c>
    </row>
    <row r="2130" spans="1:11" x14ac:dyDescent="0.2">
      <c r="A2130" s="109">
        <v>6</v>
      </c>
      <c r="B2130" s="109" t="s">
        <v>858</v>
      </c>
      <c r="F2130" s="317" t="s">
        <v>772</v>
      </c>
      <c r="G2130" s="110">
        <v>1</v>
      </c>
      <c r="I2130" s="145" t="s">
        <v>859</v>
      </c>
      <c r="J2130" s="172">
        <f t="shared" si="65"/>
        <v>12</v>
      </c>
      <c r="K2130" s="171">
        <f t="shared" si="64"/>
        <v>12</v>
      </c>
    </row>
    <row r="2131" spans="1:11" x14ac:dyDescent="0.2">
      <c r="I2131" s="145" t="s">
        <v>860</v>
      </c>
      <c r="J2131" s="172" t="str">
        <f t="shared" si="65"/>
        <v/>
      </c>
      <c r="K2131" s="171">
        <f t="shared" si="64"/>
        <v>13</v>
      </c>
    </row>
    <row r="2132" spans="1:11" x14ac:dyDescent="0.2">
      <c r="I2132" s="145" t="s">
        <v>861</v>
      </c>
      <c r="J2132" s="172" t="str">
        <f t="shared" si="65"/>
        <v/>
      </c>
      <c r="K2132" s="171">
        <f t="shared" si="64"/>
        <v>13</v>
      </c>
    </row>
    <row r="2133" spans="1:11" x14ac:dyDescent="0.2">
      <c r="I2133" s="145"/>
      <c r="J2133" s="172" t="str">
        <f t="shared" si="65"/>
        <v/>
      </c>
      <c r="K2133" s="171">
        <f t="shared" si="64"/>
        <v>13</v>
      </c>
    </row>
    <row r="2134" spans="1:11" x14ac:dyDescent="0.2">
      <c r="A2134" s="109">
        <v>7</v>
      </c>
      <c r="B2134" s="109" t="s">
        <v>862</v>
      </c>
      <c r="F2134" s="317" t="s">
        <v>772</v>
      </c>
      <c r="G2134" s="110">
        <v>17</v>
      </c>
      <c r="I2134" s="145" t="s">
        <v>863</v>
      </c>
      <c r="J2134" s="172">
        <f t="shared" si="65"/>
        <v>13</v>
      </c>
      <c r="K2134" s="171">
        <f t="shared" si="64"/>
        <v>13</v>
      </c>
    </row>
    <row r="2135" spans="1:11" x14ac:dyDescent="0.2">
      <c r="I2135" s="145"/>
      <c r="J2135" s="172" t="str">
        <f t="shared" si="65"/>
        <v/>
      </c>
      <c r="K2135" s="171">
        <f t="shared" si="64"/>
        <v>30</v>
      </c>
    </row>
    <row r="2136" spans="1:11" x14ac:dyDescent="0.2">
      <c r="A2136" s="109">
        <v>8</v>
      </c>
      <c r="B2136" s="109" t="s">
        <v>864</v>
      </c>
      <c r="D2136" s="317" t="s">
        <v>85</v>
      </c>
      <c r="F2136" s="317" t="s">
        <v>772</v>
      </c>
      <c r="G2136" s="110">
        <v>1</v>
      </c>
      <c r="I2136" s="145" t="s">
        <v>865</v>
      </c>
      <c r="J2136" s="172">
        <f t="shared" si="65"/>
        <v>30</v>
      </c>
      <c r="K2136" s="171">
        <f t="shared" si="64"/>
        <v>30</v>
      </c>
    </row>
    <row r="2137" spans="1:11" x14ac:dyDescent="0.2">
      <c r="I2137" s="145" t="s">
        <v>860</v>
      </c>
      <c r="J2137" s="172" t="str">
        <f t="shared" si="65"/>
        <v/>
      </c>
      <c r="K2137" s="171">
        <f t="shared" si="64"/>
        <v>31</v>
      </c>
    </row>
    <row r="2138" spans="1:11" x14ac:dyDescent="0.2">
      <c r="I2138" s="145" t="s">
        <v>861</v>
      </c>
      <c r="J2138" s="172" t="str">
        <f t="shared" si="65"/>
        <v/>
      </c>
      <c r="K2138" s="171">
        <f t="shared" si="64"/>
        <v>31</v>
      </c>
    </row>
    <row r="2139" spans="1:11" x14ac:dyDescent="0.2">
      <c r="I2139" s="145"/>
      <c r="J2139" s="172" t="str">
        <f t="shared" si="65"/>
        <v/>
      </c>
      <c r="K2139" s="171">
        <f t="shared" si="64"/>
        <v>31</v>
      </c>
    </row>
    <row r="2140" spans="1:11" x14ac:dyDescent="0.2">
      <c r="A2140" s="109">
        <v>9</v>
      </c>
      <c r="B2140" s="109" t="s">
        <v>866</v>
      </c>
      <c r="D2140" s="317" t="s">
        <v>85</v>
      </c>
      <c r="F2140" s="317" t="s">
        <v>772</v>
      </c>
      <c r="G2140" s="110">
        <v>17</v>
      </c>
      <c r="I2140" s="145" t="s">
        <v>867</v>
      </c>
      <c r="J2140" s="172">
        <f t="shared" si="65"/>
        <v>31</v>
      </c>
      <c r="K2140" s="171">
        <f t="shared" si="64"/>
        <v>31</v>
      </c>
    </row>
    <row r="2141" spans="1:11" x14ac:dyDescent="0.2">
      <c r="B2141" s="121"/>
      <c r="I2141" s="145"/>
      <c r="J2141" s="172" t="str">
        <f t="shared" si="65"/>
        <v/>
      </c>
      <c r="K2141" s="171">
        <f t="shared" si="64"/>
        <v>48</v>
      </c>
    </row>
    <row r="2142" spans="1:11" ht="15.75" thickBot="1" x14ac:dyDescent="0.25">
      <c r="A2142" s="109">
        <v>10</v>
      </c>
      <c r="B2142" s="121" t="s">
        <v>782</v>
      </c>
      <c r="F2142" s="317" t="s">
        <v>772</v>
      </c>
      <c r="G2142" s="204">
        <f>D2111-J2140-G2140+1</f>
        <v>53</v>
      </c>
      <c r="I2142" s="145" t="s">
        <v>965</v>
      </c>
      <c r="J2142" s="172">
        <f t="shared" si="65"/>
        <v>48</v>
      </c>
      <c r="K2142" s="171">
        <f t="shared" si="64"/>
        <v>48</v>
      </c>
    </row>
    <row r="2143" spans="1:11" ht="16.5" thickTop="1" thickBot="1" x14ac:dyDescent="0.25">
      <c r="B2143" s="224" t="s">
        <v>755</v>
      </c>
      <c r="C2143" s="139"/>
      <c r="D2143" s="323" t="s">
        <v>706</v>
      </c>
      <c r="E2143" s="118"/>
      <c r="F2143" s="321"/>
      <c r="G2143" s="118"/>
      <c r="H2143" s="117"/>
      <c r="I2143" s="152"/>
      <c r="J2143" s="172" t="str">
        <f t="shared" si="65"/>
        <v/>
      </c>
      <c r="K2143" s="171"/>
    </row>
    <row r="2144" spans="1:11" ht="15.75" thickTop="1" x14ac:dyDescent="0.2">
      <c r="B2144" s="138"/>
      <c r="D2144" s="321"/>
      <c r="E2144" s="118"/>
      <c r="F2144" s="321"/>
      <c r="G2144" s="118"/>
      <c r="H2144" s="117"/>
      <c r="J2144" s="172" t="str">
        <f t="shared" si="65"/>
        <v/>
      </c>
      <c r="K2144" s="171"/>
    </row>
    <row r="2145" spans="1:11" x14ac:dyDescent="0.2">
      <c r="A2145" s="228" t="s">
        <v>1</v>
      </c>
      <c r="B2145" s="226" t="s">
        <v>756</v>
      </c>
      <c r="C2145" s="227"/>
      <c r="D2145" s="337" t="s">
        <v>1118</v>
      </c>
      <c r="E2145" s="228"/>
      <c r="F2145" s="337"/>
      <c r="G2145" s="228"/>
      <c r="H2145" s="227"/>
      <c r="I2145" s="229" t="s">
        <v>1115</v>
      </c>
      <c r="J2145" s="172" t="str">
        <f t="shared" si="65"/>
        <v/>
      </c>
      <c r="K2145" s="171"/>
    </row>
    <row r="2146" spans="1:11" x14ac:dyDescent="0.2">
      <c r="A2146" s="227"/>
      <c r="B2146" s="226" t="s">
        <v>757</v>
      </c>
      <c r="C2146" s="131"/>
      <c r="D2146" s="337">
        <f>F18</f>
        <v>100</v>
      </c>
      <c r="E2146" s="228"/>
      <c r="F2146" s="337"/>
      <c r="G2146" s="228"/>
      <c r="H2146" s="227"/>
      <c r="I2146" s="231"/>
      <c r="J2146" s="172" t="str">
        <f t="shared" si="65"/>
        <v/>
      </c>
      <c r="K2146" s="171"/>
    </row>
    <row r="2147" spans="1:11" x14ac:dyDescent="0.2">
      <c r="A2147" s="227"/>
      <c r="B2147" s="227"/>
      <c r="C2147" s="227"/>
      <c r="D2147" s="337"/>
      <c r="E2147" s="228"/>
      <c r="F2147" s="337"/>
      <c r="G2147" s="228"/>
      <c r="H2147" s="227"/>
      <c r="I2147" s="231"/>
      <c r="J2147" s="172" t="str">
        <f t="shared" si="65"/>
        <v/>
      </c>
      <c r="K2147" s="171"/>
    </row>
    <row r="2148" spans="1:11" s="108" customFormat="1" x14ac:dyDescent="0.2">
      <c r="A2148" s="165" t="s">
        <v>759</v>
      </c>
      <c r="B2148" s="166" t="s">
        <v>712</v>
      </c>
      <c r="C2148" s="167"/>
      <c r="D2148" s="327" t="s">
        <v>713</v>
      </c>
      <c r="E2148" s="168"/>
      <c r="F2148" s="327" t="s">
        <v>760</v>
      </c>
      <c r="G2148" s="156" t="s">
        <v>715</v>
      </c>
      <c r="H2148" s="167"/>
      <c r="I2148" s="169" t="s">
        <v>716</v>
      </c>
      <c r="J2148" s="172">
        <f t="shared" si="65"/>
        <v>0</v>
      </c>
      <c r="K2148" s="171"/>
    </row>
    <row r="2149" spans="1:11" x14ac:dyDescent="0.2">
      <c r="A2149" s="117" t="s">
        <v>1</v>
      </c>
      <c r="B2149" s="117"/>
      <c r="C2149" s="117"/>
      <c r="D2149" s="321"/>
      <c r="E2149" s="118"/>
      <c r="F2149" s="321"/>
      <c r="G2149" s="118"/>
      <c r="H2149" s="117"/>
      <c r="I2149" s="144"/>
      <c r="J2149" s="172" t="str">
        <f t="shared" si="65"/>
        <v/>
      </c>
      <c r="K2149" s="171"/>
    </row>
    <row r="2150" spans="1:11" x14ac:dyDescent="0.2">
      <c r="A2150" s="121" t="s">
        <v>1</v>
      </c>
      <c r="B2150" s="121" t="s">
        <v>762</v>
      </c>
      <c r="J2150" s="172" t="str">
        <f t="shared" si="65"/>
        <v/>
      </c>
      <c r="K2150" s="171"/>
    </row>
    <row r="2151" spans="1:11" x14ac:dyDescent="0.2">
      <c r="A2151" s="109">
        <v>1</v>
      </c>
      <c r="B2151" s="121" t="s">
        <v>763</v>
      </c>
      <c r="D2151" s="317" t="s">
        <v>1119</v>
      </c>
      <c r="F2151" s="317" t="s">
        <v>701</v>
      </c>
      <c r="G2151" s="110">
        <v>4</v>
      </c>
      <c r="I2151" s="145" t="s">
        <v>765</v>
      </c>
      <c r="J2151" s="172">
        <f t="shared" si="65"/>
        <v>4</v>
      </c>
      <c r="K2151" s="171">
        <f t="shared" ref="K2151:K2192" si="66">IF(A2151=1,1,+K2150+G2150)</f>
        <v>1</v>
      </c>
    </row>
    <row r="2152" spans="1:11" x14ac:dyDescent="0.2">
      <c r="J2152" s="172" t="str">
        <f t="shared" si="65"/>
        <v/>
      </c>
      <c r="K2152" s="171">
        <f t="shared" si="66"/>
        <v>5</v>
      </c>
    </row>
    <row r="2153" spans="1:11" x14ac:dyDescent="0.2">
      <c r="A2153" s="109">
        <v>2</v>
      </c>
      <c r="B2153" s="121" t="s">
        <v>766</v>
      </c>
      <c r="D2153" s="317" t="s">
        <v>767</v>
      </c>
      <c r="F2153" s="317" t="s">
        <v>701</v>
      </c>
      <c r="G2153" s="110">
        <v>1</v>
      </c>
      <c r="I2153" s="145" t="s">
        <v>768</v>
      </c>
      <c r="J2153" s="172">
        <f t="shared" si="65"/>
        <v>5</v>
      </c>
      <c r="K2153" s="171">
        <f t="shared" si="66"/>
        <v>5</v>
      </c>
    </row>
    <row r="2154" spans="1:11" x14ac:dyDescent="0.2">
      <c r="J2154" s="172" t="str">
        <f t="shared" si="65"/>
        <v/>
      </c>
      <c r="K2154" s="171">
        <f t="shared" si="66"/>
        <v>6</v>
      </c>
    </row>
    <row r="2155" spans="1:11" x14ac:dyDescent="0.2">
      <c r="A2155" s="109">
        <v>3</v>
      </c>
      <c r="B2155" s="121" t="s">
        <v>769</v>
      </c>
      <c r="D2155" s="317" t="s">
        <v>770</v>
      </c>
      <c r="F2155" s="317" t="s">
        <v>701</v>
      </c>
      <c r="G2155" s="110">
        <v>4</v>
      </c>
      <c r="I2155" s="145" t="s">
        <v>768</v>
      </c>
      <c r="J2155" s="172">
        <f t="shared" si="65"/>
        <v>6</v>
      </c>
      <c r="K2155" s="171">
        <f t="shared" si="66"/>
        <v>6</v>
      </c>
    </row>
    <row r="2156" spans="1:11" x14ac:dyDescent="0.2">
      <c r="J2156" s="172" t="str">
        <f t="shared" si="65"/>
        <v/>
      </c>
      <c r="K2156" s="171">
        <f t="shared" si="66"/>
        <v>10</v>
      </c>
    </row>
    <row r="2157" spans="1:11" x14ac:dyDescent="0.2">
      <c r="A2157" s="109">
        <v>4</v>
      </c>
      <c r="B2157" s="121" t="s">
        <v>771</v>
      </c>
      <c r="F2157" s="317" t="s">
        <v>772</v>
      </c>
      <c r="G2157" s="110">
        <v>1</v>
      </c>
      <c r="I2157" s="145" t="s">
        <v>773</v>
      </c>
      <c r="J2157" s="172">
        <f t="shared" si="65"/>
        <v>10</v>
      </c>
      <c r="K2157" s="171">
        <f t="shared" si="66"/>
        <v>10</v>
      </c>
    </row>
    <row r="2158" spans="1:11" x14ac:dyDescent="0.2">
      <c r="J2158" s="172" t="str">
        <f t="shared" si="65"/>
        <v/>
      </c>
      <c r="K2158" s="171">
        <f t="shared" si="66"/>
        <v>11</v>
      </c>
    </row>
    <row r="2159" spans="1:11" x14ac:dyDescent="0.2">
      <c r="B2159" s="173" t="s">
        <v>1117</v>
      </c>
      <c r="J2159" s="172" t="str">
        <f t="shared" si="65"/>
        <v/>
      </c>
      <c r="K2159" s="171">
        <f t="shared" si="66"/>
        <v>11</v>
      </c>
    </row>
    <row r="2160" spans="1:11" x14ac:dyDescent="0.2">
      <c r="J2160" s="172" t="str">
        <f t="shared" si="65"/>
        <v/>
      </c>
      <c r="K2160" s="171">
        <f t="shared" si="66"/>
        <v>11</v>
      </c>
    </row>
    <row r="2161" spans="1:11" ht="30" x14ac:dyDescent="0.2">
      <c r="A2161" s="154">
        <v>5</v>
      </c>
      <c r="B2161" s="121" t="s">
        <v>1120</v>
      </c>
      <c r="F2161" s="317" t="s">
        <v>772</v>
      </c>
      <c r="G2161" s="110">
        <v>1</v>
      </c>
      <c r="I2161" s="145" t="s">
        <v>1121</v>
      </c>
      <c r="J2161" s="172">
        <f t="shared" si="65"/>
        <v>11</v>
      </c>
      <c r="K2161" s="171">
        <f t="shared" si="66"/>
        <v>11</v>
      </c>
    </row>
    <row r="2162" spans="1:11" x14ac:dyDescent="0.2">
      <c r="A2162" s="154"/>
      <c r="B2162" s="121"/>
      <c r="I2162" s="145" t="s">
        <v>1122</v>
      </c>
      <c r="J2162" s="172" t="str">
        <f t="shared" si="65"/>
        <v/>
      </c>
      <c r="K2162" s="171">
        <f t="shared" si="66"/>
        <v>12</v>
      </c>
    </row>
    <row r="2163" spans="1:11" x14ac:dyDescent="0.2">
      <c r="A2163" s="154"/>
      <c r="B2163" s="121"/>
      <c r="I2163" s="145" t="s">
        <v>1123</v>
      </c>
      <c r="J2163" s="172" t="str">
        <f t="shared" si="65"/>
        <v/>
      </c>
      <c r="K2163" s="171">
        <f t="shared" si="66"/>
        <v>12</v>
      </c>
    </row>
    <row r="2164" spans="1:11" x14ac:dyDescent="0.2">
      <c r="A2164" s="154"/>
      <c r="B2164" s="121"/>
      <c r="I2164" s="145"/>
      <c r="J2164" s="172" t="str">
        <f t="shared" si="65"/>
        <v/>
      </c>
      <c r="K2164" s="171">
        <f t="shared" si="66"/>
        <v>12</v>
      </c>
    </row>
    <row r="2165" spans="1:11" x14ac:dyDescent="0.2">
      <c r="A2165" s="109">
        <v>6</v>
      </c>
      <c r="B2165" s="121" t="s">
        <v>1124</v>
      </c>
      <c r="F2165" s="317" t="s">
        <v>772</v>
      </c>
      <c r="G2165" s="110">
        <v>2</v>
      </c>
      <c r="I2165" s="145" t="s">
        <v>1124</v>
      </c>
      <c r="J2165" s="172">
        <f t="shared" si="65"/>
        <v>12</v>
      </c>
      <c r="K2165" s="171">
        <f>IF(A2165=1,1,+K2164+G2164)</f>
        <v>12</v>
      </c>
    </row>
    <row r="2166" spans="1:11" x14ac:dyDescent="0.2">
      <c r="B2166" s="121"/>
      <c r="I2166" s="145"/>
      <c r="J2166" s="172"/>
      <c r="K2166" s="171">
        <f>IF(A2166=1,1,+K2165+G2165)</f>
        <v>14</v>
      </c>
    </row>
    <row r="2167" spans="1:11" ht="15.75" thickBot="1" x14ac:dyDescent="0.25">
      <c r="A2167" s="109">
        <v>7</v>
      </c>
      <c r="B2167" s="121" t="s">
        <v>782</v>
      </c>
      <c r="F2167" s="317" t="s">
        <v>772</v>
      </c>
      <c r="G2167" s="204">
        <f>D2146-J2165-G2165+1</f>
        <v>87</v>
      </c>
      <c r="I2167" s="145" t="s">
        <v>965</v>
      </c>
      <c r="J2167" s="172">
        <f t="shared" si="65"/>
        <v>14</v>
      </c>
      <c r="K2167" s="171">
        <f>IF(A2167=1,1,+K2165+G2165)</f>
        <v>14</v>
      </c>
    </row>
    <row r="2168" spans="1:11" ht="16.5" thickTop="1" thickBot="1" x14ac:dyDescent="0.25">
      <c r="B2168" s="224" t="s">
        <v>755</v>
      </c>
      <c r="C2168" s="139"/>
      <c r="D2168" s="323" t="s">
        <v>977</v>
      </c>
      <c r="E2168" s="118"/>
      <c r="F2168" s="321"/>
      <c r="G2168" s="118"/>
      <c r="H2168" s="117"/>
      <c r="I2168" s="152"/>
      <c r="J2168" s="172" t="str">
        <f t="shared" si="65"/>
        <v/>
      </c>
      <c r="K2168" s="171"/>
    </row>
    <row r="2169" spans="1:11" ht="15.75" thickTop="1" x14ac:dyDescent="0.2">
      <c r="B2169" s="138"/>
      <c r="D2169" s="321"/>
      <c r="E2169" s="118"/>
      <c r="F2169" s="321"/>
      <c r="G2169" s="118"/>
      <c r="H2169" s="117"/>
      <c r="J2169" s="172" t="str">
        <f t="shared" si="65"/>
        <v/>
      </c>
      <c r="K2169" s="171"/>
    </row>
    <row r="2170" spans="1:11" x14ac:dyDescent="0.2">
      <c r="A2170" s="228" t="s">
        <v>1</v>
      </c>
      <c r="B2170" s="226" t="s">
        <v>912</v>
      </c>
      <c r="C2170" s="227"/>
      <c r="D2170" s="337" t="s">
        <v>1118</v>
      </c>
      <c r="E2170" s="228"/>
      <c r="F2170" s="337"/>
      <c r="G2170" s="228"/>
      <c r="H2170" s="227"/>
      <c r="I2170" s="229"/>
      <c r="J2170" s="172" t="str">
        <f t="shared" si="65"/>
        <v/>
      </c>
      <c r="K2170" s="171"/>
    </row>
    <row r="2171" spans="1:11" x14ac:dyDescent="0.2">
      <c r="A2171" s="227"/>
      <c r="B2171" s="226" t="s">
        <v>757</v>
      </c>
      <c r="C2171" s="131"/>
      <c r="D2171" s="337">
        <f>G18</f>
        <v>100</v>
      </c>
      <c r="E2171" s="228" t="s">
        <v>758</v>
      </c>
      <c r="F2171" s="337"/>
      <c r="G2171" s="228"/>
      <c r="H2171" s="227"/>
      <c r="I2171" s="231"/>
      <c r="J2171" s="172" t="str">
        <f t="shared" si="65"/>
        <v/>
      </c>
      <c r="K2171" s="171"/>
    </row>
    <row r="2172" spans="1:11" x14ac:dyDescent="0.2">
      <c r="A2172" s="227"/>
      <c r="B2172" s="227"/>
      <c r="C2172" s="227"/>
      <c r="D2172" s="337"/>
      <c r="E2172" s="228"/>
      <c r="F2172" s="337"/>
      <c r="G2172" s="228"/>
      <c r="H2172" s="227"/>
      <c r="I2172" s="231"/>
      <c r="J2172" s="172" t="str">
        <f t="shared" si="65"/>
        <v/>
      </c>
      <c r="K2172" s="171"/>
    </row>
    <row r="2173" spans="1:11" s="108" customFormat="1" x14ac:dyDescent="0.2">
      <c r="A2173" s="165" t="s">
        <v>759</v>
      </c>
      <c r="B2173" s="166" t="s">
        <v>712</v>
      </c>
      <c r="C2173" s="167"/>
      <c r="D2173" s="327" t="s">
        <v>713</v>
      </c>
      <c r="E2173" s="168"/>
      <c r="F2173" s="327" t="s">
        <v>760</v>
      </c>
      <c r="G2173" s="156" t="s">
        <v>715</v>
      </c>
      <c r="H2173" s="167"/>
      <c r="I2173" s="169" t="s">
        <v>716</v>
      </c>
      <c r="J2173" s="172">
        <f t="shared" si="65"/>
        <v>0</v>
      </c>
      <c r="K2173" s="171"/>
    </row>
    <row r="2174" spans="1:11" x14ac:dyDescent="0.2">
      <c r="A2174" s="117" t="s">
        <v>1</v>
      </c>
      <c r="B2174" s="117"/>
      <c r="C2174" s="117"/>
      <c r="D2174" s="321"/>
      <c r="E2174" s="118"/>
      <c r="F2174" s="321"/>
      <c r="G2174" s="118"/>
      <c r="H2174" s="117"/>
      <c r="I2174" s="144"/>
      <c r="J2174" s="172" t="str">
        <f t="shared" si="65"/>
        <v/>
      </c>
      <c r="K2174" s="171"/>
    </row>
    <row r="2175" spans="1:11" x14ac:dyDescent="0.2">
      <c r="A2175" s="121" t="s">
        <v>1</v>
      </c>
      <c r="B2175" s="121" t="s">
        <v>762</v>
      </c>
      <c r="J2175" s="172" t="str">
        <f t="shared" si="65"/>
        <v/>
      </c>
      <c r="K2175" s="171"/>
    </row>
    <row r="2176" spans="1:11" x14ac:dyDescent="0.2">
      <c r="A2176" s="109">
        <v>1</v>
      </c>
      <c r="B2176" s="121" t="s">
        <v>763</v>
      </c>
      <c r="D2176" s="317" t="s">
        <v>1119</v>
      </c>
      <c r="F2176" s="317" t="s">
        <v>701</v>
      </c>
      <c r="G2176" s="110">
        <v>4</v>
      </c>
      <c r="I2176" s="145" t="s">
        <v>765</v>
      </c>
      <c r="J2176" s="172">
        <f t="shared" si="65"/>
        <v>4</v>
      </c>
      <c r="K2176" s="171">
        <f t="shared" si="66"/>
        <v>1</v>
      </c>
    </row>
    <row r="2177" spans="1:11" x14ac:dyDescent="0.2">
      <c r="B2177" s="109" t="s">
        <v>1</v>
      </c>
      <c r="J2177" s="172" t="str">
        <f t="shared" si="65"/>
        <v/>
      </c>
      <c r="K2177" s="171">
        <f t="shared" si="66"/>
        <v>5</v>
      </c>
    </row>
    <row r="2178" spans="1:11" x14ac:dyDescent="0.2">
      <c r="A2178" s="109">
        <v>2</v>
      </c>
      <c r="B2178" s="121" t="s">
        <v>766</v>
      </c>
      <c r="D2178" s="317" t="s">
        <v>767</v>
      </c>
      <c r="F2178" s="317" t="s">
        <v>701</v>
      </c>
      <c r="G2178" s="110">
        <v>1</v>
      </c>
      <c r="I2178" s="145" t="s">
        <v>768</v>
      </c>
      <c r="J2178" s="172">
        <f t="shared" si="65"/>
        <v>5</v>
      </c>
      <c r="K2178" s="171">
        <f t="shared" si="66"/>
        <v>5</v>
      </c>
    </row>
    <row r="2179" spans="1:11" x14ac:dyDescent="0.2">
      <c r="J2179" s="172" t="str">
        <f t="shared" ref="J2179:J2242" si="67">IF(A2179=1, 4,IF(G2179="", "",+K2179))</f>
        <v/>
      </c>
      <c r="K2179" s="171">
        <f t="shared" si="66"/>
        <v>6</v>
      </c>
    </row>
    <row r="2180" spans="1:11" x14ac:dyDescent="0.2">
      <c r="A2180" s="109">
        <v>3</v>
      </c>
      <c r="B2180" s="121" t="s">
        <v>769</v>
      </c>
      <c r="D2180" s="317" t="s">
        <v>770</v>
      </c>
      <c r="F2180" s="317" t="s">
        <v>701</v>
      </c>
      <c r="G2180" s="110">
        <v>4</v>
      </c>
      <c r="I2180" s="145" t="s">
        <v>768</v>
      </c>
      <c r="J2180" s="172">
        <f t="shared" si="67"/>
        <v>6</v>
      </c>
      <c r="K2180" s="171">
        <f t="shared" si="66"/>
        <v>6</v>
      </c>
    </row>
    <row r="2181" spans="1:11" x14ac:dyDescent="0.2">
      <c r="J2181" s="172" t="str">
        <f t="shared" si="67"/>
        <v/>
      </c>
      <c r="K2181" s="171">
        <f t="shared" si="66"/>
        <v>10</v>
      </c>
    </row>
    <row r="2182" spans="1:11" x14ac:dyDescent="0.2">
      <c r="A2182" s="109">
        <v>4</v>
      </c>
      <c r="B2182" s="121" t="s">
        <v>771</v>
      </c>
      <c r="F2182" s="317" t="s">
        <v>772</v>
      </c>
      <c r="G2182" s="110">
        <v>1</v>
      </c>
      <c r="I2182" s="145" t="s">
        <v>773</v>
      </c>
      <c r="J2182" s="172">
        <f t="shared" si="67"/>
        <v>10</v>
      </c>
      <c r="K2182" s="171">
        <f t="shared" si="66"/>
        <v>10</v>
      </c>
    </row>
    <row r="2183" spans="1:11" x14ac:dyDescent="0.2">
      <c r="J2183" s="172" t="str">
        <f t="shared" si="67"/>
        <v/>
      </c>
      <c r="K2183" s="171">
        <f t="shared" si="66"/>
        <v>11</v>
      </c>
    </row>
    <row r="2184" spans="1:11" x14ac:dyDescent="0.2">
      <c r="B2184" s="173" t="s">
        <v>1117</v>
      </c>
      <c r="J2184" s="172" t="str">
        <f t="shared" si="67"/>
        <v/>
      </c>
      <c r="K2184" s="171">
        <f t="shared" si="66"/>
        <v>11</v>
      </c>
    </row>
    <row r="2185" spans="1:11" x14ac:dyDescent="0.2">
      <c r="J2185" s="172" t="str">
        <f t="shared" si="67"/>
        <v/>
      </c>
      <c r="K2185" s="171">
        <f t="shared" si="66"/>
        <v>11</v>
      </c>
    </row>
    <row r="2186" spans="1:11" ht="30" x14ac:dyDescent="0.2">
      <c r="A2186" s="154">
        <v>5</v>
      </c>
      <c r="B2186" s="121" t="s">
        <v>1120</v>
      </c>
      <c r="F2186" s="317" t="s">
        <v>772</v>
      </c>
      <c r="G2186" s="110">
        <v>1</v>
      </c>
      <c r="I2186" s="145" t="s">
        <v>1121</v>
      </c>
      <c r="J2186" s="172">
        <f t="shared" si="67"/>
        <v>11</v>
      </c>
      <c r="K2186" s="171">
        <f t="shared" si="66"/>
        <v>11</v>
      </c>
    </row>
    <row r="2187" spans="1:11" x14ac:dyDescent="0.2">
      <c r="A2187" s="154"/>
      <c r="B2187" s="121"/>
      <c r="I2187" s="145" t="s">
        <v>1122</v>
      </c>
      <c r="J2187" s="172" t="str">
        <f t="shared" si="67"/>
        <v/>
      </c>
      <c r="K2187" s="171">
        <f t="shared" si="66"/>
        <v>12</v>
      </c>
    </row>
    <row r="2188" spans="1:11" x14ac:dyDescent="0.2">
      <c r="A2188" s="154"/>
      <c r="B2188" s="121"/>
      <c r="I2188" s="145" t="s">
        <v>1123</v>
      </c>
      <c r="J2188" s="172" t="str">
        <f t="shared" si="67"/>
        <v/>
      </c>
      <c r="K2188" s="171">
        <f t="shared" si="66"/>
        <v>12</v>
      </c>
    </row>
    <row r="2189" spans="1:11" x14ac:dyDescent="0.2">
      <c r="A2189" s="154"/>
      <c r="B2189" s="121"/>
      <c r="I2189" s="145"/>
      <c r="J2189" s="172" t="str">
        <f t="shared" si="67"/>
        <v/>
      </c>
      <c r="K2189" s="171">
        <f t="shared" si="66"/>
        <v>12</v>
      </c>
    </row>
    <row r="2190" spans="1:11" x14ac:dyDescent="0.2">
      <c r="A2190" s="154">
        <v>6</v>
      </c>
      <c r="B2190" s="109" t="s">
        <v>1125</v>
      </c>
      <c r="D2190" s="317" t="s">
        <v>792</v>
      </c>
      <c r="F2190" s="317" t="s">
        <v>701</v>
      </c>
      <c r="G2190" s="110">
        <v>8</v>
      </c>
      <c r="I2190" s="111" t="s">
        <v>1126</v>
      </c>
      <c r="J2190" s="172">
        <f t="shared" si="67"/>
        <v>12</v>
      </c>
      <c r="K2190" s="171">
        <f t="shared" si="66"/>
        <v>12</v>
      </c>
    </row>
    <row r="2191" spans="1:11" x14ac:dyDescent="0.2">
      <c r="A2191" s="154"/>
      <c r="J2191" s="172" t="str">
        <f t="shared" si="67"/>
        <v/>
      </c>
      <c r="K2191" s="171">
        <f t="shared" si="66"/>
        <v>20</v>
      </c>
    </row>
    <row r="2192" spans="1:11" ht="15.75" thickBot="1" x14ac:dyDescent="0.25">
      <c r="A2192" s="109">
        <v>7</v>
      </c>
      <c r="B2192" s="121" t="s">
        <v>782</v>
      </c>
      <c r="F2192" s="317" t="s">
        <v>772</v>
      </c>
      <c r="G2192" s="204">
        <f>D2171-J2190-G2190+1</f>
        <v>81</v>
      </c>
      <c r="I2192" s="145" t="s">
        <v>965</v>
      </c>
      <c r="J2192" s="172">
        <f t="shared" si="67"/>
        <v>20</v>
      </c>
      <c r="K2192" s="171">
        <f t="shared" si="66"/>
        <v>20</v>
      </c>
    </row>
    <row r="2193" spans="1:11" ht="16.5" thickTop="1" thickBot="1" x14ac:dyDescent="0.25">
      <c r="B2193" s="252" t="s">
        <v>755</v>
      </c>
      <c r="C2193" s="139"/>
      <c r="D2193" s="323" t="s">
        <v>706</v>
      </c>
      <c r="E2193" s="118"/>
      <c r="F2193" s="321"/>
      <c r="G2193" s="118"/>
      <c r="H2193" s="117"/>
      <c r="I2193" s="152"/>
      <c r="J2193" s="172" t="str">
        <f t="shared" si="67"/>
        <v/>
      </c>
      <c r="K2193" s="171"/>
    </row>
    <row r="2194" spans="1:11" ht="15.75" thickTop="1" x14ac:dyDescent="0.2">
      <c r="B2194" s="138"/>
      <c r="D2194" s="321"/>
      <c r="E2194" s="118"/>
      <c r="F2194" s="321"/>
      <c r="G2194" s="118"/>
      <c r="H2194" s="117"/>
      <c r="J2194" s="172" t="str">
        <f t="shared" si="67"/>
        <v/>
      </c>
      <c r="K2194" s="171"/>
    </row>
    <row r="2195" spans="1:11" x14ac:dyDescent="0.2">
      <c r="A2195" s="253" t="s">
        <v>1</v>
      </c>
      <c r="B2195" s="254" t="s">
        <v>756</v>
      </c>
      <c r="C2195" s="255"/>
      <c r="D2195" s="343" t="s">
        <v>1127</v>
      </c>
      <c r="E2195" s="253"/>
      <c r="F2195" s="343"/>
      <c r="G2195" s="253"/>
      <c r="H2195" s="255"/>
      <c r="I2195" s="256" t="s">
        <v>1128</v>
      </c>
      <c r="J2195" s="172" t="str">
        <f t="shared" si="67"/>
        <v/>
      </c>
      <c r="K2195" s="171"/>
    </row>
    <row r="2196" spans="1:11" x14ac:dyDescent="0.2">
      <c r="A2196" s="255"/>
      <c r="B2196" s="254" t="s">
        <v>757</v>
      </c>
      <c r="C2196" s="135"/>
      <c r="D2196" s="343">
        <f>F19</f>
        <v>100</v>
      </c>
      <c r="E2196" s="253"/>
      <c r="F2196" s="343"/>
      <c r="G2196" s="253"/>
      <c r="H2196" s="255"/>
      <c r="I2196" s="257"/>
      <c r="J2196" s="172" t="str">
        <f t="shared" si="67"/>
        <v/>
      </c>
      <c r="K2196" s="171"/>
    </row>
    <row r="2197" spans="1:11" x14ac:dyDescent="0.2">
      <c r="A2197" s="255"/>
      <c r="B2197" s="255"/>
      <c r="C2197" s="255"/>
      <c r="D2197" s="343"/>
      <c r="E2197" s="253"/>
      <c r="F2197" s="343"/>
      <c r="G2197" s="253"/>
      <c r="H2197" s="255"/>
      <c r="I2197" s="257"/>
      <c r="J2197" s="172" t="str">
        <f t="shared" si="67"/>
        <v/>
      </c>
      <c r="K2197" s="171"/>
    </row>
    <row r="2198" spans="1:11" s="108" customFormat="1" x14ac:dyDescent="0.2">
      <c r="A2198" s="165" t="s">
        <v>759</v>
      </c>
      <c r="B2198" s="166" t="s">
        <v>712</v>
      </c>
      <c r="C2198" s="167"/>
      <c r="D2198" s="327" t="s">
        <v>713</v>
      </c>
      <c r="E2198" s="168"/>
      <c r="F2198" s="327" t="s">
        <v>760</v>
      </c>
      <c r="G2198" s="156" t="s">
        <v>715</v>
      </c>
      <c r="H2198" s="167"/>
      <c r="I2198" s="169" t="s">
        <v>716</v>
      </c>
      <c r="J2198" s="172">
        <f t="shared" si="67"/>
        <v>0</v>
      </c>
      <c r="K2198" s="171"/>
    </row>
    <row r="2199" spans="1:11" x14ac:dyDescent="0.2">
      <c r="A2199" s="117" t="s">
        <v>1</v>
      </c>
      <c r="B2199" s="117"/>
      <c r="C2199" s="117"/>
      <c r="D2199" s="321"/>
      <c r="E2199" s="118"/>
      <c r="F2199" s="321"/>
      <c r="G2199" s="118"/>
      <c r="H2199" s="117"/>
      <c r="I2199" s="144"/>
      <c r="J2199" s="172" t="str">
        <f t="shared" si="67"/>
        <v/>
      </c>
      <c r="K2199" s="171"/>
    </row>
    <row r="2200" spans="1:11" x14ac:dyDescent="0.2">
      <c r="A2200" s="121" t="s">
        <v>1</v>
      </c>
      <c r="B2200" s="121" t="s">
        <v>762</v>
      </c>
      <c r="J2200" s="172" t="str">
        <f t="shared" si="67"/>
        <v/>
      </c>
      <c r="K2200" s="171"/>
    </row>
    <row r="2201" spans="1:11" x14ac:dyDescent="0.2">
      <c r="A2201" s="109">
        <v>1</v>
      </c>
      <c r="B2201" s="121" t="s">
        <v>763</v>
      </c>
      <c r="D2201" s="317" t="s">
        <v>1129</v>
      </c>
      <c r="F2201" s="317" t="s">
        <v>701</v>
      </c>
      <c r="G2201" s="110">
        <v>4</v>
      </c>
      <c r="I2201" s="145" t="s">
        <v>765</v>
      </c>
      <c r="J2201" s="172">
        <f t="shared" si="67"/>
        <v>4</v>
      </c>
      <c r="K2201" s="171">
        <f t="shared" ref="K2201:K2243" si="68">IF(A2201=1,1,+K2200+G2200)</f>
        <v>1</v>
      </c>
    </row>
    <row r="2202" spans="1:11" x14ac:dyDescent="0.2">
      <c r="J2202" s="172" t="str">
        <f t="shared" si="67"/>
        <v/>
      </c>
      <c r="K2202" s="171">
        <f t="shared" si="68"/>
        <v>5</v>
      </c>
    </row>
    <row r="2203" spans="1:11" x14ac:dyDescent="0.2">
      <c r="A2203" s="109">
        <v>2</v>
      </c>
      <c r="B2203" s="121" t="s">
        <v>766</v>
      </c>
      <c r="D2203" s="317" t="s">
        <v>767</v>
      </c>
      <c r="F2203" s="317" t="s">
        <v>701</v>
      </c>
      <c r="G2203" s="110">
        <v>1</v>
      </c>
      <c r="I2203" s="145" t="s">
        <v>768</v>
      </c>
      <c r="J2203" s="172">
        <f t="shared" si="67"/>
        <v>5</v>
      </c>
      <c r="K2203" s="171">
        <f t="shared" si="68"/>
        <v>5</v>
      </c>
    </row>
    <row r="2204" spans="1:11" x14ac:dyDescent="0.2">
      <c r="J2204" s="172" t="str">
        <f t="shared" si="67"/>
        <v/>
      </c>
      <c r="K2204" s="171">
        <f t="shared" si="68"/>
        <v>6</v>
      </c>
    </row>
    <row r="2205" spans="1:11" x14ac:dyDescent="0.2">
      <c r="A2205" s="109">
        <v>3</v>
      </c>
      <c r="B2205" s="121" t="s">
        <v>769</v>
      </c>
      <c r="D2205" s="317" t="s">
        <v>770</v>
      </c>
      <c r="F2205" s="317" t="s">
        <v>701</v>
      </c>
      <c r="G2205" s="110">
        <v>4</v>
      </c>
      <c r="I2205" s="145" t="s">
        <v>768</v>
      </c>
      <c r="J2205" s="172">
        <f t="shared" si="67"/>
        <v>6</v>
      </c>
      <c r="K2205" s="171">
        <f t="shared" si="68"/>
        <v>6</v>
      </c>
    </row>
    <row r="2206" spans="1:11" x14ac:dyDescent="0.2">
      <c r="J2206" s="172" t="str">
        <f t="shared" si="67"/>
        <v/>
      </c>
      <c r="K2206" s="171">
        <f t="shared" si="68"/>
        <v>10</v>
      </c>
    </row>
    <row r="2207" spans="1:11" x14ac:dyDescent="0.2">
      <c r="A2207" s="109">
        <v>4</v>
      </c>
      <c r="B2207" s="121" t="s">
        <v>771</v>
      </c>
      <c r="F2207" s="317" t="s">
        <v>772</v>
      </c>
      <c r="G2207" s="110">
        <v>1</v>
      </c>
      <c r="I2207" s="145" t="s">
        <v>773</v>
      </c>
      <c r="J2207" s="172">
        <f t="shared" si="67"/>
        <v>10</v>
      </c>
      <c r="K2207" s="171">
        <f t="shared" si="68"/>
        <v>10</v>
      </c>
    </row>
    <row r="2208" spans="1:11" x14ac:dyDescent="0.2">
      <c r="J2208" s="172" t="str">
        <f t="shared" si="67"/>
        <v/>
      </c>
      <c r="K2208" s="171">
        <f t="shared" si="68"/>
        <v>11</v>
      </c>
    </row>
    <row r="2209" spans="1:11" x14ac:dyDescent="0.2">
      <c r="B2209" s="173" t="s">
        <v>1117</v>
      </c>
      <c r="J2209" s="172" t="str">
        <f t="shared" si="67"/>
        <v/>
      </c>
      <c r="K2209" s="171">
        <f t="shared" si="68"/>
        <v>11</v>
      </c>
    </row>
    <row r="2210" spans="1:11" x14ac:dyDescent="0.2">
      <c r="J2210" s="172" t="str">
        <f t="shared" si="67"/>
        <v/>
      </c>
      <c r="K2210" s="171">
        <f t="shared" si="68"/>
        <v>11</v>
      </c>
    </row>
    <row r="2211" spans="1:11" x14ac:dyDescent="0.2">
      <c r="A2211" s="109">
        <v>5</v>
      </c>
      <c r="B2211" s="121" t="s">
        <v>83</v>
      </c>
      <c r="F2211" s="317" t="s">
        <v>701</v>
      </c>
      <c r="G2211" s="110">
        <v>16</v>
      </c>
      <c r="I2211" s="145" t="s">
        <v>1109</v>
      </c>
      <c r="J2211" s="172">
        <f t="shared" si="67"/>
        <v>11</v>
      </c>
      <c r="K2211" s="171">
        <f t="shared" si="68"/>
        <v>11</v>
      </c>
    </row>
    <row r="2212" spans="1:11" x14ac:dyDescent="0.2">
      <c r="J2212" s="172" t="str">
        <f t="shared" si="67"/>
        <v/>
      </c>
      <c r="K2212" s="171">
        <f t="shared" si="68"/>
        <v>27</v>
      </c>
    </row>
    <row r="2213" spans="1:11" x14ac:dyDescent="0.2">
      <c r="A2213" s="154">
        <v>6</v>
      </c>
      <c r="B2213" s="121" t="s">
        <v>1120</v>
      </c>
      <c r="F2213" s="317" t="s">
        <v>772</v>
      </c>
      <c r="G2213" s="110">
        <v>1</v>
      </c>
      <c r="I2213" s="145" t="s">
        <v>1130</v>
      </c>
      <c r="J2213" s="172">
        <f t="shared" si="67"/>
        <v>27</v>
      </c>
      <c r="K2213" s="171">
        <f t="shared" si="68"/>
        <v>27</v>
      </c>
    </row>
    <row r="2214" spans="1:11" x14ac:dyDescent="0.2">
      <c r="A2214" s="154"/>
      <c r="B2214" s="121"/>
      <c r="I2214" s="145"/>
      <c r="J2214" s="172" t="str">
        <f t="shared" si="67"/>
        <v/>
      </c>
      <c r="K2214" s="171">
        <f t="shared" si="68"/>
        <v>28</v>
      </c>
    </row>
    <row r="2215" spans="1:11" x14ac:dyDescent="0.2">
      <c r="A2215" s="154">
        <v>7</v>
      </c>
      <c r="B2215" s="121" t="s">
        <v>1124</v>
      </c>
      <c r="F2215" s="317" t="s">
        <v>772</v>
      </c>
      <c r="G2215" s="110">
        <v>2</v>
      </c>
      <c r="I2215" s="145" t="s">
        <v>1124</v>
      </c>
      <c r="J2215" s="172">
        <f t="shared" si="67"/>
        <v>28</v>
      </c>
      <c r="K2215" s="171">
        <f t="shared" si="68"/>
        <v>28</v>
      </c>
    </row>
    <row r="2216" spans="1:11" x14ac:dyDescent="0.2">
      <c r="A2216" s="154"/>
      <c r="B2216" s="121"/>
      <c r="I2216" s="145"/>
      <c r="J2216" s="172"/>
      <c r="K2216" s="171"/>
    </row>
    <row r="2217" spans="1:11" ht="15.75" thickBot="1" x14ac:dyDescent="0.25">
      <c r="A2217" s="109">
        <v>8</v>
      </c>
      <c r="B2217" s="121" t="s">
        <v>782</v>
      </c>
      <c r="F2217" s="317" t="s">
        <v>772</v>
      </c>
      <c r="G2217" s="204">
        <f>D2196-J2215-G2215+1</f>
        <v>71</v>
      </c>
      <c r="I2217" s="145" t="s">
        <v>965</v>
      </c>
      <c r="J2217" s="172">
        <f t="shared" si="67"/>
        <v>30</v>
      </c>
      <c r="K2217" s="171">
        <f>IF(A2217=1,1,+K2215+G2215)</f>
        <v>30</v>
      </c>
    </row>
    <row r="2218" spans="1:11" ht="16.5" thickTop="1" thickBot="1" x14ac:dyDescent="0.25">
      <c r="B2218" s="252" t="s">
        <v>755</v>
      </c>
      <c r="C2218" s="139"/>
      <c r="D2218" s="323" t="s">
        <v>977</v>
      </c>
      <c r="E2218" s="118"/>
      <c r="F2218" s="321"/>
      <c r="G2218" s="118"/>
      <c r="H2218" s="117"/>
      <c r="I2218" s="152"/>
      <c r="J2218" s="172" t="str">
        <f t="shared" si="67"/>
        <v/>
      </c>
      <c r="K2218" s="171"/>
    </row>
    <row r="2219" spans="1:11" ht="15.75" thickTop="1" x14ac:dyDescent="0.2">
      <c r="B2219" s="138"/>
      <c r="D2219" s="321"/>
      <c r="E2219" s="118"/>
      <c r="F2219" s="321"/>
      <c r="G2219" s="118"/>
      <c r="H2219" s="117"/>
      <c r="J2219" s="172" t="str">
        <f t="shared" si="67"/>
        <v/>
      </c>
      <c r="K2219" s="171"/>
    </row>
    <row r="2220" spans="1:11" x14ac:dyDescent="0.2">
      <c r="A2220" s="253" t="s">
        <v>1</v>
      </c>
      <c r="B2220" s="254" t="s">
        <v>912</v>
      </c>
      <c r="C2220" s="255"/>
      <c r="D2220" s="343" t="s">
        <v>1127</v>
      </c>
      <c r="E2220" s="253"/>
      <c r="F2220" s="343"/>
      <c r="G2220" s="253"/>
      <c r="H2220" s="255"/>
      <c r="I2220" s="256"/>
      <c r="J2220" s="172" t="str">
        <f t="shared" si="67"/>
        <v/>
      </c>
      <c r="K2220" s="171"/>
    </row>
    <row r="2221" spans="1:11" x14ac:dyDescent="0.2">
      <c r="A2221" s="255"/>
      <c r="B2221" s="254" t="s">
        <v>757</v>
      </c>
      <c r="C2221" s="135"/>
      <c r="D2221" s="343">
        <f>G19</f>
        <v>100</v>
      </c>
      <c r="E2221" s="253" t="s">
        <v>758</v>
      </c>
      <c r="F2221" s="343"/>
      <c r="G2221" s="253"/>
      <c r="H2221" s="255"/>
      <c r="I2221" s="257"/>
      <c r="J2221" s="172" t="str">
        <f t="shared" si="67"/>
        <v/>
      </c>
      <c r="K2221" s="171"/>
    </row>
    <row r="2222" spans="1:11" x14ac:dyDescent="0.2">
      <c r="A2222" s="255"/>
      <c r="B2222" s="255"/>
      <c r="C2222" s="255"/>
      <c r="D2222" s="343"/>
      <c r="E2222" s="253"/>
      <c r="F2222" s="343"/>
      <c r="G2222" s="253"/>
      <c r="H2222" s="255"/>
      <c r="I2222" s="257"/>
      <c r="J2222" s="172" t="str">
        <f t="shared" si="67"/>
        <v/>
      </c>
      <c r="K2222" s="171"/>
    </row>
    <row r="2223" spans="1:11" s="108" customFormat="1" x14ac:dyDescent="0.2">
      <c r="A2223" s="165" t="s">
        <v>759</v>
      </c>
      <c r="B2223" s="166" t="s">
        <v>712</v>
      </c>
      <c r="C2223" s="167"/>
      <c r="D2223" s="327" t="s">
        <v>713</v>
      </c>
      <c r="E2223" s="168"/>
      <c r="F2223" s="327" t="s">
        <v>760</v>
      </c>
      <c r="G2223" s="156" t="s">
        <v>715</v>
      </c>
      <c r="H2223" s="167"/>
      <c r="I2223" s="169" t="s">
        <v>716</v>
      </c>
      <c r="J2223" s="172">
        <f t="shared" si="67"/>
        <v>0</v>
      </c>
      <c r="K2223" s="171"/>
    </row>
    <row r="2224" spans="1:11" x14ac:dyDescent="0.2">
      <c r="A2224" s="117" t="s">
        <v>1</v>
      </c>
      <c r="B2224" s="117"/>
      <c r="C2224" s="117"/>
      <c r="D2224" s="321"/>
      <c r="E2224" s="118"/>
      <c r="F2224" s="321"/>
      <c r="G2224" s="118"/>
      <c r="H2224" s="117"/>
      <c r="I2224" s="144"/>
      <c r="J2224" s="172" t="str">
        <f t="shared" si="67"/>
        <v/>
      </c>
      <c r="K2224" s="171"/>
    </row>
    <row r="2225" spans="1:11" x14ac:dyDescent="0.2">
      <c r="A2225" s="121" t="s">
        <v>1</v>
      </c>
      <c r="B2225" s="121" t="s">
        <v>762</v>
      </c>
      <c r="J2225" s="172" t="str">
        <f t="shared" si="67"/>
        <v/>
      </c>
      <c r="K2225" s="171"/>
    </row>
    <row r="2226" spans="1:11" x14ac:dyDescent="0.2">
      <c r="A2226" s="109">
        <v>1</v>
      </c>
      <c r="B2226" s="121" t="s">
        <v>763</v>
      </c>
      <c r="D2226" s="317" t="s">
        <v>1129</v>
      </c>
      <c r="F2226" s="317" t="s">
        <v>701</v>
      </c>
      <c r="G2226" s="110">
        <v>4</v>
      </c>
      <c r="I2226" s="145" t="s">
        <v>765</v>
      </c>
      <c r="J2226" s="172">
        <f t="shared" si="67"/>
        <v>4</v>
      </c>
      <c r="K2226" s="171">
        <f t="shared" si="68"/>
        <v>1</v>
      </c>
    </row>
    <row r="2227" spans="1:11" x14ac:dyDescent="0.2">
      <c r="B2227" s="109" t="s">
        <v>1</v>
      </c>
      <c r="J2227" s="172" t="str">
        <f t="shared" si="67"/>
        <v/>
      </c>
      <c r="K2227" s="171">
        <f t="shared" si="68"/>
        <v>5</v>
      </c>
    </row>
    <row r="2228" spans="1:11" x14ac:dyDescent="0.2">
      <c r="A2228" s="109">
        <v>2</v>
      </c>
      <c r="B2228" s="121" t="s">
        <v>766</v>
      </c>
      <c r="D2228" s="317" t="s">
        <v>767</v>
      </c>
      <c r="F2228" s="317" t="s">
        <v>701</v>
      </c>
      <c r="G2228" s="110">
        <v>1</v>
      </c>
      <c r="I2228" s="145" t="s">
        <v>768</v>
      </c>
      <c r="J2228" s="172">
        <f t="shared" si="67"/>
        <v>5</v>
      </c>
      <c r="K2228" s="171">
        <f t="shared" si="68"/>
        <v>5</v>
      </c>
    </row>
    <row r="2229" spans="1:11" x14ac:dyDescent="0.2">
      <c r="J2229" s="172" t="str">
        <f t="shared" si="67"/>
        <v/>
      </c>
      <c r="K2229" s="171">
        <f t="shared" si="68"/>
        <v>6</v>
      </c>
    </row>
    <row r="2230" spans="1:11" x14ac:dyDescent="0.2">
      <c r="A2230" s="109">
        <v>3</v>
      </c>
      <c r="B2230" s="121" t="s">
        <v>769</v>
      </c>
      <c r="D2230" s="317" t="s">
        <v>770</v>
      </c>
      <c r="F2230" s="317" t="s">
        <v>701</v>
      </c>
      <c r="G2230" s="110">
        <v>4</v>
      </c>
      <c r="I2230" s="145" t="s">
        <v>768</v>
      </c>
      <c r="J2230" s="172">
        <f t="shared" si="67"/>
        <v>6</v>
      </c>
      <c r="K2230" s="171">
        <f t="shared" si="68"/>
        <v>6</v>
      </c>
    </row>
    <row r="2231" spans="1:11" x14ac:dyDescent="0.2">
      <c r="J2231" s="172" t="str">
        <f t="shared" si="67"/>
        <v/>
      </c>
      <c r="K2231" s="171">
        <f t="shared" si="68"/>
        <v>10</v>
      </c>
    </row>
    <row r="2232" spans="1:11" x14ac:dyDescent="0.2">
      <c r="A2232" s="109">
        <v>4</v>
      </c>
      <c r="B2232" s="121" t="s">
        <v>771</v>
      </c>
      <c r="F2232" s="317" t="s">
        <v>772</v>
      </c>
      <c r="G2232" s="110">
        <v>1</v>
      </c>
      <c r="I2232" s="145" t="s">
        <v>773</v>
      </c>
      <c r="J2232" s="172">
        <f t="shared" si="67"/>
        <v>10</v>
      </c>
      <c r="K2232" s="171">
        <f t="shared" si="68"/>
        <v>10</v>
      </c>
    </row>
    <row r="2233" spans="1:11" x14ac:dyDescent="0.2">
      <c r="J2233" s="172" t="str">
        <f t="shared" si="67"/>
        <v/>
      </c>
      <c r="K2233" s="171">
        <f t="shared" si="68"/>
        <v>11</v>
      </c>
    </row>
    <row r="2234" spans="1:11" x14ac:dyDescent="0.2">
      <c r="B2234" s="173" t="s">
        <v>1117</v>
      </c>
      <c r="J2234" s="172" t="str">
        <f t="shared" si="67"/>
        <v/>
      </c>
      <c r="K2234" s="171">
        <f t="shared" si="68"/>
        <v>11</v>
      </c>
    </row>
    <row r="2235" spans="1:11" x14ac:dyDescent="0.2">
      <c r="J2235" s="172" t="str">
        <f t="shared" si="67"/>
        <v/>
      </c>
      <c r="K2235" s="171">
        <f t="shared" si="68"/>
        <v>11</v>
      </c>
    </row>
    <row r="2236" spans="1:11" x14ac:dyDescent="0.2">
      <c r="A2236" s="109">
        <v>5</v>
      </c>
      <c r="B2236" s="121" t="s">
        <v>83</v>
      </c>
      <c r="F2236" s="317" t="s">
        <v>701</v>
      </c>
      <c r="G2236" s="110">
        <v>16</v>
      </c>
      <c r="I2236" s="145" t="s">
        <v>1109</v>
      </c>
      <c r="J2236" s="172">
        <f t="shared" si="67"/>
        <v>11</v>
      </c>
      <c r="K2236" s="171">
        <f t="shared" si="68"/>
        <v>11</v>
      </c>
    </row>
    <row r="2237" spans="1:11" x14ac:dyDescent="0.2">
      <c r="J2237" s="172" t="str">
        <f t="shared" si="67"/>
        <v/>
      </c>
      <c r="K2237" s="171">
        <f t="shared" si="68"/>
        <v>27</v>
      </c>
    </row>
    <row r="2238" spans="1:11" x14ac:dyDescent="0.2">
      <c r="A2238" s="154">
        <v>6</v>
      </c>
      <c r="B2238" s="121" t="s">
        <v>1120</v>
      </c>
      <c r="F2238" s="317" t="s">
        <v>772</v>
      </c>
      <c r="G2238" s="110">
        <v>1</v>
      </c>
      <c r="I2238" s="145" t="s">
        <v>1130</v>
      </c>
      <c r="J2238" s="172">
        <f t="shared" si="67"/>
        <v>27</v>
      </c>
      <c r="K2238" s="171">
        <f t="shared" si="68"/>
        <v>27</v>
      </c>
    </row>
    <row r="2239" spans="1:11" x14ac:dyDescent="0.2">
      <c r="A2239" s="154"/>
      <c r="B2239" s="121"/>
      <c r="I2239" s="145"/>
      <c r="J2239" s="172" t="str">
        <f t="shared" si="67"/>
        <v/>
      </c>
      <c r="K2239" s="171">
        <f t="shared" si="68"/>
        <v>28</v>
      </c>
    </row>
    <row r="2240" spans="1:11" x14ac:dyDescent="0.2">
      <c r="A2240" s="154">
        <v>7</v>
      </c>
      <c r="B2240" s="109" t="s">
        <v>1125</v>
      </c>
      <c r="D2240" s="317" t="s">
        <v>792</v>
      </c>
      <c r="F2240" s="317" t="s">
        <v>701</v>
      </c>
      <c r="G2240" s="110">
        <v>8</v>
      </c>
      <c r="I2240" s="111" t="s">
        <v>1126</v>
      </c>
      <c r="J2240" s="172">
        <f t="shared" si="67"/>
        <v>28</v>
      </c>
      <c r="K2240" s="171">
        <f t="shared" si="68"/>
        <v>28</v>
      </c>
    </row>
    <row r="2241" spans="1:11" x14ac:dyDescent="0.2">
      <c r="A2241" s="154"/>
      <c r="J2241" s="172" t="str">
        <f t="shared" si="67"/>
        <v/>
      </c>
      <c r="K2241" s="171">
        <f t="shared" si="68"/>
        <v>36</v>
      </c>
    </row>
    <row r="2242" spans="1:11" x14ac:dyDescent="0.2">
      <c r="A2242" s="109">
        <v>8</v>
      </c>
      <c r="B2242" s="121" t="s">
        <v>782</v>
      </c>
      <c r="F2242" s="317" t="s">
        <v>772</v>
      </c>
      <c r="G2242" s="204">
        <f>D2221-J2240-G2240+1</f>
        <v>65</v>
      </c>
      <c r="I2242" s="145" t="s">
        <v>965</v>
      </c>
      <c r="J2242" s="172">
        <f t="shared" si="67"/>
        <v>36</v>
      </c>
      <c r="K2242" s="171">
        <f t="shared" si="68"/>
        <v>36</v>
      </c>
    </row>
    <row r="2243" spans="1:11" x14ac:dyDescent="0.2">
      <c r="B2243" s="121"/>
      <c r="I2243" s="145"/>
      <c r="J2243" s="172" t="str">
        <f>IF(A2243=1, 1,IF(G2243="", "",+K2243))</f>
        <v/>
      </c>
      <c r="K2243" s="171">
        <f t="shared" si="68"/>
        <v>101</v>
      </c>
    </row>
    <row r="2244" spans="1:11" s="108" customFormat="1" x14ac:dyDescent="0.2">
      <c r="A2244" s="116"/>
      <c r="D2244" s="319"/>
      <c r="E2244" s="116"/>
      <c r="F2244" s="319"/>
      <c r="G2244" s="116"/>
      <c r="I2244" s="136"/>
      <c r="J2244" s="172" t="str">
        <f>IF(G2244="", "",+K2244)</f>
        <v/>
      </c>
      <c r="K2244" s="116"/>
    </row>
    <row r="2245" spans="1:11" ht="15.75" x14ac:dyDescent="0.25">
      <c r="B2245" s="258" t="s">
        <v>1131</v>
      </c>
    </row>
    <row r="2246" spans="1:11" ht="15.75" x14ac:dyDescent="0.25">
      <c r="B2246" s="258"/>
    </row>
    <row r="2247" spans="1:11" x14ac:dyDescent="0.2">
      <c r="B2247" s="155" t="s">
        <v>1132</v>
      </c>
      <c r="C2247" s="259"/>
      <c r="D2247" s="325" t="s">
        <v>1133</v>
      </c>
      <c r="E2247" s="156" t="s">
        <v>1134</v>
      </c>
      <c r="F2247" s="325"/>
      <c r="G2247" s="156" t="s">
        <v>1135</v>
      </c>
      <c r="H2247" s="142"/>
      <c r="I2247" s="143" t="s">
        <v>716</v>
      </c>
    </row>
    <row r="2248" spans="1:11" x14ac:dyDescent="0.2">
      <c r="B2248" s="109" t="s">
        <v>786</v>
      </c>
      <c r="C2248" s="108"/>
      <c r="D2248" s="344">
        <v>1002</v>
      </c>
      <c r="E2248" s="110" t="s">
        <v>1136</v>
      </c>
      <c r="F2248" s="319"/>
      <c r="G2248" s="110">
        <v>30</v>
      </c>
    </row>
    <row r="2249" spans="1:11" x14ac:dyDescent="0.2">
      <c r="B2249" s="109" t="s">
        <v>791</v>
      </c>
      <c r="C2249" s="108"/>
      <c r="D2249" s="344">
        <v>1003</v>
      </c>
      <c r="E2249" s="110" t="s">
        <v>701</v>
      </c>
      <c r="F2249" s="319"/>
      <c r="G2249" s="110">
        <v>8</v>
      </c>
    </row>
    <row r="2250" spans="1:11" x14ac:dyDescent="0.2">
      <c r="B2250" s="109" t="s">
        <v>812</v>
      </c>
      <c r="C2250" s="108"/>
      <c r="D2250" s="344">
        <v>1008</v>
      </c>
      <c r="E2250" s="110" t="s">
        <v>701</v>
      </c>
      <c r="F2250" s="319"/>
      <c r="G2250" s="110">
        <v>9</v>
      </c>
    </row>
    <row r="2251" spans="1:11" x14ac:dyDescent="0.2">
      <c r="B2251" s="109" t="s">
        <v>1137</v>
      </c>
      <c r="C2251" s="108"/>
      <c r="D2251" s="344">
        <v>1009</v>
      </c>
      <c r="E2251" s="110" t="s">
        <v>1136</v>
      </c>
      <c r="F2251" s="319"/>
      <c r="G2251" s="110">
        <v>30</v>
      </c>
    </row>
    <row r="2252" spans="1:11" x14ac:dyDescent="0.2">
      <c r="B2252" s="109" t="s">
        <v>1138</v>
      </c>
      <c r="C2252" s="108"/>
      <c r="D2252" s="344">
        <v>1010</v>
      </c>
      <c r="E2252" s="110" t="s">
        <v>1136</v>
      </c>
      <c r="F2252" s="319"/>
      <c r="G2252" s="110">
        <v>30</v>
      </c>
    </row>
    <row r="2253" spans="1:11" x14ac:dyDescent="0.2">
      <c r="B2253" s="109" t="s">
        <v>819</v>
      </c>
      <c r="C2253" s="108"/>
      <c r="D2253" s="344">
        <v>1011</v>
      </c>
      <c r="E2253" s="110" t="s">
        <v>1136</v>
      </c>
      <c r="F2253" s="319"/>
      <c r="G2253" s="110">
        <v>9</v>
      </c>
    </row>
    <row r="2254" spans="1:11" x14ac:dyDescent="0.2">
      <c r="B2254" s="109" t="s">
        <v>1139</v>
      </c>
      <c r="C2254" s="108"/>
      <c r="D2254" s="344">
        <v>1012</v>
      </c>
      <c r="E2254" s="110" t="s">
        <v>1136</v>
      </c>
      <c r="F2254" s="319"/>
      <c r="G2254" s="110">
        <v>22</v>
      </c>
    </row>
    <row r="2255" spans="1:11" x14ac:dyDescent="0.2">
      <c r="B2255" s="109" t="s">
        <v>826</v>
      </c>
      <c r="C2255" s="108"/>
      <c r="D2255" s="344">
        <v>1013</v>
      </c>
      <c r="E2255" s="110" t="s">
        <v>701</v>
      </c>
      <c r="F2255" s="319"/>
      <c r="G2255" s="110">
        <v>11</v>
      </c>
    </row>
    <row r="2256" spans="1:11" x14ac:dyDescent="0.2">
      <c r="B2256" s="109" t="s">
        <v>1140</v>
      </c>
      <c r="C2256" s="108"/>
      <c r="D2256" s="344">
        <v>1014</v>
      </c>
      <c r="E2256" s="110" t="s">
        <v>1136</v>
      </c>
      <c r="F2256" s="319"/>
      <c r="G2256" s="110">
        <v>30</v>
      </c>
    </row>
    <row r="2257" spans="1:11" x14ac:dyDescent="0.2">
      <c r="B2257" s="109" t="s">
        <v>1141</v>
      </c>
      <c r="C2257" s="108"/>
      <c r="D2257" s="344">
        <v>1015</v>
      </c>
      <c r="E2257" s="110" t="s">
        <v>701</v>
      </c>
      <c r="F2257" s="319"/>
      <c r="G2257" s="110">
        <v>11</v>
      </c>
    </row>
    <row r="2258" spans="1:11" x14ac:dyDescent="0.2">
      <c r="B2258" s="109" t="s">
        <v>841</v>
      </c>
      <c r="D2258" s="344">
        <v>1016</v>
      </c>
      <c r="E2258" s="110" t="s">
        <v>1136</v>
      </c>
      <c r="F2258" s="319"/>
      <c r="G2258" s="110">
        <v>3</v>
      </c>
    </row>
    <row r="2259" spans="1:11" x14ac:dyDescent="0.2">
      <c r="B2259" s="109" t="s">
        <v>1142</v>
      </c>
      <c r="D2259" s="344">
        <v>1017</v>
      </c>
      <c r="E2259" s="110" t="s">
        <v>701</v>
      </c>
      <c r="F2259" s="319"/>
      <c r="G2259" s="110">
        <v>9</v>
      </c>
    </row>
    <row r="2260" spans="1:11" x14ac:dyDescent="0.2">
      <c r="B2260" s="109" t="s">
        <v>847</v>
      </c>
      <c r="D2260" s="344">
        <v>1018</v>
      </c>
      <c r="E2260" s="110" t="s">
        <v>701</v>
      </c>
      <c r="F2260" s="319"/>
      <c r="G2260" s="110">
        <v>2</v>
      </c>
    </row>
    <row r="2261" spans="1:11" x14ac:dyDescent="0.2">
      <c r="B2261" s="109" t="s">
        <v>1143</v>
      </c>
      <c r="D2261" s="344">
        <v>1019</v>
      </c>
      <c r="E2261" s="110" t="s">
        <v>1136</v>
      </c>
      <c r="F2261" s="319"/>
      <c r="G2261" s="110">
        <v>15</v>
      </c>
    </row>
    <row r="2262" spans="1:11" x14ac:dyDescent="0.2">
      <c r="B2262" s="109" t="s">
        <v>852</v>
      </c>
      <c r="D2262" s="344">
        <v>1022</v>
      </c>
      <c r="E2262" s="110" t="s">
        <v>701</v>
      </c>
      <c r="F2262" s="319"/>
      <c r="G2262" s="110">
        <v>15</v>
      </c>
    </row>
    <row r="2263" spans="1:11" x14ac:dyDescent="0.2">
      <c r="B2263" s="109" t="s">
        <v>1144</v>
      </c>
      <c r="D2263" s="344">
        <v>1028</v>
      </c>
      <c r="E2263" s="110" t="s">
        <v>1136</v>
      </c>
      <c r="F2263" s="319"/>
      <c r="G2263" s="110">
        <v>3</v>
      </c>
    </row>
    <row r="2264" spans="1:11" x14ac:dyDescent="0.2">
      <c r="B2264" s="109" t="s">
        <v>872</v>
      </c>
      <c r="D2264" s="344">
        <v>1029</v>
      </c>
      <c r="E2264" s="110" t="s">
        <v>1136</v>
      </c>
      <c r="F2264" s="319"/>
      <c r="G2264" s="110">
        <v>1</v>
      </c>
    </row>
    <row r="2265" spans="1:11" x14ac:dyDescent="0.2">
      <c r="D2265" s="344"/>
      <c r="F2265" s="319"/>
    </row>
    <row r="2266" spans="1:11" x14ac:dyDescent="0.2">
      <c r="D2266" s="344"/>
      <c r="F2266" s="319"/>
    </row>
    <row r="2267" spans="1:11" ht="15.75" x14ac:dyDescent="0.25">
      <c r="B2267" s="258" t="s">
        <v>1145</v>
      </c>
    </row>
    <row r="2269" spans="1:11" x14ac:dyDescent="0.2">
      <c r="B2269" s="155" t="s">
        <v>1132</v>
      </c>
      <c r="C2269" s="259"/>
      <c r="D2269" s="325" t="s">
        <v>1133</v>
      </c>
      <c r="E2269" s="156" t="s">
        <v>1134</v>
      </c>
      <c r="F2269" s="325"/>
      <c r="G2269" s="156" t="s">
        <v>1135</v>
      </c>
      <c r="H2269" s="142"/>
      <c r="I2269" s="143" t="s">
        <v>716</v>
      </c>
    </row>
    <row r="2270" spans="1:11" x14ac:dyDescent="0.2">
      <c r="B2270" s="109" t="s">
        <v>833</v>
      </c>
      <c r="C2270" s="108"/>
      <c r="D2270" s="344">
        <v>2001</v>
      </c>
      <c r="E2270" s="110" t="s">
        <v>772</v>
      </c>
      <c r="F2270" s="319"/>
      <c r="G2270" s="110">
        <v>26</v>
      </c>
    </row>
    <row r="2271" spans="1:11" x14ac:dyDescent="0.2">
      <c r="B2271" s="109" t="s">
        <v>835</v>
      </c>
      <c r="C2271" s="108"/>
      <c r="D2271" s="344">
        <v>2002</v>
      </c>
      <c r="E2271" s="110" t="s">
        <v>772</v>
      </c>
      <c r="F2271" s="319"/>
      <c r="G2271" s="110">
        <v>26</v>
      </c>
    </row>
    <row r="2272" spans="1:11" s="125" customFormat="1" x14ac:dyDescent="0.2">
      <c r="A2272" s="217"/>
      <c r="B2272" s="109"/>
      <c r="C2272" s="205"/>
      <c r="D2272" s="344"/>
      <c r="E2272" s="110"/>
      <c r="F2272" s="346"/>
      <c r="G2272" s="110"/>
      <c r="I2272" s="260"/>
      <c r="K2272" s="126"/>
    </row>
    <row r="2274" spans="2:3" ht="15.75" x14ac:dyDescent="0.25">
      <c r="B2274" s="258" t="s">
        <v>1146</v>
      </c>
    </row>
    <row r="2276" spans="2:3" x14ac:dyDescent="0.2">
      <c r="B2276" s="111" t="s">
        <v>1147</v>
      </c>
      <c r="C2276" s="261" t="s">
        <v>1148</v>
      </c>
    </row>
    <row r="2277" spans="2:3" ht="30" x14ac:dyDescent="0.2">
      <c r="B2277" s="111" t="s">
        <v>1149</v>
      </c>
      <c r="C2277" s="262" t="s">
        <v>1150</v>
      </c>
    </row>
    <row r="2278" spans="2:3" x14ac:dyDescent="0.2">
      <c r="B2278" s="111" t="s">
        <v>1151</v>
      </c>
      <c r="C2278" s="261" t="s">
        <v>1152</v>
      </c>
    </row>
    <row r="2279" spans="2:3" x14ac:dyDescent="0.2">
      <c r="B2279" s="111" t="s">
        <v>1153</v>
      </c>
      <c r="C2279" s="261" t="s">
        <v>1154</v>
      </c>
    </row>
    <row r="2280" spans="2:3" x14ac:dyDescent="0.2">
      <c r="B2280" s="111" t="s">
        <v>1155</v>
      </c>
      <c r="C2280" s="261" t="s">
        <v>1156</v>
      </c>
    </row>
    <row r="2281" spans="2:3" ht="30" x14ac:dyDescent="0.2">
      <c r="B2281" s="111" t="s">
        <v>1157</v>
      </c>
      <c r="C2281" s="262" t="s">
        <v>1158</v>
      </c>
    </row>
    <row r="2282" spans="2:3" ht="30" x14ac:dyDescent="0.2">
      <c r="B2282" s="111" t="s">
        <v>1159</v>
      </c>
      <c r="C2282" s="261" t="s">
        <v>1160</v>
      </c>
    </row>
    <row r="2283" spans="2:3" ht="30" x14ac:dyDescent="0.2">
      <c r="B2283" s="111" t="s">
        <v>1161</v>
      </c>
      <c r="C2283" s="261" t="s">
        <v>1162</v>
      </c>
    </row>
    <row r="2284" spans="2:3" ht="30" x14ac:dyDescent="0.2">
      <c r="B2284" s="111" t="s">
        <v>1163</v>
      </c>
      <c r="C2284" s="261" t="s">
        <v>1164</v>
      </c>
    </row>
    <row r="2285" spans="2:3" ht="30" x14ac:dyDescent="0.2">
      <c r="B2285" s="111" t="s">
        <v>1165</v>
      </c>
      <c r="C2285" s="261" t="s">
        <v>1166</v>
      </c>
    </row>
    <row r="2286" spans="2:3" ht="45" x14ac:dyDescent="0.2">
      <c r="B2286" s="111" t="s">
        <v>1167</v>
      </c>
      <c r="C2286" s="261" t="s">
        <v>1168</v>
      </c>
    </row>
    <row r="2287" spans="2:3" x14ac:dyDescent="0.2">
      <c r="B2287" s="111"/>
    </row>
    <row r="2289" spans="2:2" x14ac:dyDescent="0.2">
      <c r="B2289" s="141" t="s">
        <v>1169</v>
      </c>
    </row>
    <row r="2291" spans="2:2" x14ac:dyDescent="0.2">
      <c r="B2291" s="121" t="s">
        <v>1170</v>
      </c>
    </row>
    <row r="2292" spans="2:2" x14ac:dyDescent="0.2">
      <c r="B2292" s="121" t="s">
        <v>1171</v>
      </c>
    </row>
    <row r="2293" spans="2:2" x14ac:dyDescent="0.2">
      <c r="B2293" s="121" t="s">
        <v>1172</v>
      </c>
    </row>
    <row r="2294" spans="2:2" x14ac:dyDescent="0.2">
      <c r="B2294" s="121" t="s">
        <v>1173</v>
      </c>
    </row>
  </sheetData>
  <pageMargins left="0.78740157480314965" right="0.59055118110236227" top="0.98425196850393704" bottom="0.19685039370078741" header="0" footer="0"/>
  <pageSetup paperSize="9" scale="56" orientation="landscape" r:id="rId1"/>
  <headerFooter alignWithMargins="0"/>
  <rowBreaks count="25" manualBreakCount="25">
    <brk id="27" max="16383" man="1"/>
    <brk id="60" max="16383" man="1"/>
    <brk id="121" max="16383" man="1"/>
    <brk id="309" max="16383" man="1"/>
    <brk id="535" max="16383" man="1"/>
    <brk id="607" max="16383" man="1"/>
    <brk id="703" max="16383" man="1"/>
    <brk id="757" max="16383" man="1"/>
    <brk id="1449" max="16383" man="1"/>
    <brk id="1478" max="16383" man="1"/>
    <brk id="1507" max="16383" man="1"/>
    <brk id="1641" max="16383" man="1"/>
    <brk id="1776" max="16383" man="1"/>
    <brk id="1807" max="16383" man="1"/>
    <brk id="1838" max="16383" man="1"/>
    <brk id="1955" max="16383" man="1"/>
    <brk id="2072" max="16383" man="1"/>
    <brk id="2107" max="16383" man="1"/>
    <brk id="2142" max="16383" man="1"/>
    <brk id="2167" max="16383" man="1"/>
    <brk id="2192" max="16383" man="1"/>
    <brk id="2217" max="16383" man="1"/>
    <brk id="2244" max="16383" man="1"/>
    <brk id="2266" max="16383" man="1"/>
    <brk id="2273" max="16383" man="1"/>
  </rowBreaks>
  <colBreaks count="1" manualBreakCount="1">
    <brk id="12" max="1048575" man="1"/>
  </colBreaks>
  <drawing r:id="rId2"/>
  <legacyDrawing r:id="rId3"/>
  <oleObjects>
    <mc:AlternateContent xmlns:mc="http://schemas.openxmlformats.org/markup-compatibility/2006">
      <mc:Choice Requires="x14">
        <oleObject shapeId="22529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247650</xdr:colOff>
                <xdr:row>1</xdr:row>
                <xdr:rowOff>171450</xdr:rowOff>
              </to>
            </anchor>
          </objectPr>
        </oleObject>
      </mc:Choice>
      <mc:Fallback>
        <oleObject shapeId="225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10</vt:i4>
      </vt:variant>
    </vt:vector>
  </HeadingPairs>
  <TitlesOfParts>
    <vt:vector size="28" baseType="lpstr">
      <vt:lpstr>Resúmen</vt:lpstr>
      <vt:lpstr>1-Relacionador CTA-TAR</vt:lpstr>
      <vt:lpstr>2-Cambio de Línea</vt:lpstr>
      <vt:lpstr>3-Movimientos</vt:lpstr>
      <vt:lpstr>5-Saldos por plan</vt:lpstr>
      <vt:lpstr>6-Clientes</vt:lpstr>
      <vt:lpstr>Data</vt:lpstr>
      <vt:lpstr>7-Cuentas</vt:lpstr>
      <vt:lpstr>8-Direccion de cuenta</vt:lpstr>
      <vt:lpstr>9-Direcciones a nivel tarjeta</vt:lpstr>
      <vt:lpstr>4-Log Contable</vt:lpstr>
      <vt:lpstr>I3-Financieras MVTB</vt:lpstr>
      <vt:lpstr>14-Cargo en cuenta</vt:lpstr>
      <vt:lpstr>10-Calificación de Cliente</vt:lpstr>
      <vt:lpstr>11-Cronogramas</vt:lpstr>
      <vt:lpstr>12-Tarjetas</vt:lpstr>
      <vt:lpstr>X5-Regularizaciones financieras</vt:lpstr>
      <vt:lpstr>13-Administrativas</vt:lpstr>
      <vt:lpstr>'12-Tarjetas'!Área_de_impresión</vt:lpstr>
      <vt:lpstr>'13-Administrativas'!Área_de_impresión</vt:lpstr>
      <vt:lpstr>'1-Relacionador CTA-TAR'!Área_de_impresión</vt:lpstr>
      <vt:lpstr>'2-Cambio de Línea'!Área_de_impresión</vt:lpstr>
      <vt:lpstr>'3-Movimientos'!Área_de_impresión</vt:lpstr>
      <vt:lpstr>'5-Saldos por plan'!Área_de_impresión</vt:lpstr>
      <vt:lpstr>'6-Clientes'!Área_de_impresión</vt:lpstr>
      <vt:lpstr>'7-Cuentas'!Área_de_impresión</vt:lpstr>
      <vt:lpstr>'I3-Financieras MVTB'!Área_de_impresión</vt:lpstr>
      <vt:lpstr>Resúmen!Área_de_impresión</vt:lpstr>
    </vt:vector>
  </TitlesOfParts>
  <Company>Procesos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MC</dc:creator>
  <cp:lastModifiedBy>PRACTICANTE - MIGUEL IVAN SANCHEZ SANCHEZ</cp:lastModifiedBy>
  <cp:lastPrinted>2013-03-04T16:30:15Z</cp:lastPrinted>
  <dcterms:created xsi:type="dcterms:W3CDTF">1997-01-05T23:18:02Z</dcterms:created>
  <dcterms:modified xsi:type="dcterms:W3CDTF">2024-10-29T20:34:20Z</dcterms:modified>
</cp:coreProperties>
</file>