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ribucion-fuerza-laboral-Tot" sheetId="1" r:id="rId4"/>
    <sheet state="visible" name="M1" sheetId="2" r:id="rId5"/>
    <sheet state="visible" name="M2" sheetId="3" r:id="rId6"/>
    <sheet state="visible" name="Hoja 3" sheetId="4" r:id="rId7"/>
    <sheet state="hidden" name="E" sheetId="5" r:id="rId8"/>
    <sheet state="hidden" name="D" sheetId="6" r:id="rId9"/>
    <sheet state="hidden" name="C" sheetId="7" r:id="rId10"/>
    <sheet state="hidden" name="B" sheetId="8" r:id="rId11"/>
    <sheet state="hidden" name="A" sheetId="9" r:id="rId12"/>
    <sheet state="hidden" name="S" sheetId="10" r:id="rId13"/>
  </sheets>
  <definedNames>
    <definedName name="SalarioCategoriaa">'M2'!$I$14:$I$358</definedName>
    <definedName name="SalarioTrabajador">'M2'!$B$14:$B$358</definedName>
    <definedName name="SalarioParejas">'M2'!$J$14:$J$358</definedName>
    <definedName name="Volumen">'M2'!$H$14:$H$358</definedName>
    <definedName name="Salarioo">'M2'!$G$14:$G$358</definedName>
    <definedName name="CategoriaParejas">'M2'!$K$14:$K$358</definedName>
    <definedName hidden="1" localSheetId="0" name="_xlnm._FilterDatabase">'Distribucion-fuerza-laboral-Tot'!$A$1:$Z$313</definedName>
    <definedName hidden="1" localSheetId="1" name="_xlnm._FilterDatabase">'M1'!$A$1:$K$971</definedName>
    <definedName hidden="1" localSheetId="2" name="_xlnm._FilterDatabase">'M2'!$A$14:$K$1013</definedName>
  </definedNames>
  <calcPr/>
</workbook>
</file>

<file path=xl/sharedStrings.xml><?xml version="1.0" encoding="utf-8"?>
<sst xmlns="http://schemas.openxmlformats.org/spreadsheetml/2006/main" count="2601" uniqueCount="578">
  <si>
    <t>Category ID</t>
  </si>
  <si>
    <t>Category</t>
  </si>
  <si>
    <t>Group ID</t>
  </si>
  <si>
    <t>Group</t>
  </si>
  <si>
    <t>Subgroup ID</t>
  </si>
  <si>
    <t>Subgroup</t>
  </si>
  <si>
    <t>Occupation ID</t>
  </si>
  <si>
    <t>Occupation</t>
  </si>
  <si>
    <t>Year</t>
  </si>
  <si>
    <t>Quarter ID</t>
  </si>
  <si>
    <t>Quarter</t>
  </si>
  <si>
    <t>Workforce</t>
  </si>
  <si>
    <t>Monthly Wage</t>
  </si>
  <si>
    <t>Monthly Wage Growth</t>
  </si>
  <si>
    <t>Monthly Wage Growth Value</t>
  </si>
  <si>
    <t>percentage</t>
  </si>
  <si>
    <t>lastPeriod</t>
  </si>
  <si>
    <t>Funcionarios, Directores y Jefes</t>
  </si>
  <si>
    <t>Funcionarios y Altas Autoridades de los Sectores Público, Privado y Social</t>
  </si>
  <si>
    <t>Presidentes y Directores Generales</t>
  </si>
  <si>
    <t>Presidentes y Directores Generales en Instituciones Públicas</t>
  </si>
  <si>
    <t>2024-Q1</t>
  </si>
  <si>
    <t>Presidentes y Directores Generales en Instituciones y Empresas Privadas</t>
  </si>
  <si>
    <t>Directores de Organizaciones Políticas, Sindicales y Civiles</t>
  </si>
  <si>
    <t>Directores de Organizaciones Civiles y Religiosas</t>
  </si>
  <si>
    <t>Directores y Gerentes en Servicios Financieros, Administrativos y Sociales</t>
  </si>
  <si>
    <t>Directores y Gerentes en Servicios Financieros y Administrativos</t>
  </si>
  <si>
    <t>Directores y Gerentes en Administración, Recursos Humanos y Mercadotecnia</t>
  </si>
  <si>
    <t>Directores y Gerentes en Servicios Contables, Financieros, Banca y Seguros</t>
  </si>
  <si>
    <t>Directores y Gerentes en Servicios de Salud, Enseñanza y Sociales</t>
  </si>
  <si>
    <t>Directores y Gerentes en Servicios de Salud, Protección Civil y Medio Ambiente</t>
  </si>
  <si>
    <t>Directores y Gerentes en Centros de Enseñanza y Capacitación</t>
  </si>
  <si>
    <t>Jueces de Juzgado, Directores y Gerentes en Servicios Legales y Procuración de Justicia</t>
  </si>
  <si>
    <t>Directores en Servicios de Vigilancia y Seguridad</t>
  </si>
  <si>
    <t>Directores y Gerentes en Producción, Tecnología y Transporte</t>
  </si>
  <si>
    <t>Directores y Gerentes en Producción Agropecuaria, Industrial, Construcción y Mantenimiento</t>
  </si>
  <si>
    <t>Directores y Gerentes en Producción Agropecuaria, Silvícola y Pesquera</t>
  </si>
  <si>
    <t>Directores y Gerentes en Producción Manufacturera</t>
  </si>
  <si>
    <t>Directores y Gerentes en Construcción, Reparación y Mantenimiento</t>
  </si>
  <si>
    <t>Directores y Gerentes en Informática, Telecomunicaciones, Transporte y en Investigación y Desarrollo Tecnológico</t>
  </si>
  <si>
    <t>Directores y Gerentes en Informática</t>
  </si>
  <si>
    <t>Directores y Gerentes en Centros de Investigación y Desarrollo Tecnológico</t>
  </si>
  <si>
    <t>Directores y Gerentes de Ventas, Restaurantes, Hoteles y otros Establecimientos</t>
  </si>
  <si>
    <t>Directores y Gerentes de Ventas, Restaurantes y Hoteles</t>
  </si>
  <si>
    <t>Directores y Gerentes de Ventas, Comercialización y Alquiler</t>
  </si>
  <si>
    <t>Directores y Gerentes de Restaurantes y Hoteles</t>
  </si>
  <si>
    <t>Directores y Gerentes de Museos, Cines y otros Establecimientos</t>
  </si>
  <si>
    <t>Directores y Productores Artísticos de Cine, Teatro y Afines</t>
  </si>
  <si>
    <t>Directores y Gerentes de Museos, Cines y otros Establecimientos Deportivos y Culturales</t>
  </si>
  <si>
    <t>Directores y Gerentes en Servicios Funerarios y otros Servicios</t>
  </si>
  <si>
    <t>Coordinadores y Jefes de Área en Servicios Financieros, Administrativos y Sociales</t>
  </si>
  <si>
    <t>Coordinadores y Jefes de Área en Servicios Financieros y Administrativos</t>
  </si>
  <si>
    <t>Coordinadores y Jefes de Área en Administración, Recursos Humanos y Mercadotecnia</t>
  </si>
  <si>
    <t>Coordinadores y Jefes de Área en Servicios Contables, Financieros, Banca y Seguros</t>
  </si>
  <si>
    <t>Coordinadores y Jefes de Área en Servicios de Salud, Enseñanza, Sociales y Jueces Calificadores</t>
  </si>
  <si>
    <t>Coordinadores y Jefes de Área en Servicios de Salud, Protección Civil y Medio Ambiente</t>
  </si>
  <si>
    <t>Coordinadores y Jefes de Área en Desarrollo Social y Económico</t>
  </si>
  <si>
    <t>Coordinadores y Jefes de Área en Centros de Enseñanza y Capacitación</t>
  </si>
  <si>
    <t>Coordinadores y Jefes de Área en Servicios Legales, Jueces Calificadores y Fiscales</t>
  </si>
  <si>
    <t>Coordinadores y Jefes de Área en Servicios de Vigilancia y Seguridad</t>
  </si>
  <si>
    <t>Coordinadores y Jefes de Área en Producción y Tecnología</t>
  </si>
  <si>
    <t>Coordinadores y Jefes de Área en Producción Agropecuaria, Industrial, Construcción y Mantenimiento</t>
  </si>
  <si>
    <t>Coordinadores y Jefes de Área en Producción Manufacturera</t>
  </si>
  <si>
    <t>Coordinadores y Jefes de Área en Construcción, Reparación y Mantenimiento</t>
  </si>
  <si>
    <t>Otros Coordinadores y Jefes de Área en Producción Agropecuaria, Industrial, Construcción y Mantenimiento, no Clasificados Anteriormente</t>
  </si>
  <si>
    <t>Coordinadores y Jefes de Área en Informática, Telecomunicaciones, Transporte y en Investigación y Desarrollo Tecnológico</t>
  </si>
  <si>
    <t>Coordinadores y Jefes de Área en Informática</t>
  </si>
  <si>
    <t>Coordinadores y Jefes de Área en Comunicación y Telecomunicaciones</t>
  </si>
  <si>
    <t>Coordinadores y Jefes de Área en Servicios de Transporte</t>
  </si>
  <si>
    <t>Coordinadores y Jefes de Área en Centros de Investigación y Desarrollo Tecnológico</t>
  </si>
  <si>
    <t>Otros Coordinadores y Jefes de Área en Informática, Telecomunicaciones, Transporte y en Investigación y Desarrollo Tecnológico, no Clasificados Anteriormente</t>
  </si>
  <si>
    <t>Coordinadores y Jefes de Área de Ventas, Restaurantes, Hoteles y otros Establecimientos</t>
  </si>
  <si>
    <t>Coordinadores y Jefes de Área de Ventas, Restaurantes y Hoteles</t>
  </si>
  <si>
    <t>Coordinadores y Jefes de Área de Ventas, Comercialización y Alquiler</t>
  </si>
  <si>
    <t>Coordinadores y Jefes de Área en Museos, Cines y otros Establecimientos</t>
  </si>
  <si>
    <t>Coordinadores y Jefes de Área en Actividades Artísticas, de Cine, Teatro y Afines</t>
  </si>
  <si>
    <t>Coordinadores y Jefes de Área en Museos, Cines, Deportivos y Servicios Culturales</t>
  </si>
  <si>
    <t>Coordinadores y Jefes de Área en Servicios Funerarios y otros Servicios</t>
  </si>
  <si>
    <t>Profesionistas y Técnicos</t>
  </si>
  <si>
    <t>Especialistas en Ciencias Económico-Administrativas, Ciencias Sociales, Humanistas y en Artes</t>
  </si>
  <si>
    <t>Administradores y Mercadólogos</t>
  </si>
  <si>
    <t>Administradores y Especialistas en Recursos Humanos y Sistemas de Gestión</t>
  </si>
  <si>
    <t>Especialistas y Consultores en Mercadotecnia, Publicidad, Comunicación y Comercio Exterior</t>
  </si>
  <si>
    <t>Especialistas en Hotelería y Turismo</t>
  </si>
  <si>
    <t>Contadores, Auditores, Especialistas en Finanzas y en Economía</t>
  </si>
  <si>
    <t>Contadores y Auditores</t>
  </si>
  <si>
    <t>Asesores y Analistas en Finanzas</t>
  </si>
  <si>
    <t>Investigadores y Especialistas en Ciencias Sociales</t>
  </si>
  <si>
    <t>Investigadores y Especialistas en Ciencias Políticas y Administración Pública</t>
  </si>
  <si>
    <t>Abogados</t>
  </si>
  <si>
    <t>Investigadores y Especialistas en Ciencias Humanistas</t>
  </si>
  <si>
    <t>Psicólogos</t>
  </si>
  <si>
    <t>Especialistas en Trabajo Social</t>
  </si>
  <si>
    <t>Sacerdotes, Pastores y otros Teólogos</t>
  </si>
  <si>
    <t>Autores, Periodistas y Traductores</t>
  </si>
  <si>
    <t>Periodistas y Redactores</t>
  </si>
  <si>
    <t>Traductores e Intérpretes</t>
  </si>
  <si>
    <t>Pintores, Diseñadores y Dibujantes Artísticos, Escultores y Escenógrafos</t>
  </si>
  <si>
    <t>Pintores</t>
  </si>
  <si>
    <t>Dibujantes y Diseñadores Artísticos, Ilustradores y Grabadores</t>
  </si>
  <si>
    <t>Escultores</t>
  </si>
  <si>
    <t>Artistas Interpretativos</t>
  </si>
  <si>
    <t>Compositores y Arreglistas</t>
  </si>
  <si>
    <t>Músicos</t>
  </si>
  <si>
    <t>Cantantes</t>
  </si>
  <si>
    <t>Investigadores y Especialistas en Ciencias Exactas, Biológicas, Ingeniería, Informática y en Telecomunicaciones</t>
  </si>
  <si>
    <t>Investigadores y Especialistas en Ciencias Biológicas, Químicas y del Medio Ambiente</t>
  </si>
  <si>
    <t>Biólogos y Especialistas en Ciencias del Mar y Oceanógrafos</t>
  </si>
  <si>
    <t>Químicos</t>
  </si>
  <si>
    <t>Ecólogos y Especialistas en Ciencias Atmosféricas</t>
  </si>
  <si>
    <t>Especialistas en Ciencias Agronómicas</t>
  </si>
  <si>
    <t>Veterinarios y Zootecnistas</t>
  </si>
  <si>
    <t>Ingenieros Eléctricos y en Electrónica</t>
  </si>
  <si>
    <t>Ingenieros Eléctricos</t>
  </si>
  <si>
    <t>Ingenieros Electrónicos</t>
  </si>
  <si>
    <t>Ingenieros Químicos, Mecánicos, Industriales, Mineros y Metalúrgicos</t>
  </si>
  <si>
    <t>Ingenieros Químicos</t>
  </si>
  <si>
    <t>Ingenieros Mecánicos</t>
  </si>
  <si>
    <t>Ingenieros Industriales</t>
  </si>
  <si>
    <t>Ingenieros Civiles, Topógrafos y Arquitectos</t>
  </si>
  <si>
    <t>Ingenieros Civiles y de la Construcción</t>
  </si>
  <si>
    <t>Ingenieros en Topografía, Hidrología, Geología y Geodesia</t>
  </si>
  <si>
    <t>Arquitectos, Planificadores Urbanos y del Transporte</t>
  </si>
  <si>
    <t>Investigadores y Especialistas en Sistemas Computacionales</t>
  </si>
  <si>
    <t>Desarrolladores y Analistas de Software y Multimedia</t>
  </si>
  <si>
    <t>Administradores de Bases de Datos y Redes de Computadora</t>
  </si>
  <si>
    <t>Ingenieros en Comunicaciones y Telecomunicaciones</t>
  </si>
  <si>
    <t>Profesores y Especialistas en Docencia</t>
  </si>
  <si>
    <t>Supervisores Educativos y Especialistas en Ciencias de la Educación</t>
  </si>
  <si>
    <t>Supervisores e Inspectores Educativos</t>
  </si>
  <si>
    <t>Pedagogos, Orientadores Educativos y otros Especialistas en Ciencias Educativas</t>
  </si>
  <si>
    <t>Profesores de Nivel Medio y Superior</t>
  </si>
  <si>
    <t>Profesores Universitarios y de Enseñanza Superior</t>
  </si>
  <si>
    <t>Profesores de Preparatoria y Equivalentes</t>
  </si>
  <si>
    <t>Profesores de Nivel Básico</t>
  </si>
  <si>
    <t>Profesores de Enseñanza Secundaria</t>
  </si>
  <si>
    <t>Profesores de Enseñanza Primaria</t>
  </si>
  <si>
    <t>Profesores de Enseñanza Preescolar</t>
  </si>
  <si>
    <t>Médicos, Enfermeras y otros Especialistas en Salud</t>
  </si>
  <si>
    <t>Médicos Generales y Especialistas</t>
  </si>
  <si>
    <t>Médicos Generales y Familiares</t>
  </si>
  <si>
    <t>Médicos Especialistas</t>
  </si>
  <si>
    <t>Otros Especialistas en Salud</t>
  </si>
  <si>
    <t>Ingenieros Biomédicos</t>
  </si>
  <si>
    <t>Optometristas</t>
  </si>
  <si>
    <t>Especialistas en Seguridad e Higiene y Salud Pública</t>
  </si>
  <si>
    <t>Enfermeras Especialistas</t>
  </si>
  <si>
    <t>Farmacólogos</t>
  </si>
  <si>
    <t>Auxiliares y Técnicos en Ciencias Económico-Administrativas, Ciencias Sociales, Humanistas y en Artes</t>
  </si>
  <si>
    <t>Auxiliares en Administración, Contabilidad y Finanzas</t>
  </si>
  <si>
    <t>Auxiliares en Administración, Mercadotecnia, Comercialización y Comercio Exterior</t>
  </si>
  <si>
    <t>Auxiliares en Contabilidad, Economía, Finanzas y Agentes de Bolsa</t>
  </si>
  <si>
    <t>Valuadores, Subastadores y Rematadores</t>
  </si>
  <si>
    <t>Inspectores Públicos</t>
  </si>
  <si>
    <t>Oficiales del Ministerio Público y Detectives</t>
  </si>
  <si>
    <t>Agentes de Recaudación Tributaria y de Licencias</t>
  </si>
  <si>
    <t>Auxiliares en Ciencias Sociales y Humanistas</t>
  </si>
  <si>
    <t>Auxiliares en Servicios Jurídicos</t>
  </si>
  <si>
    <t>Diseñadores de Modas, Industriales, Gráficos y Decoradores de Interiores</t>
  </si>
  <si>
    <t>Diseñadores Gráficos</t>
  </si>
  <si>
    <t>Decoradores de Interiores, Jardines y Diversos Materiales (Tazas, Llaveros, Etcétera)</t>
  </si>
  <si>
    <t>Locutores, Animadores y Payasos</t>
  </si>
  <si>
    <t>Payasos, Mimos y Cirqueros</t>
  </si>
  <si>
    <t>Deportistas, Entrenadores y Árbitros</t>
  </si>
  <si>
    <t>Entrenadores Deportivos y Directores Técnicos</t>
  </si>
  <si>
    <t>Auxiliares y Técnicos en Ciencias Exactas, Biológicas, Ingeniería, Informática y en Telecomunicaciones</t>
  </si>
  <si>
    <t>Auxiliares y Técnicos en Ciencias Físicas, Matemáticas, Biológicas, Químicas, del Medio Ambiente y Agronómicas</t>
  </si>
  <si>
    <t>Auxiliares y Técnicos en Física, Matemáticas, Estadística y Actuaría</t>
  </si>
  <si>
    <t>Auxiliares y Técnicos en Ciencias Biológicas, Químicas y del Medio Ambiente</t>
  </si>
  <si>
    <t>Auxiliares y Técnicos en Agronomía</t>
  </si>
  <si>
    <t>Auxiliares y Técnicos Industriales, Topógrafos, Mineros y Dibujantes Técnicos</t>
  </si>
  <si>
    <t>Auxiliares y Técnicos Topógrafos, en Hidrología y Geología</t>
  </si>
  <si>
    <t>Auxiliares y Técnicos en Construcción y Arquitectura</t>
  </si>
  <si>
    <t>Mecánicos y Técnicos en Mantenimiento y Reparación de Equipos Mecánicos, Vehículos de Motor, Instrumentos Industriales y Equipo de Refrigeración</t>
  </si>
  <si>
    <t>Supervisores de Mecánicos y Técnicos en Mantenimiento y Reparación de Equipos Mecánicos, Vehículos de Motor, Instrumentos Industriales y Equipo de Refrigeración</t>
  </si>
  <si>
    <t>Técnicos en Mantenimiento y Reparación de Vehículos de Motor</t>
  </si>
  <si>
    <t>Mecánicos en Mantenimiento y Reparación de Vehículos de Motor</t>
  </si>
  <si>
    <t>Técnicos en Mantenimiento y Reparación de Maquinaria e Instrumentos Industriales</t>
  </si>
  <si>
    <t>Mecánicos en Mantenimiento y Reparación de Maquinaria e Instrumentos Industriales</t>
  </si>
  <si>
    <t>Técnicos en la Instalación, Reparación y Mantenimiento de Equipos de Refrigeración, Climas y Aire Acondicionado</t>
  </si>
  <si>
    <t>Mecánicos en Instalación, Mantenimiento y Reparación de Equipos de Refrigeración, Climas y Aire Acondicionado.</t>
  </si>
  <si>
    <t>Otras Ocupaciones de Mecánicos y Técnicos en el Mantenimiento y Reparación de Equipos Mecánicos, Vehículos de Motor e Instrumentos Industriales, no Clasificados Anteriormente</t>
  </si>
  <si>
    <t>Técnicos Eléctricos, en Electrónica y de Equipos en Telecomunicaciones y Electromecánicos</t>
  </si>
  <si>
    <t>Supervisores de Técnicos Eléctricos, en Electrónica y de Equipos en Telecomunicaciones y Electromecánicos</t>
  </si>
  <si>
    <t>Técnicos Eléctricos</t>
  </si>
  <si>
    <t>Electricistas y Linieros</t>
  </si>
  <si>
    <t>Técnicos en Instalación y Reparación de Equipos Electrónicos, Telecomunicaciones y Electrodoméstico (Excepto Equipos Informáticos)</t>
  </si>
  <si>
    <t>Trabajadores en Instalación y Reparación de Equipos Electrónicos, Telecomunicaciones y Electrodoméstico (Excepto Equipos Informáticos)</t>
  </si>
  <si>
    <t>Trabajadores en Reparación de Equipos Electromecánicos</t>
  </si>
  <si>
    <t>Auxiliares y Técnicos en Informática y en Equipos de Comunicaciones y Grabación</t>
  </si>
  <si>
    <t>Técnicos en la Instalación y Reparación de Redes, Equipos y en Sistemas Computacionales</t>
  </si>
  <si>
    <t>Auxiliares y Técnicos de Equipos de Grabación y Reproducción de Video</t>
  </si>
  <si>
    <t>Auxiliares y Técnicos de Ingeniería de Audio, Sonido e Iluminación</t>
  </si>
  <si>
    <t>Fotógrafos</t>
  </si>
  <si>
    <t>Auxiliares y Técnicos en Educación, Instructores y Capacitadores</t>
  </si>
  <si>
    <t>Auxiliares y Técnicos en Pedagogía y en Educación</t>
  </si>
  <si>
    <t>Instructores en Estudios y Capacitación Artística</t>
  </si>
  <si>
    <t>Instructores en Estudios y Capacitación Comercial y Administrativa</t>
  </si>
  <si>
    <t>Instructores en Idiomas Extranjeros</t>
  </si>
  <si>
    <t>Instructores y Capacitadores en Oficios y para el Trabajo</t>
  </si>
  <si>
    <t>Profesores en Educación Física y Deporte</t>
  </si>
  <si>
    <t>Enfermeras, Técnicos en Medicina y Trabajadores de Apoyo en Salud</t>
  </si>
  <si>
    <t>Enfermeras y Técnicos en Medicina</t>
  </si>
  <si>
    <t>Enfermeras (Técnicas)</t>
  </si>
  <si>
    <t>Técnicos en Aparatos de Diagnóstico, Tratamiento Médico, Podólogos y Fisioterapeutas</t>
  </si>
  <si>
    <t>Técnicos de Laboratorios Médicos</t>
  </si>
  <si>
    <t>Técnicos de Prótesis Médicas y Dentales</t>
  </si>
  <si>
    <t>Trabajadores de Apoyo en Salud</t>
  </si>
  <si>
    <t>Auxiliares en Enfermería y Paramédicos</t>
  </si>
  <si>
    <t>Auxiliares y Asistentes Dentales</t>
  </si>
  <si>
    <t>Auxiliares Hospitalarios y de Medicina</t>
  </si>
  <si>
    <t>Técnicos en Seguridad en el Trabajo e Higiene</t>
  </si>
  <si>
    <t>Curanderos, Hierberos y Hueseros</t>
  </si>
  <si>
    <t>Trabajadores Auxiliares en Actividades Administrativas</t>
  </si>
  <si>
    <t>Secretarias, Capturistas, Cajeros y Trabajadores de Control de Archivo y Transporte</t>
  </si>
  <si>
    <t>Supervisores de Secretarias, Capturistas, Cajeros y Trabajadores de Control de Archivo y Transporte</t>
  </si>
  <si>
    <t>Secretarias, Taquígrafos, Mecanógrafos, Capturistas de Datos y Operadores de Máquinas de Oficina</t>
  </si>
  <si>
    <t>Secretarias</t>
  </si>
  <si>
    <t>Capturistas de Datos</t>
  </si>
  <si>
    <t>Trabajadores de Apoyo en Actividades Administrativas Diversas</t>
  </si>
  <si>
    <t>Cajeros, Cobradores y Pagadores</t>
  </si>
  <si>
    <t>Cajeros, Taquilleros y Receptores de Apuestas</t>
  </si>
  <si>
    <t>Cobradores, Pagadores y Prestamistas</t>
  </si>
  <si>
    <t>Trabajadores en Archivo y Control de Almacén y Bodega</t>
  </si>
  <si>
    <t>Trabajadores en Archivo y Correspondencia</t>
  </si>
  <si>
    <t>Encargados y Trabajadores en Control de Almacén y Bodega</t>
  </si>
  <si>
    <t>Trabajadores en el Control de la Operación de Transporte</t>
  </si>
  <si>
    <t>Checadores y Revisores de Transporte</t>
  </si>
  <si>
    <t>Trabajadores que Brindan y Manejan Información</t>
  </si>
  <si>
    <t>Recepcionistas, Trabajadores que Brindan Información y Telefonistas</t>
  </si>
  <si>
    <t>Recepcionistas y Trabajadores que Brindan Información (De Forma Personal)</t>
  </si>
  <si>
    <t>Trabajadores que Brindan Información por Teléfono (Centro de Llamadas) y Anunciadores</t>
  </si>
  <si>
    <t>Telefonistas y Telegrafistas</t>
  </si>
  <si>
    <t>Trabajadores en Agencias de Viajes e Información Turística</t>
  </si>
  <si>
    <t>Trabajadores en Agencias de Viajes</t>
  </si>
  <si>
    <t>Guías de Turismo en Museos, Casinos, Parques, Cines y otros Centros Recreativos</t>
  </si>
  <si>
    <t>Encuestadores y Codificadores</t>
  </si>
  <si>
    <t>Encuestadores</t>
  </si>
  <si>
    <t>Comerciantes, Empleados en Ventas y Agentes de Ventas</t>
  </si>
  <si>
    <t>Comerciantes en Establecimientos</t>
  </si>
  <si>
    <t>Empleados de Ventas en Establecimientos</t>
  </si>
  <si>
    <t>Encargados y Supervisores de Ventas de Productos y de Servicios Financieros y de Alquiler</t>
  </si>
  <si>
    <t>Empleados de Ventas y Vendedores por Teléfono</t>
  </si>
  <si>
    <t>Empleados de Ventas, Despachadores y Dependientes en Comercios</t>
  </si>
  <si>
    <t>Anaqueleros, Acomodadores y Seleccionadores de Mercancías y Alimentadores de Máquinas Expendedoras</t>
  </si>
  <si>
    <t>Vendedores por Teléfono</t>
  </si>
  <si>
    <t>Choferes Vendedores</t>
  </si>
  <si>
    <t>Agentes, Representantes de Ventas y Vendedores por Catálogo</t>
  </si>
  <si>
    <t>Agentes y Representantes de Ventas y Consignatarios</t>
  </si>
  <si>
    <t>Agentes de Seguros y Servicios Financieros (Ejecutivos de Cuenta)</t>
  </si>
  <si>
    <t>Agentes de Bienes Raíces</t>
  </si>
  <si>
    <t>Vendedores por Catálogo</t>
  </si>
  <si>
    <t>Trabajadores en la Promoción de Ventas y Modelos</t>
  </si>
  <si>
    <t>Demostradores y Promotores</t>
  </si>
  <si>
    <t>Modelos de Moda, Arte y Publicidad</t>
  </si>
  <si>
    <t>Trabajadores en el Alquiler</t>
  </si>
  <si>
    <t>Trabajadores en el Alquiler Inmobiliario (Casas, Terrenos, Etcétera)</t>
  </si>
  <si>
    <t>Trabajadores en el Alquiler de Bienes Muebles (Loza, Películas, Video Juegos, Etcétera)</t>
  </si>
  <si>
    <t>Trabajadores en Servicios Personales y Vigilancia</t>
  </si>
  <si>
    <t>Trabajadores en la Preparación y Servicio de Alimentos y Bebidas en Establecimientos</t>
  </si>
  <si>
    <t>Supervisores en la Preparación y Servicio de Alimentos y Bebidas, Así como en Servicios de Esparcimiento y de Hotelería</t>
  </si>
  <si>
    <t>Cocineros</t>
  </si>
  <si>
    <t>Fonderos, Vendedores y Comerciantes de Comida</t>
  </si>
  <si>
    <t>Cocineros Domésticos</t>
  </si>
  <si>
    <t>Taqueros y Preparadores de Comida Rápida, Antojitos, Pizzas, Hot Dogs, Jugos, Café, Etcétera</t>
  </si>
  <si>
    <t>Cantineros</t>
  </si>
  <si>
    <t>Meseros</t>
  </si>
  <si>
    <t>Trabajadores en Cuidados Personales y del Hogar</t>
  </si>
  <si>
    <t>Peluqueros, Embellecedores y Similares</t>
  </si>
  <si>
    <t>Peluqueros, Barberos, Estilistas y Peinadores</t>
  </si>
  <si>
    <t>Maquillistas, Manicuristas, Pedicuristas y Tatuadores</t>
  </si>
  <si>
    <t>Bañeros y Masajistas</t>
  </si>
  <si>
    <t>Trabajadores en el Cuidado de Personas</t>
  </si>
  <si>
    <t>Cuidadores de Niños, Personas con Discapacidad y Ancianos en Establecimientos</t>
  </si>
  <si>
    <t>Cuidadores de Niños, Personas con Discapacidad y Ancianos en Casas Particulares</t>
  </si>
  <si>
    <t>Jardineros</t>
  </si>
  <si>
    <t>Jardineros en Establecimientos</t>
  </si>
  <si>
    <t>Jardineros en Casas Particulares</t>
  </si>
  <si>
    <t>Trabajadores en otros Servicios Personales</t>
  </si>
  <si>
    <t>Astrólogos, Adivinadores y Afines</t>
  </si>
  <si>
    <t>Trabajadores en Servicios Funerarios</t>
  </si>
  <si>
    <t>Entrenadores de Animales y Ocupaciones Relacionadas con el Cuidado de Mascotas</t>
  </si>
  <si>
    <t>Trabajadores en Servicios de Protección y Vigilancia</t>
  </si>
  <si>
    <t>Supervisores en Servicios de Protección y Vigilancia</t>
  </si>
  <si>
    <t>Policías y Agentes de Tránsito</t>
  </si>
  <si>
    <t>Vigilantes y Guardias en Establecimientos</t>
  </si>
  <si>
    <t>Vigilantes y Porteros en Casas Particulares</t>
  </si>
  <si>
    <t>Trabajadores de las Fuerzas Armadas</t>
  </si>
  <si>
    <t>Supervisores de las Fuerzas Armadas</t>
  </si>
  <si>
    <t>Trabajadores de la Fuerza Armada Aérea</t>
  </si>
  <si>
    <t>Trabajadores de la Fuerza Armada Terrestre</t>
  </si>
  <si>
    <t>Trabajadores en Actividades Agrícolas, Ganaderas, Forestales, Caza y Pesca</t>
  </si>
  <si>
    <t>Trabajadores en Actividades Agrícolas y Ganaderas</t>
  </si>
  <si>
    <t>Trabajadores en Actividades Agrícolas</t>
  </si>
  <si>
    <t>Trabajadores en el Cultivo de Maíz Y/O Frijol</t>
  </si>
  <si>
    <t>Trabajadores en el Cultivo de Hortalizas y Verduras</t>
  </si>
  <si>
    <t>Trabajadores en el Cultivo de Frutales</t>
  </si>
  <si>
    <t>Trabajadores en el Cultivo de Flores</t>
  </si>
  <si>
    <t>Trabajadores en otros Cultivos Agrícolas</t>
  </si>
  <si>
    <t>Trabajadores en Actividades de Beneficio de Productos Agrícolas</t>
  </si>
  <si>
    <t>Trabajadores en Actividades Ganaderas y en la Cría de Animales</t>
  </si>
  <si>
    <t>Trabajadores en la Cría de Ganado Bovino</t>
  </si>
  <si>
    <t>Trabajadores en la Cría de Porcinos</t>
  </si>
  <si>
    <t>Trabajadores en la Cría Avícola</t>
  </si>
  <si>
    <t>Trabajadores en la Cría de Caprinos y Ovinos</t>
  </si>
  <si>
    <t>Trabajadores en la Cría de Equinos</t>
  </si>
  <si>
    <t>Trabajadores en la Apicultura</t>
  </si>
  <si>
    <t>Trabajadores en la Cría y Cuidado de otro Tipo de Animales</t>
  </si>
  <si>
    <t>Trabajadores que Combinan Actividades Agrícolas con Ganaderas</t>
  </si>
  <si>
    <t>Trabajadores en Actividades Pesqueras, Forestales, Caza y Similares</t>
  </si>
  <si>
    <t>Supervisores, Encargados y Capataces de Trabajadores en Actividades Pesqueras, Acuícolas, Forestales, Caza y Similares</t>
  </si>
  <si>
    <t>Trabajadores en Actividades Silvícolas y Forestales</t>
  </si>
  <si>
    <t>Trabajadores en Viveros e Invernaderos</t>
  </si>
  <si>
    <t>Cortadores de Leña</t>
  </si>
  <si>
    <t>Trabajadores en Actividades de Recolección de Plantas, Hierbas y Raíces no Cultivadas</t>
  </si>
  <si>
    <t>Operadores de Maquinaria Agropecuaria y Forestal</t>
  </si>
  <si>
    <t>Trabajadores Artesanales</t>
  </si>
  <si>
    <t>Trabajadores en la Extracción y la Edificación de Construcciones</t>
  </si>
  <si>
    <t>Supervisores de Trabajadores en la Extracción, Albañiles y en Acabados de la Construcción</t>
  </si>
  <si>
    <t>Trabajadores en la Extracción</t>
  </si>
  <si>
    <t>Mineros y Trabajadores en la Extracción en Minas de Minerales Metálicos</t>
  </si>
  <si>
    <t>Trabajadores en la Extracción de Cantera, Arcilla, Arena, Piedra y Grava</t>
  </si>
  <si>
    <t>Albañiles y otros Trabajadores en la Edificación de Construcciones</t>
  </si>
  <si>
    <t>Albañiles, Mamposteros y Afines</t>
  </si>
  <si>
    <t>Techadores (Colocadores de Palapas, Etcétera)</t>
  </si>
  <si>
    <t>Yeseros, Instaladores de Pisos, Climas, Impermeabilizante, Vidrio, Etc., Plomeros y Pintores</t>
  </si>
  <si>
    <t>Yeseros, Escayolistas y otros Recubridores de Techos y Paredes</t>
  </si>
  <si>
    <t>Instaladores de Pisos, Azulejos, Mosaicos y Baldosas</t>
  </si>
  <si>
    <t>Instaladores de Material Aislante, de Impermeabilización, Vidrio y otros Materiales</t>
  </si>
  <si>
    <t>Plomeros, Fontaneros e Instaladores de Tubería</t>
  </si>
  <si>
    <t>Pintores de Brocha Gorda</t>
  </si>
  <si>
    <t>Artesanos y Trabajadores en el Tratamiento y Elaboración de Productos de Metal</t>
  </si>
  <si>
    <t>Supervisores de Artesanos y Trabajadores en el Tratamiento y Elaboración de Productos de Metal</t>
  </si>
  <si>
    <t>Moldeadores, Soldadores, Hojalateros y Pintores de Metales</t>
  </si>
  <si>
    <t>Moldeadores, Torneros y Troqueladores</t>
  </si>
  <si>
    <t>Soldadores y Oxicortadores</t>
  </si>
  <si>
    <t>Hojalateros, Chaperos, Latoneros, Cobreros y Pintores de Metales</t>
  </si>
  <si>
    <t>Herreros, Cerrajeros, Joyeros y Artesanos en la Elaboración de Productos de Metal</t>
  </si>
  <si>
    <t>Herreros, Balconeros, Aluminadores y Forjadores</t>
  </si>
  <si>
    <t>Cerrajeros, Afiladores y Pulidores de Herramientas</t>
  </si>
  <si>
    <t>Artesanos y Trabajadores en la Elaboración de Productos de Madera, Papel, Textiles y de Cuero y Piel</t>
  </si>
  <si>
    <t>Artesanos y Trabajadores en la Elaboración de Productos de Madera</t>
  </si>
  <si>
    <t>Carpinteros, Ebanistas y Cepilladores en la Elaboración de Productos de Madera</t>
  </si>
  <si>
    <t>Pintores y Barnizadores de Madera</t>
  </si>
  <si>
    <t>Artesanos de Productos de Bejuco, Vara, Palma, Carrizo y Mimbre, Excepto Madera</t>
  </si>
  <si>
    <t>Artesanos y Trabajadores en la Elaboración de Productos de Papel, Cartón y Trabajos de Impresión</t>
  </si>
  <si>
    <t>Artesanos y Trabajadores en la Elaboración de Productos de Papel y Cartón</t>
  </si>
  <si>
    <t>Impresores, Linotipistas, Fotograbadores y Encuadernadores</t>
  </si>
  <si>
    <t>Tejedores y Trabajadores en la Preparación de Fibras Textiles</t>
  </si>
  <si>
    <t>Tejedores de Fibras</t>
  </si>
  <si>
    <t>Artesanos y Trabajadores en la Elaboración de Productos Textiles</t>
  </si>
  <si>
    <t>Sastres y Modistos, Costureras y Confeccionadores de Prendas de Vestir</t>
  </si>
  <si>
    <t>Artesanos y Confeccionadores de Productos Textiles</t>
  </si>
  <si>
    <t>Bordadores y Deshiladores</t>
  </si>
  <si>
    <t>Patronistas de Productos Textiles</t>
  </si>
  <si>
    <t>Tapiceros y Trabajadores en el Tratamiento y Elaboración de Productos de Cuero y Piel</t>
  </si>
  <si>
    <t>Tapiceros</t>
  </si>
  <si>
    <t>Peleteros, Cortadores, Curtidores y Teñidores de Cuero, Piel y Similares</t>
  </si>
  <si>
    <t>Zapateros Artesanales</t>
  </si>
  <si>
    <t>Artesanos y Trabajadores en la Elaboración de Productos de Hule, Caucho, Plásticos y de Sustancias Químicas</t>
  </si>
  <si>
    <t>Trabajadores en la Elaboración y Reparación de Productos de Hule, Caucho, Plásticos y Vulcanización de Neumáticos</t>
  </si>
  <si>
    <t>Trabajadores en la Elaboración de Sustancias y Compuestos Químicos</t>
  </si>
  <si>
    <t>Trabajadores en la Elaboración y Procesamiento de Alimentos, Bebidas y Productos de Tabaco</t>
  </si>
  <si>
    <t>Supervisores de Trabajadores en la Elaboración y Procesamiento de Alimentos, Bebidas y Productos de Tabaco</t>
  </si>
  <si>
    <t>Trabajadores en la Elaboración de Productos de Carne, Pescado y sus Derivados</t>
  </si>
  <si>
    <t>Trabajadores en la Elaboración de Productos Lácteos</t>
  </si>
  <si>
    <t>Trabajadores en la Elaboración de Pan, Tortilla, Repostería, y otros Productos de Cereales y Harinas</t>
  </si>
  <si>
    <t>Trabajadores en la Elaboración de Productos a Base de Frutas y Verduras</t>
  </si>
  <si>
    <t>Trabajadores en la Elaboración de Productos a Base de Azúcar, Chocolate, Confitería y Tabaco</t>
  </si>
  <si>
    <t>Trabajadores en la Elaboración de Bebidas Alcohólicas y no Alcohólicas</t>
  </si>
  <si>
    <t>Artesanos y Trabajadores en la Elaboración de Productos de Cerámica, Vidrio, Azulejo y Similares</t>
  </si>
  <si>
    <t>Alfareros y Trabajadores Ceramistas</t>
  </si>
  <si>
    <t>Trabajadores en la Elaboración de Productos de Cemento, Cal, Yeso, Azulejo, Piedra y Ladrilleros</t>
  </si>
  <si>
    <t>Operadores de Maquinaria Industrial, Ensambladores, Choferes y Conductores de Transporte</t>
  </si>
  <si>
    <t>Operadores de Instalaciones y Maquinaria Industrial</t>
  </si>
  <si>
    <t>Supervisores de Operadores de Maquinaria Industrial</t>
  </si>
  <si>
    <t>Operadores de Máquinas y Equipos para la Extracción en Minas, Canteras y Pozos</t>
  </si>
  <si>
    <t>Operadores de Máquinas y Equipos para la Extracción y Beneficio en Minas y Canteras</t>
  </si>
  <si>
    <t>Operadores de Máquinas y Equipos en la Fabricación Metalúrgica, Fabricación de Maquinaria y Productos Metálicos</t>
  </si>
  <si>
    <t>Operadores de Hornos Metalúrgicos, Coladores y Laminadores y Operadores de Máquinas Trefiladoras y Estiradoras de Metales</t>
  </si>
  <si>
    <t>Operadores de Máquinas que Cortan, Perforan, Doblan, Troquelan, Sueldan, Etc., Piezas y Productos Metálicos</t>
  </si>
  <si>
    <t>Operadores de Máquinas y Equipos en la Elaboración de Productos Químicos, Plásticos, Tratamiento de Agua y Petroquímica</t>
  </si>
  <si>
    <t>Operadores de Máquinas para la Elaboración de Productos Químicos</t>
  </si>
  <si>
    <t>Operadores de Máquinas para la Elaboración de Productos Farmacéuticos y Cosméticos</t>
  </si>
  <si>
    <t>Operadores de Máquinas para la Elaboración y Ensamble de Productos de Plástico y Hule</t>
  </si>
  <si>
    <t>Operadores de Máquinas para el Tratamiento de Agua</t>
  </si>
  <si>
    <t>Operadores de Máquinas para la Madera y Papel</t>
  </si>
  <si>
    <t>Operadores de Máquinas para el Tratamiento de la Madera y Elaboración de Aglomerados y Triplay</t>
  </si>
  <si>
    <t>Operadores de Máquinas para la Elaboración de Productos a Base de Papel y Cartón</t>
  </si>
  <si>
    <t>Operadores de Máquinas y Equipos en la Elaboración de Productos Textiles, Cuero y Piel</t>
  </si>
  <si>
    <t>Operadores de Máquinas y Equipos de Hilar y Bobinar Fibras Textiles Naturales y Sintéticas</t>
  </si>
  <si>
    <t>Operadores de Máquinas para Fabricar Tejidos de Punto, Telas y Alfombras</t>
  </si>
  <si>
    <t>Operadores de Máquinas de Costura, Bordado y de Corte para la Confección de Productos Textiles y Prendas de Vestir</t>
  </si>
  <si>
    <t>Operadores de Máquinas en el Tratamiento del Cuero, Piel y la Elaboración de Calzado</t>
  </si>
  <si>
    <t>Operadores de Máquinas de Lavado, Blanqueo, Teñido, Estampado, Afelpado, Planchado y Acabado de Productos Textiles, Cuero, Piel y Similares</t>
  </si>
  <si>
    <t>Operadores de Máquinas en la Elaboración de Alimentos, Bebidas y Tabaco</t>
  </si>
  <si>
    <t>Operadores de Máquinas en la Elaboración de Alimentos, Aceites, Grasas, Sal y Especias</t>
  </si>
  <si>
    <t>Operadores de Máquinas en la Elaboración de Tabaco</t>
  </si>
  <si>
    <t>Operadores de Máquinas en la Elaboración de Bebidas Alcohólicas y no Alcohólicas</t>
  </si>
  <si>
    <t>Operadores de Máquinas en la Elaboración de Cemento y Productos de Cerámica, Vidrio y Similares</t>
  </si>
  <si>
    <t>Operadores de Máquinas en la Elaboración de Cemento, Cal, Yeso y Productos de Cemento</t>
  </si>
  <si>
    <t>Operadores de Máquinas para la Generación de Energía</t>
  </si>
  <si>
    <t>Operadores de Máquinas e Instalaciones para la Generación de Energía</t>
  </si>
  <si>
    <t>Ensambladores y Montadores de Herramientas, Maquinaria, Productos Metálicos y Electrónicos</t>
  </si>
  <si>
    <t>Supervisores en Procesos de Ensamblado y Montaje de Maquinaria, Herramientas y Productos Metálicos y Electrónicos</t>
  </si>
  <si>
    <t>Ensambladores y Montadores de Herramientas, Maquinaria, Equipos y Productos Metálicos</t>
  </si>
  <si>
    <t>Conductores de Transporte y de Maquinaria Móvil</t>
  </si>
  <si>
    <t>Supervisores de Conductores de Transporte y de Maquinaria Móvil</t>
  </si>
  <si>
    <t>Conductores de Transporte Terrestre con Motor</t>
  </si>
  <si>
    <t>Conductores de Camiones, Camionetas y Automóviles de Carga</t>
  </si>
  <si>
    <t>Conductores de Autobuses, Camiones, Camionetas, Taxis y Automóviles de Pasajeros</t>
  </si>
  <si>
    <t>Choferes en Casas Particulares</t>
  </si>
  <si>
    <t>Conductores de Motocicleta</t>
  </si>
  <si>
    <t>Conductores de Maquinaria Móvil</t>
  </si>
  <si>
    <t>Conductores de Maquinaria Móvil para la Construcción y Minería</t>
  </si>
  <si>
    <t>Conductores de Maquinaria Móvil para el Movimiento de Mercancías en Fábricas, Puertos, Comercios, Etcétera</t>
  </si>
  <si>
    <t>Trabajadores en Actividades Elementales y de Apoyo</t>
  </si>
  <si>
    <t>Trabajadores de Apoyo en Actividades Agropecuarias, Forestales, Pesca y Caza</t>
  </si>
  <si>
    <t>Trabajadores de Apoyo en Actividades Agropecuarias</t>
  </si>
  <si>
    <t>Trabajadores de Apoyo en Actividades Agrícolas</t>
  </si>
  <si>
    <t>Trabajadores de Apoyo en Actividades Ganaderas</t>
  </si>
  <si>
    <t>Trabajadores de Apoyo que Realizan Actividades Agrícolas y Ganaderas</t>
  </si>
  <si>
    <t>Trabajadores de Apoyo en Actividades Forestales, Pesca y Caza</t>
  </si>
  <si>
    <t>Trabajadores de Apoyo en Actividades Silvícolas y Forestales</t>
  </si>
  <si>
    <t>Recolectores de Leña y Acarreadores de Agua</t>
  </si>
  <si>
    <t>Trabajadores de Apoyo en la Minería, Construcción e Industria</t>
  </si>
  <si>
    <t>Trabajadores de Apoyo en la Construcción y la Plomería</t>
  </si>
  <si>
    <t>Trabajadores de Apoyo en la Construcción</t>
  </si>
  <si>
    <t>Trabajadores de Apoyo en Plomería e Instalación de Tuberías</t>
  </si>
  <si>
    <t>Trabajadores de Apoyo en la Industria</t>
  </si>
  <si>
    <t>Trabajadores de Apoyo en la Elaboración, Reparación y Mantenimiento Mecánico de Equipos, Maquinaria y Productos de Metal y de Precisión</t>
  </si>
  <si>
    <t>Trabajadores de Apoyo en la Industria Eléctrica, Electrónica y Comunicaciones</t>
  </si>
  <si>
    <t>Trabajadores de Apoyo en la Industria Química, Petroquímica y Plásticos</t>
  </si>
  <si>
    <t>Trabajadores de Apoyo en la Industria de la Madera, Papel y Cartón</t>
  </si>
  <si>
    <t>Trabajadores de Apoyo en la Industria Textil y del Zapato</t>
  </si>
  <si>
    <t>Trabajadores de Apoyo en la Industria de Alimentos, Bebidas y Productos de Tabaco</t>
  </si>
  <si>
    <t>Trabajadores de Apoyo en la Industria de la Cerámica, Vidrio y Similares</t>
  </si>
  <si>
    <t>Ayudantes de Conductores de Transporte, Conductores de Transporte de Tracción Humana y Animal y Cargadores</t>
  </si>
  <si>
    <t>Ayudantes de Conductores de Transporte</t>
  </si>
  <si>
    <t>Ayudantes de Conductores de Transporte Terrestre con Motor</t>
  </si>
  <si>
    <t>Cargadores</t>
  </si>
  <si>
    <t>Ayudantes en la Preparación de Alimentos</t>
  </si>
  <si>
    <t>Vendedores Ambulantes</t>
  </si>
  <si>
    <t>Vendedores Ambulantes (Excluyendo los de Venta de Alimentos)</t>
  </si>
  <si>
    <t>Vendedores Ambulantes de Artículos Diversos (Excluyendo los de Venta de Alimentos)</t>
  </si>
  <si>
    <t>Vendedores Ambulantes de Alimentos</t>
  </si>
  <si>
    <t>Preparadores y Vendedores Ambulantes de Alimentos</t>
  </si>
  <si>
    <t>Trabajadores Domésticos, de Limpieza, Planchadores y otros Trabajadores de Limpieza</t>
  </si>
  <si>
    <t>Supervisores en Limpieza, Amas de Llaves, Mayordomos y en Estacionamientos</t>
  </si>
  <si>
    <t>Trabajadores Domésticos</t>
  </si>
  <si>
    <t>Trabajadores de Limpieza, Recamaristas, Mozos de Limpieza y Limpiadores de Calzado</t>
  </si>
  <si>
    <t>Barrenderos y Trabajadores de Limpieza (Excepto en Hoteles y Restaurantes)</t>
  </si>
  <si>
    <t>Recamaristas y Camaristas</t>
  </si>
  <si>
    <t>Mozos de Hotel y Restaurante</t>
  </si>
  <si>
    <t>Limpiadores de Calzado</t>
  </si>
  <si>
    <t>Lavadores y Cuidadores de Vehículos</t>
  </si>
  <si>
    <t>Lavadores de Vehículos en Establecimientos</t>
  </si>
  <si>
    <t>Lavadores de Vehículos en Vía Pública</t>
  </si>
  <si>
    <t>Cuidadores y Acomodadores de Autos en Estacionamientos</t>
  </si>
  <si>
    <t>Lavanderos y Planchadores</t>
  </si>
  <si>
    <t>Lavanderos en Establecimientos</t>
  </si>
  <si>
    <t>Planchadores y Tintoreros en Establecimientos</t>
  </si>
  <si>
    <t>Lavanderos y Planchadores Domésticos</t>
  </si>
  <si>
    <t>Ayudantes de Jardineros</t>
  </si>
  <si>
    <t>Recolectores de Desechos, Material Reciclable y otros Materiales</t>
  </si>
  <si>
    <t>Recolectores de Basura y Material Reciclable</t>
  </si>
  <si>
    <t>Clasificadores de Desechos</t>
  </si>
  <si>
    <t>Trabajadores de Paquetería, de Apoyo para Espectáculos y Repartidores de Mercancías</t>
  </si>
  <si>
    <t>Trabajadores de Paquetería, Empacado y de Apoyo para Espectáculos</t>
  </si>
  <si>
    <t>Trabajadores de Paquetería, Maleteros y Botones de Hotel</t>
  </si>
  <si>
    <t>Empacadores de Objetos y Mercancías</t>
  </si>
  <si>
    <t>Trabajadores Repartidores de Mensajería y Mercancías (A Pie y en Bicicleta)</t>
  </si>
  <si>
    <t>Repartidores de Mensajería (A Pie y en Bicicleta) y Mandaderos</t>
  </si>
  <si>
    <t xml:space="preserve">Diferencia </t>
  </si>
  <si>
    <t>Salario Variables</t>
  </si>
  <si>
    <t>Volumen</t>
  </si>
  <si>
    <t>Categoria</t>
  </si>
  <si>
    <t>Pareja</t>
  </si>
  <si>
    <t>Categoria Pareja</t>
  </si>
  <si>
    <t>Trabajadores</t>
  </si>
  <si>
    <t>Pax</t>
  </si>
  <si>
    <t>Salario Promedio</t>
  </si>
  <si>
    <t>AVG Salario</t>
  </si>
  <si>
    <t>Media</t>
  </si>
  <si>
    <t>Media Salario</t>
  </si>
  <si>
    <t>Valor Mercado Jalisco</t>
  </si>
  <si>
    <t>Matrimonio</t>
  </si>
  <si>
    <t>Potencial Parejas</t>
  </si>
  <si>
    <t>Salario Potencial</t>
  </si>
  <si>
    <t>Valor de Mercado en Jalisco</t>
  </si>
  <si>
    <t>Min</t>
  </si>
  <si>
    <t>&lt;5000 mil G</t>
  </si>
  <si>
    <t>&lt;5-8K F</t>
  </si>
  <si>
    <t>8-12K F1</t>
  </si>
  <si>
    <t>12-16K E</t>
  </si>
  <si>
    <t>16-20K E1</t>
  </si>
  <si>
    <t>20-25K D</t>
  </si>
  <si>
    <t>25-30K D1</t>
  </si>
  <si>
    <t>30-35K C</t>
  </si>
  <si>
    <t>35-40K C1</t>
  </si>
  <si>
    <t>40-45K B</t>
  </si>
  <si>
    <t>45-50K B1</t>
  </si>
  <si>
    <t>50-55K A</t>
  </si>
  <si>
    <t>55-60K A1</t>
  </si>
  <si>
    <t>60K S+</t>
  </si>
  <si>
    <t>Porcentaje</t>
  </si>
  <si>
    <t>Posiciones</t>
  </si>
  <si>
    <t>Promedio</t>
  </si>
  <si>
    <t>Gente Trabajando</t>
  </si>
  <si>
    <t>Promedio Mer</t>
  </si>
  <si>
    <t>Total de Valor</t>
  </si>
  <si>
    <t>Promedio Valor</t>
  </si>
  <si>
    <t>SALARIO PAREJA TEST</t>
  </si>
  <si>
    <t>&lt;5 mil-8 mil F</t>
  </si>
  <si>
    <t>8 mil -12 mil F1</t>
  </si>
  <si>
    <t>[Menor a 5000 mil] G</t>
  </si>
  <si>
    <t>[5 mil-8 mil] F</t>
  </si>
  <si>
    <t>[8 mil-12mil] F1</t>
  </si>
  <si>
    <t>[12 mil-16mil] E</t>
  </si>
  <si>
    <t>[16 mil-20 mil] E1</t>
  </si>
  <si>
    <t>[20 mil -25 mil] D</t>
  </si>
  <si>
    <t>[25 mil-30mil] D1</t>
  </si>
  <si>
    <t>[30 mil-35 mil] C</t>
  </si>
  <si>
    <t>[35 mil-40 mil] C1</t>
  </si>
  <si>
    <t>[40 mil-45 mil] B</t>
  </si>
  <si>
    <t>[45 mil-50 mil] B1</t>
  </si>
  <si>
    <t>[50 mil-55 mil] A</t>
  </si>
  <si>
    <t>[55 mil-60 mil] A1</t>
  </si>
  <si>
    <t>[Mayor a 60 mil] S</t>
  </si>
  <si>
    <t>Población</t>
  </si>
  <si>
    <t xml:space="preserve">Trabajadores </t>
  </si>
  <si>
    <t>Trabajadores Q</t>
  </si>
  <si>
    <t>Total workforce</t>
  </si>
  <si>
    <t>Persona</t>
  </si>
  <si>
    <t>Clasificación del Mercado</t>
  </si>
  <si>
    <t>%</t>
  </si>
  <si>
    <t>G</t>
  </si>
  <si>
    <t>F</t>
  </si>
  <si>
    <t>F1</t>
  </si>
  <si>
    <t>E</t>
  </si>
  <si>
    <t>E1</t>
  </si>
  <si>
    <t>D</t>
  </si>
  <si>
    <t>D1</t>
  </si>
  <si>
    <t>C</t>
  </si>
  <si>
    <t>C1</t>
  </si>
  <si>
    <t>B</t>
  </si>
  <si>
    <t>B1</t>
  </si>
  <si>
    <t>A</t>
  </si>
  <si>
    <t>A1</t>
  </si>
  <si>
    <t>S</t>
  </si>
  <si>
    <t xml:space="preserve">Mercado D </t>
  </si>
  <si>
    <t>SECTOR</t>
  </si>
  <si>
    <t>INSTITUCIÓN</t>
  </si>
  <si>
    <t>DESEMBOLSO INICIAL
(incluye enganche)</t>
  </si>
  <si>
    <t>PAGO MENSUAL
(inicial)</t>
  </si>
  <si>
    <t>INGRESOS A COMPROBAR</t>
  </si>
  <si>
    <t>PAGO TOTAL
(suma de todas las mensualidades)</t>
  </si>
  <si>
    <t>TASA DE INTERES
(inicial)</t>
  </si>
  <si>
    <t>CAT</t>
  </si>
  <si>
    <t>TABLA DE AMORTIZACIÓN</t>
  </si>
  <si>
    <t>Banco</t>
  </si>
  <si>
    <t>10.45 %</t>
  </si>
  <si>
    <t>Ver Tabla</t>
  </si>
  <si>
    <t>11.00 %</t>
  </si>
  <si>
    <t>11.10 %</t>
  </si>
  <si>
    <t>11.75 %</t>
  </si>
  <si>
    <t>10.15 %</t>
  </si>
  <si>
    <t>10.80 %</t>
  </si>
  <si>
    <t>11.18 %</t>
  </si>
  <si>
    <t>12.75 %</t>
  </si>
  <si>
    <t>12.00 %</t>
  </si>
  <si>
    <t>Mediana</t>
  </si>
  <si>
    <t>Max</t>
  </si>
  <si>
    <t>10.99 %</t>
  </si>
  <si>
    <t>Mercado B</t>
  </si>
  <si>
    <t>Mercado A</t>
  </si>
  <si>
    <t>NA</t>
  </si>
  <si>
    <t>10.40 %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</si>
</sst>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0.0000"/>
  </numFmts>
  <fonts count="1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</font>
    <font>
      <sz val="12.0"/>
      <color theme="1"/>
      <name val="Calibri"/>
    </font>
    <font>
      <color theme="1"/>
      <name val="Arial"/>
      <scheme val="minor"/>
    </font>
    <font>
      <color theme="1"/>
      <name val="Helvetica Neue"/>
    </font>
    <font>
      <sz val="12.0"/>
      <color theme="1"/>
      <name val="Arial"/>
    </font>
    <font>
      <sz val="12.0"/>
      <color theme="1"/>
      <name val="Verdana"/>
    </font>
    <font>
      <sz val="11.0"/>
      <color theme="1"/>
      <name val="Inconsolata"/>
    </font>
    <font>
      <color rgb="FF37352F"/>
      <name val="Arial"/>
      <scheme val="minor"/>
    </font>
    <font>
      <sz val="11.0"/>
      <color theme="1"/>
      <name val="Inherit"/>
    </font>
    <font>
      <color theme="1"/>
      <name val="Montserrat"/>
    </font>
    <font>
      <color rgb="FF393C3E"/>
      <name val="Montserrat"/>
    </font>
    <font>
      <u/>
      <color rgb="FF1122CC"/>
      <name val="Montserrat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6F6F6"/>
        <bgColor rgb="FFF6F6F6"/>
      </patternFill>
    </fill>
    <fill>
      <patternFill patternType="solid">
        <fgColor rgb="FFDDDDDD"/>
        <bgColor rgb="FFDDDDDD"/>
      </patternFill>
    </fill>
    <fill>
      <patternFill patternType="solid">
        <fgColor rgb="FFC6D5E1"/>
        <bgColor rgb="FFC6D5E1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medium">
        <color rgb="FFDDDDDD"/>
      </bottom>
    </border>
    <border>
      <top style="thin">
        <color rgb="FFDDDDDD"/>
      </top>
      <bottom style="thin">
        <color rgb="FFC6D5E1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shrinkToFit="0" vertical="bottom" wrapText="0"/>
    </xf>
    <xf borderId="0" fillId="0" fontId="4" numFmtId="4" xfId="0" applyFont="1" applyNumberFormat="1"/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2" fontId="5" numFmtId="0" xfId="0" applyFill="1" applyFont="1"/>
    <xf borderId="1" fillId="0" fontId="4" numFmtId="0" xfId="0" applyBorder="1" applyFont="1"/>
    <xf borderId="1" fillId="0" fontId="4" numFmtId="164" xfId="0" applyBorder="1" applyFont="1" applyNumberFormat="1"/>
    <xf borderId="0" fillId="0" fontId="4" numFmtId="164" xfId="0" applyFont="1" applyNumberFormat="1"/>
    <xf borderId="0" fillId="2" fontId="5" numFmtId="0" xfId="0" applyAlignment="1" applyFont="1">
      <alignment readingOrder="0"/>
    </xf>
    <xf borderId="0" fillId="0" fontId="5" numFmtId="0" xfId="0" applyFont="1"/>
    <xf borderId="0" fillId="0" fontId="4" numFmtId="164" xfId="0" applyFont="1" applyNumberFormat="1"/>
    <xf borderId="1" fillId="3" fontId="2" numFmtId="0" xfId="0" applyAlignment="1" applyBorder="1" applyFill="1" applyFont="1">
      <alignment vertical="bottom"/>
    </xf>
    <xf borderId="2" fillId="0" fontId="6" numFmtId="0" xfId="0" applyAlignment="1" applyBorder="1" applyFont="1">
      <alignment readingOrder="0" vertical="bottom"/>
    </xf>
    <xf borderId="2" fillId="0" fontId="6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4" fillId="0" fontId="6" numFmtId="10" xfId="0" applyAlignment="1" applyBorder="1" applyFont="1" applyNumberFormat="1">
      <alignment horizontal="right" vertical="bottom"/>
    </xf>
    <xf borderId="4" fillId="0" fontId="7" numFmtId="0" xfId="0" applyAlignment="1" applyBorder="1" applyFont="1">
      <alignment horizontal="right" vertical="bottom"/>
    </xf>
    <xf borderId="4" fillId="4" fontId="8" numFmtId="0" xfId="0" applyAlignment="1" applyBorder="1" applyFill="1" applyFont="1">
      <alignment horizontal="right" vertical="bottom"/>
    </xf>
    <xf borderId="4" fillId="0" fontId="6" numFmtId="0" xfId="0" applyAlignment="1" applyBorder="1" applyFont="1">
      <alignment horizontal="right" vertical="bottom"/>
    </xf>
    <xf borderId="0" fillId="0" fontId="4" numFmtId="0" xfId="0" applyFont="1"/>
    <xf borderId="4" fillId="4" fontId="8" numFmtId="164" xfId="0" applyAlignment="1" applyBorder="1" applyFont="1" applyNumberFormat="1">
      <alignment horizontal="right" vertical="bottom"/>
    </xf>
    <xf borderId="4" fillId="0" fontId="6" numFmtId="164" xfId="0" applyAlignment="1" applyBorder="1" applyFont="1" applyNumberFormat="1">
      <alignment horizontal="right" vertical="bottom"/>
    </xf>
    <xf borderId="4" fillId="0" fontId="6" numFmtId="164" xfId="0" applyAlignment="1" applyBorder="1" applyFont="1" applyNumberFormat="1">
      <alignment horizontal="right" vertical="bottom"/>
    </xf>
    <xf borderId="4" fillId="0" fontId="2" numFmtId="164" xfId="0" applyAlignment="1" applyBorder="1" applyFont="1" applyNumberFormat="1">
      <alignment vertical="bottom"/>
    </xf>
    <xf borderId="4" fillId="0" fontId="6" numFmtId="0" xfId="0" applyAlignment="1" applyBorder="1" applyFont="1">
      <alignment horizontal="center" vertical="bottom"/>
    </xf>
    <xf borderId="4" fillId="0" fontId="2" numFmtId="0" xfId="0" applyAlignment="1" applyBorder="1" applyFont="1">
      <alignment vertical="bottom"/>
    </xf>
    <xf borderId="0" fillId="0" fontId="4" numFmtId="10" xfId="0" applyFont="1" applyNumberFormat="1"/>
    <xf borderId="4" fillId="0" fontId="6" numFmtId="165" xfId="0" applyAlignment="1" applyBorder="1" applyFont="1" applyNumberFormat="1">
      <alignment horizontal="right" vertical="bottom"/>
    </xf>
    <xf borderId="4" fillId="0" fontId="6" numFmtId="164" xfId="0" applyAlignment="1" applyBorder="1" applyFont="1" applyNumberFormat="1">
      <alignment horizontal="center" vertical="bottom"/>
    </xf>
    <xf borderId="4" fillId="0" fontId="6" numFmtId="165" xfId="0" applyAlignment="1" applyBorder="1" applyFont="1" applyNumberFormat="1">
      <alignment horizontal="center" vertical="bottom"/>
    </xf>
    <xf borderId="3" fillId="5" fontId="7" numFmtId="0" xfId="0" applyAlignment="1" applyBorder="1" applyFill="1" applyFont="1">
      <alignment vertical="bottom"/>
    </xf>
    <xf borderId="0" fillId="0" fontId="3" numFmtId="0" xfId="0" applyAlignment="1" applyFont="1">
      <alignment vertical="bottom"/>
    </xf>
    <xf borderId="0" fillId="0" fontId="6" numFmtId="165" xfId="0" applyAlignment="1" applyFont="1" applyNumberFormat="1">
      <alignment horizontal="right" vertical="bottom"/>
    </xf>
    <xf borderId="0" fillId="0" fontId="6" numFmtId="164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165" xfId="0" applyAlignment="1" applyFont="1" applyNumberFormat="1">
      <alignment horizontal="center" vertical="bottom"/>
    </xf>
    <xf borderId="0" fillId="0" fontId="3" numFmtId="0" xfId="0" applyAlignment="1" applyFont="1">
      <alignment horizontal="right" vertical="bottom"/>
    </xf>
    <xf borderId="3" fillId="4" fontId="7" numFmtId="0" xfId="0" applyAlignment="1" applyBorder="1" applyFont="1">
      <alignment vertical="bottom"/>
    </xf>
    <xf borderId="4" fillId="0" fontId="6" numFmtId="164" xfId="0" applyAlignment="1" applyBorder="1" applyFont="1" applyNumberFormat="1">
      <alignment horizontal="center" vertical="bottom"/>
    </xf>
    <xf borderId="0" fillId="0" fontId="4" numFmtId="9" xfId="0" applyFont="1" applyNumberFormat="1"/>
    <xf borderId="1" fillId="0" fontId="6" numFmtId="0" xfId="0" applyAlignment="1" applyBorder="1" applyFont="1">
      <alignment readingOrder="0" vertical="bottom"/>
    </xf>
    <xf borderId="1" fillId="0" fontId="6" numFmtId="164" xfId="0" applyAlignment="1" applyBorder="1" applyFont="1" applyNumberFormat="1">
      <alignment horizontal="right" vertical="bottom"/>
    </xf>
    <xf borderId="0" fillId="6" fontId="3" numFmtId="0" xfId="0" applyAlignment="1" applyFill="1" applyFont="1">
      <alignment vertical="bottom"/>
    </xf>
    <xf borderId="0" fillId="6" fontId="3" numFmtId="0" xfId="0" applyAlignment="1" applyFont="1">
      <alignment horizontal="right" vertical="bottom"/>
    </xf>
    <xf borderId="0" fillId="6" fontId="2" numFmtId="164" xfId="0" applyAlignment="1" applyFont="1" applyNumberFormat="1">
      <alignment horizontal="right" vertical="bottom"/>
    </xf>
    <xf borderId="0" fillId="6" fontId="2" numFmtId="0" xfId="0" applyAlignment="1" applyFont="1">
      <alignment vertical="bottom"/>
    </xf>
    <xf borderId="0" fillId="6" fontId="4" numFmtId="0" xfId="0" applyFont="1"/>
    <xf borderId="0" fillId="7" fontId="3" numFmtId="0" xfId="0" applyAlignment="1" applyFill="1" applyFont="1">
      <alignment vertical="bottom"/>
    </xf>
    <xf borderId="0" fillId="7" fontId="3" numFmtId="0" xfId="0" applyAlignment="1" applyFont="1">
      <alignment horizontal="right" vertical="bottom"/>
    </xf>
    <xf borderId="0" fillId="7" fontId="2" numFmtId="164" xfId="0" applyAlignment="1" applyFont="1" applyNumberFormat="1">
      <alignment horizontal="right" vertical="bottom"/>
    </xf>
    <xf borderId="0" fillId="7" fontId="2" numFmtId="0" xfId="0" applyAlignment="1" applyFont="1">
      <alignment vertical="bottom"/>
    </xf>
    <xf borderId="0" fillId="7" fontId="4" numFmtId="0" xfId="0" applyFont="1"/>
    <xf borderId="0" fillId="8" fontId="3" numFmtId="0" xfId="0" applyAlignment="1" applyFill="1" applyFont="1">
      <alignment vertical="bottom"/>
    </xf>
    <xf borderId="0" fillId="8" fontId="3" numFmtId="0" xfId="0" applyAlignment="1" applyFont="1">
      <alignment horizontal="right" vertical="bottom"/>
    </xf>
    <xf borderId="0" fillId="8" fontId="2" numFmtId="164" xfId="0" applyAlignment="1" applyFont="1" applyNumberFormat="1">
      <alignment horizontal="right" vertical="bottom"/>
    </xf>
    <xf borderId="0" fillId="8" fontId="2" numFmtId="0" xfId="0" applyAlignment="1" applyFont="1">
      <alignment vertical="bottom"/>
    </xf>
    <xf borderId="0" fillId="8" fontId="4" numFmtId="0" xfId="0" applyFont="1"/>
    <xf borderId="0" fillId="9" fontId="3" numFmtId="0" xfId="0" applyAlignment="1" applyFill="1" applyFont="1">
      <alignment vertical="bottom"/>
    </xf>
    <xf borderId="0" fillId="9" fontId="3" numFmtId="0" xfId="0" applyAlignment="1" applyFont="1">
      <alignment horizontal="right" vertical="bottom"/>
    </xf>
    <xf borderId="0" fillId="9" fontId="2" numFmtId="164" xfId="0" applyAlignment="1" applyFont="1" applyNumberFormat="1">
      <alignment horizontal="right" vertical="bottom"/>
    </xf>
    <xf borderId="0" fillId="9" fontId="2" numFmtId="0" xfId="0" applyAlignment="1" applyFont="1">
      <alignment vertical="bottom"/>
    </xf>
    <xf borderId="0" fillId="9" fontId="4" numFmtId="0" xfId="0" applyFont="1"/>
    <xf borderId="0" fillId="5" fontId="4" numFmtId="0" xfId="0" applyFont="1"/>
    <xf borderId="0" fillId="0" fontId="4" numFmtId="3" xfId="0" applyAlignment="1" applyFont="1" applyNumberFormat="1">
      <alignment readingOrder="0"/>
    </xf>
    <xf borderId="0" fillId="7" fontId="9" numFmtId="3" xfId="0" applyAlignment="1" applyFont="1" applyNumberFormat="1">
      <alignment readingOrder="0"/>
    </xf>
    <xf borderId="0" fillId="7" fontId="4" numFmtId="3" xfId="0" applyFont="1" applyNumberFormat="1"/>
    <xf borderId="0" fillId="8" fontId="2" numFmtId="0" xfId="0" applyAlignment="1" applyFont="1">
      <alignment horizontal="center" vertical="bottom"/>
    </xf>
    <xf borderId="0" fillId="0" fontId="4" numFmtId="3" xfId="0" applyFont="1" applyNumberFormat="1"/>
    <xf borderId="0" fillId="0" fontId="4" numFmtId="166" xfId="0" applyFont="1" applyNumberFormat="1"/>
    <xf borderId="1" fillId="0" fontId="4" numFmtId="10" xfId="0" applyBorder="1" applyFont="1" applyNumberFormat="1"/>
    <xf borderId="1" fillId="0" fontId="4" numFmtId="10" xfId="0" applyAlignment="1" applyBorder="1" applyFont="1" applyNumberFormat="1">
      <alignment readingOrder="0"/>
    </xf>
    <xf borderId="5" fillId="0" fontId="10" numFmtId="0" xfId="0" applyAlignment="1" applyBorder="1" applyFont="1">
      <alignment horizontal="left" readingOrder="0" vertical="bottom"/>
    </xf>
    <xf borderId="5" fillId="10" fontId="10" numFmtId="0" xfId="0" applyAlignment="1" applyBorder="1" applyFill="1" applyFont="1">
      <alignment horizontal="left" readingOrder="0" vertical="bottom"/>
    </xf>
    <xf borderId="6" fillId="10" fontId="11" numFmtId="0" xfId="0" applyAlignment="1" applyBorder="1" applyFont="1">
      <alignment horizontal="center" readingOrder="0" vertical="top"/>
    </xf>
    <xf borderId="6" fillId="10" fontId="11" numFmtId="0" xfId="0" applyAlignment="1" applyBorder="1" applyFont="1">
      <alignment horizontal="center" vertical="top"/>
    </xf>
    <xf borderId="6" fillId="10" fontId="11" numFmtId="164" xfId="0" applyAlignment="1" applyBorder="1" applyFont="1" applyNumberFormat="1">
      <alignment horizontal="center" readingOrder="0" vertical="top"/>
    </xf>
    <xf borderId="6" fillId="11" fontId="12" numFmtId="164" xfId="0" applyAlignment="1" applyBorder="1" applyFill="1" applyFont="1" applyNumberFormat="1">
      <alignment horizontal="center" readingOrder="0" vertical="top"/>
    </xf>
    <xf borderId="6" fillId="10" fontId="11" numFmtId="10" xfId="0" applyAlignment="1" applyBorder="1" applyFont="1" applyNumberFormat="1">
      <alignment horizontal="center" readingOrder="0" vertical="top"/>
    </xf>
    <xf borderId="6" fillId="0" fontId="13" numFmtId="0" xfId="0" applyAlignment="1" applyBorder="1" applyFont="1">
      <alignment horizontal="center" readingOrder="0" vertical="top"/>
    </xf>
    <xf borderId="6" fillId="4" fontId="11" numFmtId="0" xfId="0" applyAlignment="1" applyBorder="1" applyFont="1">
      <alignment horizontal="center" readingOrder="0" vertical="top"/>
    </xf>
    <xf borderId="6" fillId="4" fontId="11" numFmtId="0" xfId="0" applyAlignment="1" applyBorder="1" applyFont="1">
      <alignment horizontal="center" vertical="top"/>
    </xf>
    <xf borderId="6" fillId="4" fontId="11" numFmtId="164" xfId="0" applyAlignment="1" applyBorder="1" applyFont="1" applyNumberFormat="1">
      <alignment horizontal="center" readingOrder="0" vertical="top"/>
    </xf>
    <xf borderId="6" fillId="4" fontId="11" numFmtId="10" xfId="0" applyAlignment="1" applyBorder="1" applyFont="1" applyNumberFormat="1">
      <alignment horizontal="center" readingOrder="0" vertical="top"/>
    </xf>
    <xf borderId="6" fillId="12" fontId="11" numFmtId="0" xfId="0" applyAlignment="1" applyBorder="1" applyFill="1" applyFont="1">
      <alignment horizontal="center" readingOrder="0" vertical="top"/>
    </xf>
    <xf borderId="6" fillId="12" fontId="11" numFmtId="0" xfId="0" applyAlignment="1" applyBorder="1" applyFont="1">
      <alignment horizontal="center" vertical="top"/>
    </xf>
    <xf borderId="6" fillId="12" fontId="11" numFmtId="164" xfId="0" applyAlignment="1" applyBorder="1" applyFont="1" applyNumberFormat="1">
      <alignment horizontal="center" readingOrder="0" vertical="top"/>
    </xf>
    <xf borderId="6" fillId="12" fontId="12" numFmtId="164" xfId="0" applyAlignment="1" applyBorder="1" applyFont="1" applyNumberFormat="1">
      <alignment horizontal="center" readingOrder="0" vertical="top"/>
    </xf>
    <xf borderId="6" fillId="12" fontId="11" numFmtId="10" xfId="0" applyAlignment="1" applyBorder="1" applyFont="1" applyNumberForma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chemeClr val="accent1"/>
              </a:solidFill>
            </a:ln>
          </c:spPr>
          <c:dPt>
            <c:idx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</c:dPt>
          <c:dPt>
            <c:idx val="6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</c:dPt>
          <c:dPt>
            <c:idx val="8"/>
          </c:dPt>
          <c:dPt>
            <c:idx val="9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5"/>
              <c:layout>
                <c:manualLayout>
                  <c:xMode val="edge"/>
                  <c:yMode val="edge"/>
                  <c:x val="0.3863322101729787"/>
                  <c:y val="0.8381130559648954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Mode val="edge"/>
                  <c:yMode val="edge"/>
                  <c:x val="0.4515238007515519"/>
                  <c:y val="0.8638906482211929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Mode val="edge"/>
                  <c:yMode val="edge"/>
                  <c:x val="0.5237477399401377"/>
                  <c:y val="0.8815914330620144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Mode val="edge"/>
                  <c:yMode val="edge"/>
                  <c:x val="0.597675491628082"/>
                  <c:y val="0.8713687591966524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Mode val="edge"/>
                  <c:yMode val="edge"/>
                  <c:x val="0.6641347125694348"/>
                  <c:y val="0.8506262152540159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'M2'!$P$38:$AC$38</c:f>
            </c:strRef>
          </c:cat>
          <c:val>
            <c:numRef>
              <c:f>'M2'!$P$39:$AC$39</c:f>
              <c:numCache/>
            </c:numRef>
          </c:val>
        </c:ser>
        <c:axId val="68739855"/>
        <c:axId val="1562991001"/>
      </c:bar3DChart>
      <c:catAx>
        <c:axId val="68739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562991001"/>
      </c:catAx>
      <c:valAx>
        <c:axId val="1562991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39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Mercado salario por persona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3'!$D$2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3'!$C$3:$C$16</c:f>
            </c:strRef>
          </c:cat>
          <c:val>
            <c:numRef>
              <c:f>'Hoja 3'!$D$3:$D$16</c:f>
              <c:numCache/>
            </c:numRef>
          </c:val>
        </c:ser>
        <c:axId val="1322748123"/>
        <c:axId val="1972294645"/>
      </c:barChart>
      <c:catAx>
        <c:axId val="1322748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Clasificación del Mercado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294645"/>
      </c:catAx>
      <c:valAx>
        <c:axId val="1972294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748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Mercado salario por pareja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3'!$D$20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3'!$C$21:$C$35</c:f>
            </c:strRef>
          </c:cat>
          <c:val>
            <c:numRef>
              <c:f>'Hoja 3'!$D$21:$D$35</c:f>
              <c:numCache/>
            </c:numRef>
          </c:val>
        </c:ser>
        <c:axId val="1869939157"/>
        <c:axId val="822435982"/>
      </c:barChart>
      <c:catAx>
        <c:axId val="1869939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Clasificación del Mercado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435982"/>
      </c:catAx>
      <c:valAx>
        <c:axId val="822435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939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533400</xdr:colOff>
      <xdr:row>44</xdr:row>
      <xdr:rowOff>76200</xdr:rowOff>
    </xdr:from>
    <xdr:ext cx="108966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438150</xdr:colOff>
      <xdr:row>0</xdr:row>
      <xdr:rowOff>28575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428625</xdr:colOff>
      <xdr:row>18</xdr:row>
      <xdr:rowOff>142875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phpapps.condusef.gob.mx/condusefhipotecario/calcular.php?valorin=8000000&amp;enganche=2440000&amp;institucion=17&amp;plazo=103&amp;tipo=1&amp;ingresosin=0&amp;cat=0.8%&amp;tasa=ND" TargetMode="External"/><Relationship Id="rId2" Type="http://schemas.openxmlformats.org/officeDocument/2006/relationships/hyperlink" Target="https://phpapps.condusef.gob.mx/condusefhipotecario/calcular.php?valorin=8000000&amp;enganche=2440000&amp;institucion=5&amp;plazo=4&amp;tipo=1&amp;ingresosin=0&amp;cat=12.4%&amp;tasa=10.45%" TargetMode="External"/><Relationship Id="rId3" Type="http://schemas.openxmlformats.org/officeDocument/2006/relationships/hyperlink" Target="https://phpapps.condusef.gob.mx/condusefhipotecario/calcular.php?valorin=8000000&amp;enganche=2440000&amp;institucion=27&amp;plazo=213&amp;tipo=1&amp;ingresosin=0&amp;cat=12.5%&amp;tasa=10.45%" TargetMode="External"/><Relationship Id="rId4" Type="http://schemas.openxmlformats.org/officeDocument/2006/relationships/hyperlink" Target="https://phpapps.condusef.gob.mx/condusefhipotecario/calcular.php?valorin=8000000&amp;enganche=2440000&amp;institucion=34&amp;plazo=276&amp;tipo=1&amp;ingresosin=0&amp;cat=12.6%&amp;tasa=10.15%" TargetMode="External"/><Relationship Id="rId11" Type="http://schemas.openxmlformats.org/officeDocument/2006/relationships/drawing" Target="../drawings/drawing10.xml"/><Relationship Id="rId10" Type="http://schemas.openxmlformats.org/officeDocument/2006/relationships/hyperlink" Target="https://phpapps.condusef.gob.mx/condusefhipotecario/calcular.php?valorin=8000000&amp;enganche=2440000&amp;institucion=23&amp;plazo=168&amp;tipo=1&amp;ingresosin=0&amp;cat=13.8%&amp;tasa=10.99%" TargetMode="External"/><Relationship Id="rId9" Type="http://schemas.openxmlformats.org/officeDocument/2006/relationships/hyperlink" Target="https://phpapps.condusef.gob.mx/condusefhipotecario/calcular.php?valorin=8000000&amp;enganche=2440000&amp;institucion=3&amp;plazo=2&amp;tipo=1&amp;ingresosin=0&amp;cat=14.0%&amp;tasa=11.75%" TargetMode="External"/><Relationship Id="rId5" Type="http://schemas.openxmlformats.org/officeDocument/2006/relationships/hyperlink" Target="https://phpapps.condusef.gob.mx/condusefhipotecario/calcular.php?valorin=8000000&amp;enganche=2440000&amp;institucion=2&amp;plazo=32&amp;tipo=1&amp;ingresosin=0&amp;cat=12.6%&amp;tasa=10.40%" TargetMode="External"/><Relationship Id="rId6" Type="http://schemas.openxmlformats.org/officeDocument/2006/relationships/hyperlink" Target="https://phpapps.condusef.gob.mx/condusefhipotecario/calcular.php?valorin=8000000&amp;enganche=2440000&amp;institucion=6&amp;plazo=178&amp;tipo=1&amp;ingresosin=0&amp;cat=13.1%&amp;tasa=11.00%" TargetMode="External"/><Relationship Id="rId7" Type="http://schemas.openxmlformats.org/officeDocument/2006/relationships/hyperlink" Target="https://phpapps.condusef.gob.mx/condusefhipotecario/calcular.php?valorin=8000000&amp;enganche=2440000&amp;institucion=35&amp;plazo=251&amp;tipo=1&amp;ingresosin=0&amp;cat=13.1%&amp;tasa=10.80%" TargetMode="External"/><Relationship Id="rId8" Type="http://schemas.openxmlformats.org/officeDocument/2006/relationships/hyperlink" Target="https://phpapps.condusef.gob.mx/condusefhipotecario/calcular.php?valorin=8000000&amp;enganche=2440000&amp;institucion=32&amp;plazo=233&amp;tipo=1&amp;ingresosin=0&amp;cat=13.5%&amp;tasa=11.18%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phpapps.condusef.gob.mx/condusefhipotecario/calcular.php?valorin=750000&amp;enganche=228750&amp;institucion=5&amp;plazo=4&amp;tipo=1&amp;ingresosin=0&amp;cat=13.2%&amp;tasa=10.45%" TargetMode="External"/><Relationship Id="rId2" Type="http://schemas.openxmlformats.org/officeDocument/2006/relationships/hyperlink" Target="https://phpapps.condusef.gob.mx/condusefhipotecario/calcular.php?valorin=750000&amp;enganche=228750&amp;institucion=6&amp;plazo=178&amp;tipo=1&amp;ingresosin=0&amp;cat=13.1%&amp;tasa=11.00%" TargetMode="External"/><Relationship Id="rId3" Type="http://schemas.openxmlformats.org/officeDocument/2006/relationships/hyperlink" Target="https://phpapps.condusef.gob.mx/condusefhipotecario/calcular.php?valorin=750000&amp;enganche=228750&amp;institucion=27&amp;plazo=213&amp;tipo=1&amp;ingresosin=0&amp;cat=13.3%&amp;tasa=10.45%" TargetMode="External"/><Relationship Id="rId4" Type="http://schemas.openxmlformats.org/officeDocument/2006/relationships/hyperlink" Target="https://phpapps.condusef.gob.mx/condusefhipotecario/calcular.php?valorin=750000&amp;enganche=228750&amp;institucion=2&amp;plazo=32&amp;tipo=1&amp;ingresosin=0&amp;cat=13.6%&amp;tasa=11.10%" TargetMode="External"/><Relationship Id="rId11" Type="http://schemas.openxmlformats.org/officeDocument/2006/relationships/drawing" Target="../drawings/drawing5.xml"/><Relationship Id="rId10" Type="http://schemas.openxmlformats.org/officeDocument/2006/relationships/hyperlink" Target="https://phpapps.condusef.gob.mx/condusefhipotecario/calcular.php?valorin=750000&amp;enganche=228750&amp;institucion=24&amp;plazo=198&amp;tipo=1&amp;ingresosin=0&amp;cat=15.2%&amp;tasa=12.00%" TargetMode="External"/><Relationship Id="rId9" Type="http://schemas.openxmlformats.org/officeDocument/2006/relationships/hyperlink" Target="https://phpapps.condusef.gob.mx/condusefhipotecario/calcular.php?valorin=750000&amp;enganche=228750&amp;institucion=28&amp;plazo=216&amp;tipo=1&amp;ingresosin=0&amp;cat=15.0%&amp;tasa=12.75%" TargetMode="External"/><Relationship Id="rId5" Type="http://schemas.openxmlformats.org/officeDocument/2006/relationships/hyperlink" Target="https://phpapps.condusef.gob.mx/condusefhipotecario/calcular.php?valorin=750000&amp;enganche=228750&amp;institucion=3&amp;plazo=2&amp;tipo=1&amp;ingresosin=0&amp;cat=14.0%&amp;tasa=11.75%" TargetMode="External"/><Relationship Id="rId6" Type="http://schemas.openxmlformats.org/officeDocument/2006/relationships/hyperlink" Target="https://phpapps.condusef.gob.mx/condusefhipotecario/calcular.php?valorin=750000&amp;enganche=228750&amp;institucion=34&amp;plazo=276&amp;tipo=1&amp;ingresosin=0&amp;cat=13.9%&amp;tasa=10.15%" TargetMode="External"/><Relationship Id="rId7" Type="http://schemas.openxmlformats.org/officeDocument/2006/relationships/hyperlink" Target="https://phpapps.condusef.gob.mx/condusefhipotecario/calcular.php?valorin=750000&amp;enganche=228750&amp;institucion=35&amp;plazo=251&amp;tipo=1&amp;ingresosin=0&amp;cat=14.0%&amp;tasa=10.80%" TargetMode="External"/><Relationship Id="rId8" Type="http://schemas.openxmlformats.org/officeDocument/2006/relationships/hyperlink" Target="https://phpapps.condusef.gob.mx/condusefhipotecario/calcular.php?valorin=750000&amp;enganche=228750&amp;institucion=32&amp;plazo=233&amp;tipo=1&amp;ingresosin=0&amp;cat=14.4%&amp;tasa=11.18%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phpapps.condusef.gob.mx/condusefhipotecario/calcular.php?valorin=1500000&amp;enganche=457500&amp;institucion=5&amp;plazo=4&amp;tipo=1&amp;ingresosin=0&amp;cat=12.8%&amp;tasa=10.45%" TargetMode="External"/><Relationship Id="rId2" Type="http://schemas.openxmlformats.org/officeDocument/2006/relationships/hyperlink" Target="https://phpapps.condusef.gob.mx/condusefhipotecario/calcular.php?valorin=1500000&amp;enganche=457500&amp;institucion=27&amp;plazo=213&amp;tipo=1&amp;ingresosin=0&amp;cat=12.8%&amp;tasa=10.45%" TargetMode="External"/><Relationship Id="rId3" Type="http://schemas.openxmlformats.org/officeDocument/2006/relationships/hyperlink" Target="https://phpapps.condusef.gob.mx/condusefhipotecario/calcular.php?valorin=1500000&amp;enganche=457500&amp;institucion=6&amp;plazo=178&amp;tipo=1&amp;ingresosin=0&amp;cat=13.1%&amp;tasa=11.00%" TargetMode="External"/><Relationship Id="rId4" Type="http://schemas.openxmlformats.org/officeDocument/2006/relationships/hyperlink" Target="https://phpapps.condusef.gob.mx/condusefhipotecario/calcular.php?valorin=1500000&amp;enganche=457500&amp;institucion=34&amp;plazo=276&amp;tipo=1&amp;ingresosin=0&amp;cat=13.2%&amp;tasa=10.15%" TargetMode="External"/><Relationship Id="rId11" Type="http://schemas.openxmlformats.org/officeDocument/2006/relationships/drawing" Target="../drawings/drawing6.xml"/><Relationship Id="rId10" Type="http://schemas.openxmlformats.org/officeDocument/2006/relationships/hyperlink" Target="https://phpapps.condusef.gob.mx/condusefhipotecario/calcular.php?valorin=1500000&amp;enganche=457500&amp;institucion=28&amp;plazo=216&amp;tipo=1&amp;ingresosin=0&amp;cat=14.9%&amp;tasa=12.75%" TargetMode="External"/><Relationship Id="rId9" Type="http://schemas.openxmlformats.org/officeDocument/2006/relationships/hyperlink" Target="https://phpapps.condusef.gob.mx/condusefhipotecario/calcular.php?valorin=1500000&amp;enganche=457500&amp;institucion=24&amp;plazo=198&amp;tipo=1&amp;ingresosin=0&amp;cat=14.9%&amp;tasa=12.00%" TargetMode="External"/><Relationship Id="rId5" Type="http://schemas.openxmlformats.org/officeDocument/2006/relationships/hyperlink" Target="https://phpapps.condusef.gob.mx/condusefhipotecario/calcular.php?valorin=1500000&amp;enganche=457500&amp;institucion=2&amp;plazo=32&amp;tipo=1&amp;ingresosin=0&amp;cat=13.5%&amp;tasa=11.10%" TargetMode="External"/><Relationship Id="rId6" Type="http://schemas.openxmlformats.org/officeDocument/2006/relationships/hyperlink" Target="https://phpapps.condusef.gob.mx/condusefhipotecario/calcular.php?valorin=1500000&amp;enganche=457500&amp;institucion=35&amp;plazo=251&amp;tipo=1&amp;ingresosin=0&amp;cat=13.5%&amp;tasa=10.80%" TargetMode="External"/><Relationship Id="rId7" Type="http://schemas.openxmlformats.org/officeDocument/2006/relationships/hyperlink" Target="https://phpapps.condusef.gob.mx/condusefhipotecario/calcular.php?valorin=1500000&amp;enganche=457500&amp;institucion=3&amp;plazo=2&amp;tipo=1&amp;ingresosin=0&amp;cat=14.0%&amp;tasa=11.75%" TargetMode="External"/><Relationship Id="rId8" Type="http://schemas.openxmlformats.org/officeDocument/2006/relationships/hyperlink" Target="https://phpapps.condusef.gob.mx/condusefhipotecario/calcular.php?valorin=1500000&amp;enganche=457500&amp;institucion=32&amp;plazo=233&amp;tipo=1&amp;ingresosin=0&amp;cat=13.9%&amp;tasa=11.18%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phpapps.condusef.gob.mx/condusefhipotecario/calcular.php?valorin=2250000&amp;enganche=686250&amp;institucion=5&amp;plazo=4&amp;tipo=1&amp;ingresosin=0&amp;cat=12.6%&amp;tasa=10.45%" TargetMode="External"/><Relationship Id="rId2" Type="http://schemas.openxmlformats.org/officeDocument/2006/relationships/hyperlink" Target="https://phpapps.condusef.gob.mx/condusefhipotecario/calcular.php?valorin=2250000&amp;enganche=686250&amp;institucion=27&amp;plazo=213&amp;tipo=1&amp;ingresosin=0&amp;cat=12.7%&amp;tasa=10.45%" TargetMode="External"/><Relationship Id="rId3" Type="http://schemas.openxmlformats.org/officeDocument/2006/relationships/hyperlink" Target="https://phpapps.condusef.gob.mx/condusefhipotecario/calcular.php?valorin=2250000&amp;enganche=686250&amp;institucion=34&amp;plazo=276&amp;tipo=1&amp;ingresosin=0&amp;cat=12.9%&amp;tasa=10.15%" TargetMode="External"/><Relationship Id="rId4" Type="http://schemas.openxmlformats.org/officeDocument/2006/relationships/hyperlink" Target="https://phpapps.condusef.gob.mx/condusefhipotecario/calcular.php?valorin=2250000&amp;enganche=686250&amp;institucion=6&amp;plazo=178&amp;tipo=1&amp;ingresosin=0&amp;cat=13.1%&amp;tasa=11.00%" TargetMode="External"/><Relationship Id="rId11" Type="http://schemas.openxmlformats.org/officeDocument/2006/relationships/drawing" Target="../drawings/drawing7.xml"/><Relationship Id="rId10" Type="http://schemas.openxmlformats.org/officeDocument/2006/relationships/hyperlink" Target="https://phpapps.condusef.gob.mx/condusefhipotecario/calcular.php?valorin=2250000&amp;enganche=686250&amp;institucion=23&amp;plazo=168&amp;tipo=1&amp;ingresosin=0&amp;cat=14.0%&amp;tasa=10.99%" TargetMode="External"/><Relationship Id="rId9" Type="http://schemas.openxmlformats.org/officeDocument/2006/relationships/hyperlink" Target="https://phpapps.condusef.gob.mx/condusefhipotecario/calcular.php?valorin=2250000&amp;enganche=686250&amp;institucion=24&amp;plazo=198&amp;tipo=1&amp;ingresosin=0&amp;cat=14.8%&amp;tasa=12.00%" TargetMode="External"/><Relationship Id="rId5" Type="http://schemas.openxmlformats.org/officeDocument/2006/relationships/hyperlink" Target="https://phpapps.condusef.gob.mx/condusefhipotecario/calcular.php?valorin=2250000&amp;enganche=686250&amp;institucion=35&amp;plazo=251&amp;tipo=1&amp;ingresosin=0&amp;cat=13.4%&amp;tasa=10.80%" TargetMode="External"/><Relationship Id="rId6" Type="http://schemas.openxmlformats.org/officeDocument/2006/relationships/hyperlink" Target="https://phpapps.condusef.gob.mx/condusefhipotecario/calcular.php?valorin=2250000&amp;enganche=686250&amp;institucion=2&amp;plazo=32&amp;tipo=1&amp;ingresosin=0&amp;cat=13.5%&amp;tasa=11.10%" TargetMode="External"/><Relationship Id="rId7" Type="http://schemas.openxmlformats.org/officeDocument/2006/relationships/hyperlink" Target="https://phpapps.condusef.gob.mx/condusefhipotecario/calcular.php?valorin=2250000&amp;enganche=686250&amp;institucion=32&amp;plazo=233&amp;tipo=1&amp;ingresosin=0&amp;cat=13.8%&amp;tasa=11.18%" TargetMode="External"/><Relationship Id="rId8" Type="http://schemas.openxmlformats.org/officeDocument/2006/relationships/hyperlink" Target="https://phpapps.condusef.gob.mx/condusefhipotecario/calcular.php?valorin=2250000&amp;enganche=686250&amp;institucion=3&amp;plazo=2&amp;tipo=1&amp;ingresosin=0&amp;cat=14.0%&amp;tasa=11.75%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phpapps.condusef.gob.mx/condusefhipotecario/calcular.php?valorin=3000000&amp;enganche=915000&amp;institucion=5&amp;plazo=4&amp;tipo=1&amp;ingresosin=0&amp;cat=12.5%&amp;tasa=10.45%" TargetMode="External"/><Relationship Id="rId2" Type="http://schemas.openxmlformats.org/officeDocument/2006/relationships/hyperlink" Target="https://phpapps.condusef.gob.mx/condusefhipotecario/calcular.php?valorin=3000000&amp;enganche=915000&amp;institucion=27&amp;plazo=213&amp;tipo=1&amp;ingresosin=0&amp;cat=12.6%&amp;tasa=10.45%" TargetMode="External"/><Relationship Id="rId3" Type="http://schemas.openxmlformats.org/officeDocument/2006/relationships/hyperlink" Target="https://phpapps.condusef.gob.mx/condusefhipotecario/calcular.php?valorin=3000000&amp;enganche=915000&amp;institucion=34&amp;plazo=276&amp;tipo=1&amp;ingresosin=0&amp;cat=12.8%&amp;tasa=10.15%" TargetMode="External"/><Relationship Id="rId4" Type="http://schemas.openxmlformats.org/officeDocument/2006/relationships/hyperlink" Target="https://phpapps.condusef.gob.mx/condusefhipotecario/calcular.php?valorin=3000000&amp;enganche=915000&amp;institucion=6&amp;plazo=178&amp;tipo=1&amp;ingresosin=0&amp;cat=13.1%&amp;tasa=11.00%" TargetMode="External"/><Relationship Id="rId11" Type="http://schemas.openxmlformats.org/officeDocument/2006/relationships/drawing" Target="../drawings/drawing8.xml"/><Relationship Id="rId10" Type="http://schemas.openxmlformats.org/officeDocument/2006/relationships/hyperlink" Target="https://phpapps.condusef.gob.mx/condusefhipotecario/calcular.php?valorin=3000000&amp;enganche=915000&amp;institucion=24&amp;plazo=198&amp;tipo=1&amp;ingresosin=0&amp;cat=14.7%&amp;tasa=12.00%" TargetMode="External"/><Relationship Id="rId9" Type="http://schemas.openxmlformats.org/officeDocument/2006/relationships/hyperlink" Target="https://phpapps.condusef.gob.mx/condusefhipotecario/calcular.php?valorin=3000000&amp;enganche=915000&amp;institucion=23&amp;plazo=168&amp;tipo=1&amp;ingresosin=0&amp;cat=14.0%&amp;tasa=10.99%" TargetMode="External"/><Relationship Id="rId5" Type="http://schemas.openxmlformats.org/officeDocument/2006/relationships/hyperlink" Target="https://phpapps.condusef.gob.mx/condusefhipotecario/calcular.php?valorin=3000000&amp;enganche=915000&amp;institucion=2&amp;plazo=32&amp;tipo=1&amp;ingresosin=0&amp;cat=13.1%&amp;tasa=10.80%" TargetMode="External"/><Relationship Id="rId6" Type="http://schemas.openxmlformats.org/officeDocument/2006/relationships/hyperlink" Target="https://phpapps.condusef.gob.mx/condusefhipotecario/calcular.php?valorin=3000000&amp;enganche=915000&amp;institucion=35&amp;plazo=251&amp;tipo=1&amp;ingresosin=0&amp;cat=13.3%&amp;tasa=10.80%" TargetMode="External"/><Relationship Id="rId7" Type="http://schemas.openxmlformats.org/officeDocument/2006/relationships/hyperlink" Target="https://phpapps.condusef.gob.mx/condusefhipotecario/calcular.php?valorin=3000000&amp;enganche=915000&amp;institucion=32&amp;plazo=233&amp;tipo=1&amp;ingresosin=0&amp;cat=13.7%&amp;tasa=11.18%" TargetMode="External"/><Relationship Id="rId8" Type="http://schemas.openxmlformats.org/officeDocument/2006/relationships/hyperlink" Target="https://phpapps.condusef.gob.mx/condusefhipotecario/calcular.php?valorin=3000000&amp;enganche=915000&amp;institucion=3&amp;plazo=2&amp;tipo=1&amp;ingresosin=0&amp;cat=14.0%&amp;tasa=11.75%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phpapps.condusef.gob.mx/condusefhipotecario/calcular.php?valorin=3750000&amp;enganche=1143750&amp;institucion=5&amp;plazo=4&amp;tipo=1&amp;ingresosin=0&amp;cat=12.5%&amp;tasa=10.45%" TargetMode="External"/><Relationship Id="rId2" Type="http://schemas.openxmlformats.org/officeDocument/2006/relationships/hyperlink" Target="https://phpapps.condusef.gob.mx/condusefhipotecario/calcular.php?valorin=3750000&amp;enganche=1143750&amp;institucion=27&amp;plazo=213&amp;tipo=1&amp;ingresosin=0&amp;cat=12.6%&amp;tasa=10.45%" TargetMode="External"/><Relationship Id="rId3" Type="http://schemas.openxmlformats.org/officeDocument/2006/relationships/hyperlink" Target="https://phpapps.condusef.gob.mx/condusefhipotecario/calcular.php?valorin=3750000&amp;enganche=1143750&amp;institucion=34&amp;plazo=276&amp;tipo=1&amp;ingresosin=0&amp;cat=12.7%&amp;tasa=10.15%" TargetMode="External"/><Relationship Id="rId4" Type="http://schemas.openxmlformats.org/officeDocument/2006/relationships/hyperlink" Target="https://phpapps.condusef.gob.mx/condusefhipotecario/calcular.php?valorin=3750000&amp;enganche=1143750&amp;institucion=6&amp;plazo=178&amp;tipo=1&amp;ingresosin=0&amp;cat=13.1%&amp;tasa=11.00%" TargetMode="External"/><Relationship Id="rId11" Type="http://schemas.openxmlformats.org/officeDocument/2006/relationships/drawing" Target="../drawings/drawing9.xml"/><Relationship Id="rId10" Type="http://schemas.openxmlformats.org/officeDocument/2006/relationships/hyperlink" Target="https://phpapps.condusef.gob.mx/condusefhipotecario/calcular.php?valorin=3750000&amp;enganche=1143750&amp;institucion=24&amp;plazo=198&amp;tipo=1&amp;ingresosin=0&amp;cat=14.7%&amp;tasa=12.00%" TargetMode="External"/><Relationship Id="rId9" Type="http://schemas.openxmlformats.org/officeDocument/2006/relationships/hyperlink" Target="https://phpapps.condusef.gob.mx/condusefhipotecario/calcular.php?valorin=3750000&amp;enganche=1143750&amp;institucion=23&amp;plazo=168&amp;tipo=1&amp;ingresosin=0&amp;cat=13.9%&amp;tasa=10.99%" TargetMode="External"/><Relationship Id="rId5" Type="http://schemas.openxmlformats.org/officeDocument/2006/relationships/hyperlink" Target="https://phpapps.condusef.gob.mx/condusefhipotecario/calcular.php?valorin=3750000&amp;enganche=1143750&amp;institucion=2&amp;plazo=32&amp;tipo=1&amp;ingresosin=0&amp;cat=13.1%&amp;tasa=10.80%" TargetMode="External"/><Relationship Id="rId6" Type="http://schemas.openxmlformats.org/officeDocument/2006/relationships/hyperlink" Target="https://phpapps.condusef.gob.mx/condusefhipotecario/calcular.php?valorin=3750000&amp;enganche=1143750&amp;institucion=35&amp;plazo=251&amp;tipo=1&amp;ingresosin=0&amp;cat=13.2%&amp;tasa=10.80%" TargetMode="External"/><Relationship Id="rId7" Type="http://schemas.openxmlformats.org/officeDocument/2006/relationships/hyperlink" Target="https://phpapps.condusef.gob.mx/condusefhipotecario/calcular.php?valorin=3750000&amp;enganche=1143750&amp;institucion=32&amp;plazo=233&amp;tipo=1&amp;ingresosin=0&amp;cat=13.6%&amp;tasa=11.18%" TargetMode="External"/><Relationship Id="rId8" Type="http://schemas.openxmlformats.org/officeDocument/2006/relationships/hyperlink" Target="https://phpapps.condusef.gob.mx/condusefhipotecario/calcular.php?valorin=3750000&amp;enganche=1143750&amp;institucion=3&amp;plazo=2&amp;tipo=1&amp;ingresosin=0&amp;cat=14.0%&amp;tasa=11.75%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1.0</v>
      </c>
      <c r="B2" s="3" t="s">
        <v>17</v>
      </c>
      <c r="C2" s="2">
        <v>11.0</v>
      </c>
      <c r="D2" s="3" t="s">
        <v>18</v>
      </c>
      <c r="E2" s="2">
        <v>112.0</v>
      </c>
      <c r="F2" s="3" t="s">
        <v>19</v>
      </c>
      <c r="G2" s="2">
        <v>1121.0</v>
      </c>
      <c r="H2" s="3" t="s">
        <v>20</v>
      </c>
      <c r="I2" s="2">
        <v>2024.0</v>
      </c>
      <c r="J2" s="2">
        <v>20241.0</v>
      </c>
      <c r="K2" s="3" t="s">
        <v>21</v>
      </c>
      <c r="L2" s="4">
        <v>104.0</v>
      </c>
      <c r="M2" s="4">
        <v>36057.69231</v>
      </c>
      <c r="N2" s="4">
        <v>1.0</v>
      </c>
      <c r="O2" s="4">
        <v>36057.69231</v>
      </c>
      <c r="P2" s="4">
        <v>7.304212002E-5</v>
      </c>
      <c r="Q2" s="4">
        <v>0.0</v>
      </c>
    </row>
    <row r="3">
      <c r="A3" s="2">
        <v>1.0</v>
      </c>
      <c r="B3" s="3" t="s">
        <v>17</v>
      </c>
      <c r="C3" s="2">
        <v>11.0</v>
      </c>
      <c r="D3" s="3" t="s">
        <v>18</v>
      </c>
      <c r="E3" s="2">
        <v>112.0</v>
      </c>
      <c r="F3" s="3" t="s">
        <v>19</v>
      </c>
      <c r="G3" s="2">
        <v>1122.0</v>
      </c>
      <c r="H3" s="3" t="s">
        <v>22</v>
      </c>
      <c r="I3" s="2">
        <v>2024.0</v>
      </c>
      <c r="J3" s="2">
        <v>20241.0</v>
      </c>
      <c r="K3" s="3" t="s">
        <v>21</v>
      </c>
      <c r="L3" s="4">
        <v>1406.0</v>
      </c>
      <c r="M3" s="4">
        <v>3465.896159</v>
      </c>
      <c r="N3" s="4">
        <v>-0.8716334756</v>
      </c>
      <c r="O3" s="4">
        <v>-23534.10384</v>
      </c>
      <c r="P3" s="4">
        <v>9.874732764E-4</v>
      </c>
      <c r="Q3" s="4">
        <v>27000.0</v>
      </c>
    </row>
    <row r="4">
      <c r="A4" s="2">
        <v>1.0</v>
      </c>
      <c r="B4" s="3" t="s">
        <v>17</v>
      </c>
      <c r="C4" s="2">
        <v>11.0</v>
      </c>
      <c r="D4" s="3" t="s">
        <v>18</v>
      </c>
      <c r="E4" s="2">
        <v>113.0</v>
      </c>
      <c r="F4" s="3" t="s">
        <v>23</v>
      </c>
      <c r="G4" s="2">
        <v>1135.0</v>
      </c>
      <c r="H4" s="3" t="s">
        <v>24</v>
      </c>
      <c r="I4" s="2">
        <v>2024.0</v>
      </c>
      <c r="J4" s="2">
        <v>20241.0</v>
      </c>
      <c r="K4" s="3" t="s">
        <v>21</v>
      </c>
      <c r="L4" s="4">
        <v>74.0</v>
      </c>
      <c r="M4" s="4">
        <v>0.0</v>
      </c>
      <c r="N4" s="4">
        <v>1.0</v>
      </c>
      <c r="O4" s="4">
        <v>0.0</v>
      </c>
      <c r="P4" s="4">
        <v>5.197227771E-5</v>
      </c>
      <c r="Q4" s="4">
        <v>0.0</v>
      </c>
    </row>
    <row r="5">
      <c r="A5" s="2">
        <v>1.0</v>
      </c>
      <c r="B5" s="3" t="s">
        <v>17</v>
      </c>
      <c r="C5" s="2">
        <v>12.0</v>
      </c>
      <c r="D5" s="3" t="s">
        <v>25</v>
      </c>
      <c r="E5" s="2">
        <v>121.0</v>
      </c>
      <c r="F5" s="3" t="s">
        <v>26</v>
      </c>
      <c r="G5" s="2">
        <v>1211.0</v>
      </c>
      <c r="H5" s="3" t="s">
        <v>27</v>
      </c>
      <c r="I5" s="2">
        <v>2024.0</v>
      </c>
      <c r="J5" s="2">
        <v>20241.0</v>
      </c>
      <c r="K5" s="3" t="s">
        <v>21</v>
      </c>
      <c r="L5" s="4">
        <v>1149.0</v>
      </c>
      <c r="M5" s="4">
        <v>15463.18538</v>
      </c>
      <c r="N5" s="4">
        <v>0.9198144753</v>
      </c>
      <c r="O5" s="4">
        <v>7408.664706</v>
      </c>
      <c r="P5" s="4">
        <v>8.069749606E-4</v>
      </c>
      <c r="Q5" s="4">
        <v>8054.520672</v>
      </c>
    </row>
    <row r="6">
      <c r="A6" s="2">
        <v>1.0</v>
      </c>
      <c r="B6" s="3" t="s">
        <v>17</v>
      </c>
      <c r="C6" s="2">
        <v>12.0</v>
      </c>
      <c r="D6" s="3" t="s">
        <v>25</v>
      </c>
      <c r="E6" s="2">
        <v>121.0</v>
      </c>
      <c r="F6" s="3" t="s">
        <v>26</v>
      </c>
      <c r="G6" s="2">
        <v>1212.0</v>
      </c>
      <c r="H6" s="3" t="s">
        <v>28</v>
      </c>
      <c r="I6" s="2">
        <v>2024.0</v>
      </c>
      <c r="J6" s="2">
        <v>20241.0</v>
      </c>
      <c r="K6" s="3" t="s">
        <v>21</v>
      </c>
      <c r="L6" s="4">
        <v>1062.0</v>
      </c>
      <c r="M6" s="4">
        <v>16852.16573</v>
      </c>
      <c r="N6" s="4">
        <v>-0.3231736427</v>
      </c>
      <c r="O6" s="4">
        <v>-8046.63667</v>
      </c>
      <c r="P6" s="4">
        <v>7.458724179E-4</v>
      </c>
      <c r="Q6" s="4">
        <v>24898.8024</v>
      </c>
    </row>
    <row r="7">
      <c r="A7" s="2">
        <v>1.0</v>
      </c>
      <c r="B7" s="3" t="s">
        <v>17</v>
      </c>
      <c r="C7" s="2">
        <v>12.0</v>
      </c>
      <c r="D7" s="3" t="s">
        <v>25</v>
      </c>
      <c r="E7" s="2">
        <v>122.0</v>
      </c>
      <c r="F7" s="3" t="s">
        <v>29</v>
      </c>
      <c r="G7" s="2">
        <v>1221.0</v>
      </c>
      <c r="H7" s="3" t="s">
        <v>30</v>
      </c>
      <c r="I7" s="2">
        <v>2024.0</v>
      </c>
      <c r="J7" s="2">
        <v>20241.0</v>
      </c>
      <c r="K7" s="3" t="s">
        <v>21</v>
      </c>
      <c r="L7" s="4">
        <v>5544.0</v>
      </c>
      <c r="M7" s="4">
        <v>5298.701299</v>
      </c>
      <c r="N7" s="4">
        <v>1.0</v>
      </c>
      <c r="O7" s="4">
        <v>5298.701299</v>
      </c>
      <c r="P7" s="4">
        <v>0.003893706859</v>
      </c>
      <c r="Q7" s="4">
        <v>0.0</v>
      </c>
    </row>
    <row r="8">
      <c r="A8" s="2">
        <v>1.0</v>
      </c>
      <c r="B8" s="3" t="s">
        <v>17</v>
      </c>
      <c r="C8" s="2">
        <v>12.0</v>
      </c>
      <c r="D8" s="3" t="s">
        <v>25</v>
      </c>
      <c r="E8" s="2">
        <v>122.0</v>
      </c>
      <c r="F8" s="3" t="s">
        <v>29</v>
      </c>
      <c r="G8" s="2">
        <v>1223.0</v>
      </c>
      <c r="H8" s="3" t="s">
        <v>31</v>
      </c>
      <c r="I8" s="2">
        <v>2024.0</v>
      </c>
      <c r="J8" s="2">
        <v>20241.0</v>
      </c>
      <c r="K8" s="3" t="s">
        <v>21</v>
      </c>
      <c r="L8" s="4">
        <v>5788.0</v>
      </c>
      <c r="M8" s="4">
        <v>16517.79544</v>
      </c>
      <c r="N8" s="4">
        <v>1.077794246</v>
      </c>
      <c r="O8" s="4">
        <v>8568.117327</v>
      </c>
      <c r="P8" s="4">
        <v>0.00406507491</v>
      </c>
      <c r="Q8" s="4">
        <v>7949.678112</v>
      </c>
    </row>
    <row r="9">
      <c r="A9" s="2">
        <v>1.0</v>
      </c>
      <c r="B9" s="3" t="s">
        <v>17</v>
      </c>
      <c r="C9" s="2">
        <v>12.0</v>
      </c>
      <c r="D9" s="3" t="s">
        <v>25</v>
      </c>
      <c r="E9" s="2">
        <v>122.0</v>
      </c>
      <c r="F9" s="3" t="s">
        <v>29</v>
      </c>
      <c r="G9" s="2">
        <v>1224.0</v>
      </c>
      <c r="H9" s="3" t="s">
        <v>32</v>
      </c>
      <c r="I9" s="2">
        <v>2024.0</v>
      </c>
      <c r="J9" s="2">
        <v>20241.0</v>
      </c>
      <c r="K9" s="3" t="s">
        <v>21</v>
      </c>
      <c r="L9" s="4">
        <v>210.0</v>
      </c>
      <c r="M9" s="4">
        <v>10857.14286</v>
      </c>
      <c r="N9" s="4">
        <v>1.090614887</v>
      </c>
      <c r="O9" s="4">
        <v>5663.865546</v>
      </c>
      <c r="P9" s="4">
        <v>1.474888962E-4</v>
      </c>
      <c r="Q9" s="4">
        <v>5193.277311</v>
      </c>
    </row>
    <row r="10">
      <c r="A10" s="2">
        <v>1.0</v>
      </c>
      <c r="B10" s="3" t="s">
        <v>17</v>
      </c>
      <c r="C10" s="2">
        <v>12.0</v>
      </c>
      <c r="D10" s="3" t="s">
        <v>25</v>
      </c>
      <c r="E10" s="2">
        <v>122.0</v>
      </c>
      <c r="F10" s="3" t="s">
        <v>29</v>
      </c>
      <c r="G10" s="2">
        <v>1226.0</v>
      </c>
      <c r="H10" s="3" t="s">
        <v>33</v>
      </c>
      <c r="I10" s="2">
        <v>2024.0</v>
      </c>
      <c r="J10" s="2">
        <v>20241.0</v>
      </c>
      <c r="K10" s="3" t="s">
        <v>21</v>
      </c>
      <c r="L10" s="4">
        <v>50.0</v>
      </c>
      <c r="M10" s="4">
        <v>8000.0</v>
      </c>
      <c r="N10" s="4">
        <v>1.0</v>
      </c>
      <c r="O10" s="4">
        <v>8000.0</v>
      </c>
      <c r="P10" s="4">
        <v>3.511640386E-5</v>
      </c>
      <c r="Q10" s="4">
        <v>0.0</v>
      </c>
    </row>
    <row r="11">
      <c r="A11" s="2">
        <v>1.0</v>
      </c>
      <c r="B11" s="3" t="s">
        <v>17</v>
      </c>
      <c r="C11" s="2">
        <v>13.0</v>
      </c>
      <c r="D11" s="3" t="s">
        <v>34</v>
      </c>
      <c r="E11" s="2">
        <v>131.0</v>
      </c>
      <c r="F11" s="3" t="s">
        <v>35</v>
      </c>
      <c r="G11" s="2">
        <v>1311.0</v>
      </c>
      <c r="H11" s="3" t="s">
        <v>36</v>
      </c>
      <c r="I11" s="2">
        <v>2024.0</v>
      </c>
      <c r="J11" s="2">
        <v>20241.0</v>
      </c>
      <c r="K11" s="3" t="s">
        <v>21</v>
      </c>
      <c r="L11" s="4">
        <v>291.0</v>
      </c>
      <c r="M11" s="4">
        <v>8000.0</v>
      </c>
      <c r="N11" s="4">
        <v>-0.8</v>
      </c>
      <c r="O11" s="4">
        <v>-32000.0</v>
      </c>
      <c r="P11" s="4">
        <v>2.043774704E-4</v>
      </c>
      <c r="Q11" s="4">
        <v>40000.0</v>
      </c>
    </row>
    <row r="12">
      <c r="A12" s="2">
        <v>1.0</v>
      </c>
      <c r="B12" s="3" t="s">
        <v>17</v>
      </c>
      <c r="C12" s="2">
        <v>13.0</v>
      </c>
      <c r="D12" s="3" t="s">
        <v>34</v>
      </c>
      <c r="E12" s="2">
        <v>131.0</v>
      </c>
      <c r="F12" s="3" t="s">
        <v>35</v>
      </c>
      <c r="G12" s="2">
        <v>1314.0</v>
      </c>
      <c r="H12" s="3" t="s">
        <v>37</v>
      </c>
      <c r="I12" s="2">
        <v>2024.0</v>
      </c>
      <c r="J12" s="2">
        <v>20241.0</v>
      </c>
      <c r="K12" s="3" t="s">
        <v>21</v>
      </c>
      <c r="L12" s="4">
        <v>606.0</v>
      </c>
      <c r="M12" s="4">
        <v>1186.468647</v>
      </c>
      <c r="N12" s="4">
        <v>-0.9206382769</v>
      </c>
      <c r="O12" s="4">
        <v>-13763.66854</v>
      </c>
      <c r="P12" s="4">
        <v>4.256108147E-4</v>
      </c>
      <c r="Q12" s="4">
        <v>14950.13718</v>
      </c>
    </row>
    <row r="13">
      <c r="A13" s="2">
        <v>1.0</v>
      </c>
      <c r="B13" s="3" t="s">
        <v>17</v>
      </c>
      <c r="C13" s="2">
        <v>13.0</v>
      </c>
      <c r="D13" s="3" t="s">
        <v>34</v>
      </c>
      <c r="E13" s="2">
        <v>131.0</v>
      </c>
      <c r="F13" s="3" t="s">
        <v>35</v>
      </c>
      <c r="G13" s="2">
        <v>1315.0</v>
      </c>
      <c r="H13" s="3" t="s">
        <v>38</v>
      </c>
      <c r="I13" s="2">
        <v>2024.0</v>
      </c>
      <c r="J13" s="2">
        <v>20241.0</v>
      </c>
      <c r="K13" s="3" t="s">
        <v>21</v>
      </c>
      <c r="L13" s="4">
        <v>1323.0</v>
      </c>
      <c r="M13" s="4">
        <v>15190.4384</v>
      </c>
      <c r="N13" s="4">
        <v>2.33045595</v>
      </c>
      <c r="O13" s="4">
        <v>10629.3697</v>
      </c>
      <c r="P13" s="4">
        <v>9.29180046E-4</v>
      </c>
      <c r="Q13" s="4">
        <v>4561.068702</v>
      </c>
    </row>
    <row r="14">
      <c r="A14" s="2">
        <v>1.0</v>
      </c>
      <c r="B14" s="3" t="s">
        <v>17</v>
      </c>
      <c r="C14" s="2">
        <v>13.0</v>
      </c>
      <c r="D14" s="3" t="s">
        <v>34</v>
      </c>
      <c r="E14" s="2">
        <v>132.0</v>
      </c>
      <c r="F14" s="3" t="s">
        <v>39</v>
      </c>
      <c r="G14" s="2">
        <v>1321.0</v>
      </c>
      <c r="H14" s="3" t="s">
        <v>40</v>
      </c>
      <c r="I14" s="2">
        <v>2024.0</v>
      </c>
      <c r="J14" s="2">
        <v>20241.0</v>
      </c>
      <c r="K14" s="3" t="s">
        <v>21</v>
      </c>
      <c r="L14" s="4">
        <v>1076.0</v>
      </c>
      <c r="M14" s="4">
        <v>7678.438662</v>
      </c>
      <c r="N14" s="4">
        <v>-0.7046754361</v>
      </c>
      <c r="O14" s="4">
        <v>-18321.56134</v>
      </c>
      <c r="P14" s="4">
        <v>7.55705011E-4</v>
      </c>
      <c r="Q14" s="4">
        <v>26000.0</v>
      </c>
    </row>
    <row r="15">
      <c r="A15" s="2">
        <v>1.0</v>
      </c>
      <c r="B15" s="3" t="s">
        <v>17</v>
      </c>
      <c r="C15" s="2">
        <v>13.0</v>
      </c>
      <c r="D15" s="3" t="s">
        <v>34</v>
      </c>
      <c r="E15" s="2">
        <v>132.0</v>
      </c>
      <c r="F15" s="3" t="s">
        <v>39</v>
      </c>
      <c r="G15" s="2">
        <v>1324.0</v>
      </c>
      <c r="H15" s="3" t="s">
        <v>41</v>
      </c>
      <c r="I15" s="2">
        <v>2024.0</v>
      </c>
      <c r="J15" s="2">
        <v>20241.0</v>
      </c>
      <c r="K15" s="3" t="s">
        <v>21</v>
      </c>
      <c r="L15" s="4">
        <v>603.0</v>
      </c>
      <c r="M15" s="4">
        <v>15000.0</v>
      </c>
      <c r="N15" s="4">
        <v>-0.53125</v>
      </c>
      <c r="O15" s="4">
        <v>-17000.0</v>
      </c>
      <c r="P15" s="4">
        <v>4.235038305E-4</v>
      </c>
      <c r="Q15" s="4">
        <v>32000.0</v>
      </c>
    </row>
    <row r="16">
      <c r="A16" s="2">
        <v>1.0</v>
      </c>
      <c r="B16" s="3" t="s">
        <v>17</v>
      </c>
      <c r="C16" s="2">
        <v>14.0</v>
      </c>
      <c r="D16" s="3" t="s">
        <v>42</v>
      </c>
      <c r="E16" s="2">
        <v>141.0</v>
      </c>
      <c r="F16" s="3" t="s">
        <v>43</v>
      </c>
      <c r="G16" s="2">
        <v>1411.0</v>
      </c>
      <c r="H16" s="3" t="s">
        <v>44</v>
      </c>
      <c r="I16" s="2">
        <v>2024.0</v>
      </c>
      <c r="J16" s="2">
        <v>20241.0</v>
      </c>
      <c r="K16" s="3" t="s">
        <v>21</v>
      </c>
      <c r="L16" s="4">
        <v>1626.0</v>
      </c>
      <c r="M16" s="4">
        <v>8405.904059</v>
      </c>
      <c r="N16" s="4">
        <v>-0.1733071495</v>
      </c>
      <c r="O16" s="4">
        <v>-1762.206206</v>
      </c>
      <c r="P16" s="4">
        <v>0.001141985453</v>
      </c>
      <c r="Q16" s="4">
        <v>10168.11026</v>
      </c>
    </row>
    <row r="17">
      <c r="A17" s="2">
        <v>1.0</v>
      </c>
      <c r="B17" s="3" t="s">
        <v>17</v>
      </c>
      <c r="C17" s="2">
        <v>14.0</v>
      </c>
      <c r="D17" s="3" t="s">
        <v>42</v>
      </c>
      <c r="E17" s="2">
        <v>141.0</v>
      </c>
      <c r="F17" s="3" t="s">
        <v>43</v>
      </c>
      <c r="G17" s="2">
        <v>1412.0</v>
      </c>
      <c r="H17" s="3" t="s">
        <v>45</v>
      </c>
      <c r="I17" s="2">
        <v>2024.0</v>
      </c>
      <c r="J17" s="2">
        <v>20241.0</v>
      </c>
      <c r="K17" s="3" t="s">
        <v>21</v>
      </c>
      <c r="L17" s="4">
        <v>1969.0</v>
      </c>
      <c r="M17" s="4">
        <v>9215.185373</v>
      </c>
      <c r="N17" s="4">
        <v>-0.2147691843</v>
      </c>
      <c r="O17" s="4">
        <v>-2520.453612</v>
      </c>
      <c r="P17" s="4">
        <v>0.001382883984</v>
      </c>
      <c r="Q17" s="4">
        <v>11735.63899</v>
      </c>
    </row>
    <row r="18">
      <c r="A18" s="2">
        <v>1.0</v>
      </c>
      <c r="B18" s="3" t="s">
        <v>17</v>
      </c>
      <c r="C18" s="2">
        <v>14.0</v>
      </c>
      <c r="D18" s="3" t="s">
        <v>42</v>
      </c>
      <c r="E18" s="2">
        <v>142.0</v>
      </c>
      <c r="F18" s="3" t="s">
        <v>46</v>
      </c>
      <c r="G18" s="2">
        <v>1421.0</v>
      </c>
      <c r="H18" s="3" t="s">
        <v>47</v>
      </c>
      <c r="I18" s="2">
        <v>2024.0</v>
      </c>
      <c r="J18" s="2">
        <v>20241.0</v>
      </c>
      <c r="K18" s="3" t="s">
        <v>21</v>
      </c>
      <c r="L18" s="4">
        <v>156.0</v>
      </c>
      <c r="M18" s="4">
        <v>14000.0</v>
      </c>
      <c r="N18" s="4">
        <v>6.857843137</v>
      </c>
      <c r="O18" s="4">
        <v>12218.34061</v>
      </c>
      <c r="P18" s="4">
        <v>1.0956318E-4</v>
      </c>
      <c r="Q18" s="4">
        <v>1781.659389</v>
      </c>
    </row>
    <row r="19">
      <c r="A19" s="2">
        <v>1.0</v>
      </c>
      <c r="B19" s="3" t="s">
        <v>17</v>
      </c>
      <c r="C19" s="2">
        <v>14.0</v>
      </c>
      <c r="D19" s="3" t="s">
        <v>42</v>
      </c>
      <c r="E19" s="2">
        <v>142.0</v>
      </c>
      <c r="F19" s="3" t="s">
        <v>46</v>
      </c>
      <c r="G19" s="2">
        <v>1422.0</v>
      </c>
      <c r="H19" s="3" t="s">
        <v>48</v>
      </c>
      <c r="I19" s="2">
        <v>2024.0</v>
      </c>
      <c r="J19" s="2">
        <v>20241.0</v>
      </c>
      <c r="K19" s="3" t="s">
        <v>21</v>
      </c>
      <c r="L19" s="4">
        <v>131.0</v>
      </c>
      <c r="M19" s="4">
        <v>5809.923664</v>
      </c>
      <c r="N19" s="4">
        <v>1.0</v>
      </c>
      <c r="O19" s="4">
        <v>5809.923664</v>
      </c>
      <c r="P19" s="4">
        <v>9.20049781E-5</v>
      </c>
      <c r="Q19" s="4">
        <v>0.0</v>
      </c>
    </row>
    <row r="20">
      <c r="A20" s="2">
        <v>1.0</v>
      </c>
      <c r="B20" s="3" t="s">
        <v>17</v>
      </c>
      <c r="C20" s="2">
        <v>14.0</v>
      </c>
      <c r="D20" s="3" t="s">
        <v>42</v>
      </c>
      <c r="E20" s="2">
        <v>142.0</v>
      </c>
      <c r="F20" s="3" t="s">
        <v>46</v>
      </c>
      <c r="G20" s="2">
        <v>1423.0</v>
      </c>
      <c r="H20" s="3" t="s">
        <v>49</v>
      </c>
      <c r="I20" s="2">
        <v>2024.0</v>
      </c>
      <c r="J20" s="2">
        <v>20241.0</v>
      </c>
      <c r="K20" s="3" t="s">
        <v>21</v>
      </c>
      <c r="L20" s="4">
        <v>137.0</v>
      </c>
      <c r="M20" s="4">
        <v>8792.70073</v>
      </c>
      <c r="N20" s="4">
        <v>1.304917846</v>
      </c>
      <c r="O20" s="4">
        <v>4977.944058</v>
      </c>
      <c r="P20" s="4">
        <v>9.621894656E-5</v>
      </c>
      <c r="Q20" s="4">
        <v>3814.756672</v>
      </c>
    </row>
    <row r="21">
      <c r="A21" s="2">
        <v>1.0</v>
      </c>
      <c r="B21" s="3" t="s">
        <v>17</v>
      </c>
      <c r="C21" s="2">
        <v>15.0</v>
      </c>
      <c r="D21" s="3" t="s">
        <v>50</v>
      </c>
      <c r="E21" s="2">
        <v>151.0</v>
      </c>
      <c r="F21" s="3" t="s">
        <v>51</v>
      </c>
      <c r="G21" s="2">
        <v>1511.0</v>
      </c>
      <c r="H21" s="3" t="s">
        <v>52</v>
      </c>
      <c r="I21" s="2">
        <v>2024.0</v>
      </c>
      <c r="J21" s="2">
        <v>20241.0</v>
      </c>
      <c r="K21" s="3" t="s">
        <v>21</v>
      </c>
      <c r="L21" s="4">
        <v>2405.0</v>
      </c>
      <c r="M21" s="4">
        <v>7941.995842</v>
      </c>
      <c r="N21" s="4">
        <v>-0.4133611852</v>
      </c>
      <c r="O21" s="4">
        <v>-5596.139791</v>
      </c>
      <c r="P21" s="4">
        <v>0.001689099025</v>
      </c>
      <c r="Q21" s="4">
        <v>13538.13563</v>
      </c>
    </row>
    <row r="22">
      <c r="A22" s="2">
        <v>1.0</v>
      </c>
      <c r="B22" s="3" t="s">
        <v>17</v>
      </c>
      <c r="C22" s="2">
        <v>15.0</v>
      </c>
      <c r="D22" s="3" t="s">
        <v>50</v>
      </c>
      <c r="E22" s="2">
        <v>151.0</v>
      </c>
      <c r="F22" s="3" t="s">
        <v>51</v>
      </c>
      <c r="G22" s="2">
        <v>1512.0</v>
      </c>
      <c r="H22" s="3" t="s">
        <v>53</v>
      </c>
      <c r="I22" s="2">
        <v>2024.0</v>
      </c>
      <c r="J22" s="2">
        <v>20241.0</v>
      </c>
      <c r="K22" s="3" t="s">
        <v>21</v>
      </c>
      <c r="L22" s="4">
        <v>162.0</v>
      </c>
      <c r="M22" s="4">
        <v>11111.11111</v>
      </c>
      <c r="N22" s="4">
        <v>-0.02230369691</v>
      </c>
      <c r="O22" s="4">
        <v>-253.4722222</v>
      </c>
      <c r="P22" s="4">
        <v>1.137771485E-4</v>
      </c>
      <c r="Q22" s="4">
        <v>11364.58333</v>
      </c>
    </row>
    <row r="23">
      <c r="A23" s="2">
        <v>1.0</v>
      </c>
      <c r="B23" s="3" t="s">
        <v>17</v>
      </c>
      <c r="C23" s="2">
        <v>15.0</v>
      </c>
      <c r="D23" s="3" t="s">
        <v>50</v>
      </c>
      <c r="E23" s="2">
        <v>152.0</v>
      </c>
      <c r="F23" s="3" t="s">
        <v>54</v>
      </c>
      <c r="G23" s="2">
        <v>1521.0</v>
      </c>
      <c r="H23" s="3" t="s">
        <v>55</v>
      </c>
      <c r="I23" s="2">
        <v>2024.0</v>
      </c>
      <c r="J23" s="2">
        <v>20241.0</v>
      </c>
      <c r="K23" s="3" t="s">
        <v>21</v>
      </c>
      <c r="L23" s="4">
        <v>390.0</v>
      </c>
      <c r="M23" s="4">
        <v>15102.5641</v>
      </c>
      <c r="N23" s="4">
        <v>3.766992179</v>
      </c>
      <c r="O23" s="4">
        <v>11934.41036</v>
      </c>
      <c r="P23" s="4">
        <v>2.739079501E-4</v>
      </c>
      <c r="Q23" s="4">
        <v>3168.153741</v>
      </c>
    </row>
    <row r="24">
      <c r="A24" s="2">
        <v>1.0</v>
      </c>
      <c r="B24" s="3" t="s">
        <v>17</v>
      </c>
      <c r="C24" s="2">
        <v>15.0</v>
      </c>
      <c r="D24" s="3" t="s">
        <v>50</v>
      </c>
      <c r="E24" s="2">
        <v>152.0</v>
      </c>
      <c r="F24" s="3" t="s">
        <v>54</v>
      </c>
      <c r="G24" s="2">
        <v>1522.0</v>
      </c>
      <c r="H24" s="3" t="s">
        <v>56</v>
      </c>
      <c r="I24" s="2">
        <v>2024.0</v>
      </c>
      <c r="J24" s="2">
        <v>20241.0</v>
      </c>
      <c r="K24" s="3" t="s">
        <v>21</v>
      </c>
      <c r="L24" s="4">
        <v>55.0</v>
      </c>
      <c r="M24" s="4">
        <v>14000.0</v>
      </c>
      <c r="N24" s="4">
        <v>1.0</v>
      </c>
      <c r="O24" s="4">
        <v>14000.0</v>
      </c>
      <c r="P24" s="4">
        <v>3.862804424E-5</v>
      </c>
      <c r="Q24" s="4">
        <v>0.0</v>
      </c>
    </row>
    <row r="25">
      <c r="A25" s="2">
        <v>1.0</v>
      </c>
      <c r="B25" s="3" t="s">
        <v>17</v>
      </c>
      <c r="C25" s="2">
        <v>15.0</v>
      </c>
      <c r="D25" s="3" t="s">
        <v>50</v>
      </c>
      <c r="E25" s="2">
        <v>152.0</v>
      </c>
      <c r="F25" s="3" t="s">
        <v>54</v>
      </c>
      <c r="G25" s="2">
        <v>1523.0</v>
      </c>
      <c r="H25" s="3" t="s">
        <v>57</v>
      </c>
      <c r="I25" s="2">
        <v>2024.0</v>
      </c>
      <c r="J25" s="2">
        <v>20241.0</v>
      </c>
      <c r="K25" s="3" t="s">
        <v>21</v>
      </c>
      <c r="L25" s="4">
        <v>897.0</v>
      </c>
      <c r="M25" s="4">
        <v>10985.50725</v>
      </c>
      <c r="N25" s="4">
        <v>-0.0190761216</v>
      </c>
      <c r="O25" s="4">
        <v>-213.6362226</v>
      </c>
      <c r="P25" s="4">
        <v>6.299882852E-4</v>
      </c>
      <c r="Q25" s="4">
        <v>11199.14347</v>
      </c>
    </row>
    <row r="26">
      <c r="A26" s="2">
        <v>1.0</v>
      </c>
      <c r="B26" s="3" t="s">
        <v>17</v>
      </c>
      <c r="C26" s="2">
        <v>15.0</v>
      </c>
      <c r="D26" s="3" t="s">
        <v>50</v>
      </c>
      <c r="E26" s="2">
        <v>152.0</v>
      </c>
      <c r="F26" s="3" t="s">
        <v>54</v>
      </c>
      <c r="G26" s="2">
        <v>1524.0</v>
      </c>
      <c r="H26" s="3" t="s">
        <v>58</v>
      </c>
      <c r="I26" s="2">
        <v>2024.0</v>
      </c>
      <c r="J26" s="2">
        <v>20241.0</v>
      </c>
      <c r="K26" s="3" t="s">
        <v>21</v>
      </c>
      <c r="L26" s="4">
        <v>390.0</v>
      </c>
      <c r="M26" s="4">
        <v>15192.82051</v>
      </c>
      <c r="N26" s="4">
        <v>1.913758915</v>
      </c>
      <c r="O26" s="4">
        <v>9978.655251</v>
      </c>
      <c r="P26" s="4">
        <v>2.739079501E-4</v>
      </c>
      <c r="Q26" s="4">
        <v>5214.165261</v>
      </c>
    </row>
    <row r="27">
      <c r="A27" s="2">
        <v>1.0</v>
      </c>
      <c r="B27" s="3" t="s">
        <v>17</v>
      </c>
      <c r="C27" s="2">
        <v>15.0</v>
      </c>
      <c r="D27" s="3" t="s">
        <v>50</v>
      </c>
      <c r="E27" s="2">
        <v>152.0</v>
      </c>
      <c r="F27" s="3" t="s">
        <v>54</v>
      </c>
      <c r="G27" s="2">
        <v>1526.0</v>
      </c>
      <c r="H27" s="3" t="s">
        <v>59</v>
      </c>
      <c r="I27" s="2">
        <v>2024.0</v>
      </c>
      <c r="J27" s="2">
        <v>20241.0</v>
      </c>
      <c r="K27" s="3" t="s">
        <v>21</v>
      </c>
      <c r="L27" s="4">
        <v>303.0</v>
      </c>
      <c r="M27" s="4">
        <v>1316.963696</v>
      </c>
      <c r="N27" s="4">
        <v>-0.7805060506</v>
      </c>
      <c r="O27" s="4">
        <v>-4683.036304</v>
      </c>
      <c r="P27" s="4">
        <v>2.128054074E-4</v>
      </c>
      <c r="Q27" s="4">
        <v>6000.0</v>
      </c>
    </row>
    <row r="28">
      <c r="A28" s="2">
        <v>1.0</v>
      </c>
      <c r="B28" s="3" t="s">
        <v>17</v>
      </c>
      <c r="C28" s="2">
        <v>16.0</v>
      </c>
      <c r="D28" s="3" t="s">
        <v>60</v>
      </c>
      <c r="E28" s="2">
        <v>161.0</v>
      </c>
      <c r="F28" s="3" t="s">
        <v>61</v>
      </c>
      <c r="G28" s="2">
        <v>1614.0</v>
      </c>
      <c r="H28" s="3" t="s">
        <v>62</v>
      </c>
      <c r="I28" s="2">
        <v>2024.0</v>
      </c>
      <c r="J28" s="2">
        <v>20241.0</v>
      </c>
      <c r="K28" s="3" t="s">
        <v>21</v>
      </c>
      <c r="L28" s="4">
        <v>164.0</v>
      </c>
      <c r="M28" s="4">
        <v>9764.146341</v>
      </c>
      <c r="N28" s="4">
        <v>1.0</v>
      </c>
      <c r="O28" s="4">
        <v>9764.146341</v>
      </c>
      <c r="P28" s="4">
        <v>1.151818046E-4</v>
      </c>
      <c r="Q28" s="4">
        <v>0.0</v>
      </c>
    </row>
    <row r="29">
      <c r="A29" s="2">
        <v>1.0</v>
      </c>
      <c r="B29" s="3" t="s">
        <v>17</v>
      </c>
      <c r="C29" s="2">
        <v>16.0</v>
      </c>
      <c r="D29" s="3" t="s">
        <v>60</v>
      </c>
      <c r="E29" s="2">
        <v>161.0</v>
      </c>
      <c r="F29" s="3" t="s">
        <v>61</v>
      </c>
      <c r="G29" s="2">
        <v>1615.0</v>
      </c>
      <c r="H29" s="3" t="s">
        <v>63</v>
      </c>
      <c r="I29" s="2">
        <v>2024.0</v>
      </c>
      <c r="J29" s="2">
        <v>20241.0</v>
      </c>
      <c r="K29" s="3" t="s">
        <v>21</v>
      </c>
      <c r="L29" s="4">
        <v>229.0</v>
      </c>
      <c r="M29" s="4">
        <v>11441.04803</v>
      </c>
      <c r="N29" s="4">
        <v>0.7926858789</v>
      </c>
      <c r="O29" s="4">
        <v>5058.977328</v>
      </c>
      <c r="P29" s="4">
        <v>1.608331297E-4</v>
      </c>
      <c r="Q29" s="4">
        <v>6382.070707</v>
      </c>
    </row>
    <row r="30">
      <c r="A30" s="2">
        <v>1.0</v>
      </c>
      <c r="B30" s="3" t="s">
        <v>17</v>
      </c>
      <c r="C30" s="2">
        <v>16.0</v>
      </c>
      <c r="D30" s="3" t="s">
        <v>60</v>
      </c>
      <c r="E30" s="2">
        <v>161.0</v>
      </c>
      <c r="F30" s="3" t="s">
        <v>61</v>
      </c>
      <c r="G30" s="2">
        <v>1619.0</v>
      </c>
      <c r="H30" s="3" t="s">
        <v>64</v>
      </c>
      <c r="I30" s="2">
        <v>2024.0</v>
      </c>
      <c r="J30" s="2">
        <v>20241.0</v>
      </c>
      <c r="K30" s="3" t="s">
        <v>21</v>
      </c>
      <c r="L30" s="4">
        <v>27.0</v>
      </c>
      <c r="M30" s="4">
        <v>35000.0</v>
      </c>
      <c r="N30" s="4">
        <v>1.0</v>
      </c>
      <c r="O30" s="4">
        <v>35000.0</v>
      </c>
      <c r="P30" s="4">
        <v>1.896285808E-5</v>
      </c>
      <c r="Q30" s="4">
        <v>0.0</v>
      </c>
    </row>
    <row r="31">
      <c r="A31" s="2">
        <v>1.0</v>
      </c>
      <c r="B31" s="3" t="s">
        <v>17</v>
      </c>
      <c r="C31" s="2">
        <v>16.0</v>
      </c>
      <c r="D31" s="3" t="s">
        <v>60</v>
      </c>
      <c r="E31" s="2">
        <v>162.0</v>
      </c>
      <c r="F31" s="3" t="s">
        <v>65</v>
      </c>
      <c r="G31" s="2">
        <v>1621.0</v>
      </c>
      <c r="H31" s="3" t="s">
        <v>66</v>
      </c>
      <c r="I31" s="2">
        <v>2024.0</v>
      </c>
      <c r="J31" s="2">
        <v>20241.0</v>
      </c>
      <c r="K31" s="3" t="s">
        <v>21</v>
      </c>
      <c r="L31" s="4">
        <v>831.0</v>
      </c>
      <c r="M31" s="4">
        <v>10613.71841</v>
      </c>
      <c r="N31" s="4">
        <v>1.0</v>
      </c>
      <c r="O31" s="4">
        <v>10613.71841</v>
      </c>
      <c r="P31" s="4">
        <v>5.836346321E-4</v>
      </c>
      <c r="Q31" s="4">
        <v>0.0</v>
      </c>
    </row>
    <row r="32">
      <c r="A32" s="2">
        <v>1.0</v>
      </c>
      <c r="B32" s="3" t="s">
        <v>17</v>
      </c>
      <c r="C32" s="2">
        <v>16.0</v>
      </c>
      <c r="D32" s="3" t="s">
        <v>60</v>
      </c>
      <c r="E32" s="2">
        <v>162.0</v>
      </c>
      <c r="F32" s="3" t="s">
        <v>65</v>
      </c>
      <c r="G32" s="2">
        <v>1622.0</v>
      </c>
      <c r="H32" s="3" t="s">
        <v>67</v>
      </c>
      <c r="I32" s="2">
        <v>2024.0</v>
      </c>
      <c r="J32" s="2">
        <v>20241.0</v>
      </c>
      <c r="K32" s="3" t="s">
        <v>21</v>
      </c>
      <c r="L32" s="4">
        <v>39.0</v>
      </c>
      <c r="M32" s="4">
        <v>7400.0</v>
      </c>
      <c r="N32" s="4">
        <v>-0.3383616384</v>
      </c>
      <c r="O32" s="4">
        <v>-3784.357542</v>
      </c>
      <c r="P32" s="4">
        <v>2.739079501E-5</v>
      </c>
      <c r="Q32" s="4">
        <v>11184.35754</v>
      </c>
    </row>
    <row r="33">
      <c r="A33" s="2">
        <v>1.0</v>
      </c>
      <c r="B33" s="3" t="s">
        <v>17</v>
      </c>
      <c r="C33" s="2">
        <v>16.0</v>
      </c>
      <c r="D33" s="3" t="s">
        <v>60</v>
      </c>
      <c r="E33" s="2">
        <v>162.0</v>
      </c>
      <c r="F33" s="3" t="s">
        <v>65</v>
      </c>
      <c r="G33" s="2">
        <v>1623.0</v>
      </c>
      <c r="H33" s="3" t="s">
        <v>68</v>
      </c>
      <c r="I33" s="2">
        <v>2024.0</v>
      </c>
      <c r="J33" s="2">
        <v>20241.0</v>
      </c>
      <c r="K33" s="3" t="s">
        <v>21</v>
      </c>
      <c r="L33" s="4">
        <v>262.0</v>
      </c>
      <c r="M33" s="4">
        <v>10271.45038</v>
      </c>
      <c r="N33" s="4">
        <v>-0.2213855271</v>
      </c>
      <c r="O33" s="4">
        <v>-2920.508848</v>
      </c>
      <c r="P33" s="4">
        <v>1.840099562E-4</v>
      </c>
      <c r="Q33" s="4">
        <v>13191.95923</v>
      </c>
    </row>
    <row r="34">
      <c r="A34" s="2">
        <v>1.0</v>
      </c>
      <c r="B34" s="3" t="s">
        <v>17</v>
      </c>
      <c r="C34" s="2">
        <v>16.0</v>
      </c>
      <c r="D34" s="3" t="s">
        <v>60</v>
      </c>
      <c r="E34" s="2">
        <v>162.0</v>
      </c>
      <c r="F34" s="3" t="s">
        <v>65</v>
      </c>
      <c r="G34" s="2">
        <v>1624.0</v>
      </c>
      <c r="H34" s="3" t="s">
        <v>69</v>
      </c>
      <c r="I34" s="2">
        <v>2024.0</v>
      </c>
      <c r="J34" s="2">
        <v>20241.0</v>
      </c>
      <c r="K34" s="3" t="s">
        <v>21</v>
      </c>
      <c r="L34" s="4">
        <v>178.0</v>
      </c>
      <c r="M34" s="4">
        <v>10712.35955</v>
      </c>
      <c r="N34" s="4">
        <v>1.0</v>
      </c>
      <c r="O34" s="4">
        <v>10712.35955</v>
      </c>
      <c r="P34" s="4">
        <v>1.250143977E-4</v>
      </c>
      <c r="Q34" s="4">
        <v>0.0</v>
      </c>
    </row>
    <row r="35">
      <c r="A35" s="2">
        <v>1.0</v>
      </c>
      <c r="B35" s="3" t="s">
        <v>17</v>
      </c>
      <c r="C35" s="2">
        <v>16.0</v>
      </c>
      <c r="D35" s="3" t="s">
        <v>60</v>
      </c>
      <c r="E35" s="2">
        <v>162.0</v>
      </c>
      <c r="F35" s="3" t="s">
        <v>65</v>
      </c>
      <c r="G35" s="2">
        <v>1629.0</v>
      </c>
      <c r="H35" s="3" t="s">
        <v>70</v>
      </c>
      <c r="I35" s="2">
        <v>2024.0</v>
      </c>
      <c r="J35" s="2">
        <v>20241.0</v>
      </c>
      <c r="K35" s="3" t="s">
        <v>21</v>
      </c>
      <c r="L35" s="4">
        <v>62.0</v>
      </c>
      <c r="M35" s="4">
        <v>25000.0</v>
      </c>
      <c r="N35" s="4">
        <v>-0.03846153846</v>
      </c>
      <c r="O35" s="4">
        <v>-1000.0</v>
      </c>
      <c r="P35" s="4">
        <v>4.354434078E-5</v>
      </c>
      <c r="Q35" s="4">
        <v>26000.0</v>
      </c>
    </row>
    <row r="36">
      <c r="A36" s="2">
        <v>1.0</v>
      </c>
      <c r="B36" s="3" t="s">
        <v>17</v>
      </c>
      <c r="C36" s="2">
        <v>17.0</v>
      </c>
      <c r="D36" s="3" t="s">
        <v>71</v>
      </c>
      <c r="E36" s="2">
        <v>171.0</v>
      </c>
      <c r="F36" s="3" t="s">
        <v>72</v>
      </c>
      <c r="G36" s="2">
        <v>1711.0</v>
      </c>
      <c r="H36" s="3" t="s">
        <v>73</v>
      </c>
      <c r="I36" s="2">
        <v>2024.0</v>
      </c>
      <c r="J36" s="2">
        <v>20241.0</v>
      </c>
      <c r="K36" s="3" t="s">
        <v>21</v>
      </c>
      <c r="L36" s="4">
        <v>128.0</v>
      </c>
      <c r="M36" s="4">
        <v>24790.625</v>
      </c>
      <c r="N36" s="4">
        <v>2.440549811</v>
      </c>
      <c r="O36" s="4">
        <v>17585.1996</v>
      </c>
      <c r="P36" s="4">
        <v>8.989799387E-5</v>
      </c>
      <c r="Q36" s="4">
        <v>7205.425401</v>
      </c>
    </row>
    <row r="37">
      <c r="A37" s="2">
        <v>1.0</v>
      </c>
      <c r="B37" s="3" t="s">
        <v>17</v>
      </c>
      <c r="C37" s="2">
        <v>17.0</v>
      </c>
      <c r="D37" s="3" t="s">
        <v>71</v>
      </c>
      <c r="E37" s="2">
        <v>172.0</v>
      </c>
      <c r="F37" s="3" t="s">
        <v>74</v>
      </c>
      <c r="G37" s="2">
        <v>1721.0</v>
      </c>
      <c r="H37" s="3" t="s">
        <v>75</v>
      </c>
      <c r="I37" s="2">
        <v>2024.0</v>
      </c>
      <c r="J37" s="2">
        <v>20241.0</v>
      </c>
      <c r="K37" s="3" t="s">
        <v>21</v>
      </c>
      <c r="L37" s="4">
        <v>862.0</v>
      </c>
      <c r="M37" s="4">
        <v>11500.0</v>
      </c>
      <c r="N37" s="4">
        <v>-0.3428571429</v>
      </c>
      <c r="O37" s="4">
        <v>-6000.0</v>
      </c>
      <c r="P37" s="4">
        <v>6.054068025E-4</v>
      </c>
      <c r="Q37" s="4">
        <v>17500.0</v>
      </c>
    </row>
    <row r="38">
      <c r="A38" s="2">
        <v>1.0</v>
      </c>
      <c r="B38" s="3" t="s">
        <v>17</v>
      </c>
      <c r="C38" s="2">
        <v>17.0</v>
      </c>
      <c r="D38" s="3" t="s">
        <v>71</v>
      </c>
      <c r="E38" s="2">
        <v>172.0</v>
      </c>
      <c r="F38" s="3" t="s">
        <v>74</v>
      </c>
      <c r="G38" s="2">
        <v>1722.0</v>
      </c>
      <c r="H38" s="3" t="s">
        <v>76</v>
      </c>
      <c r="I38" s="2">
        <v>2024.0</v>
      </c>
      <c r="J38" s="2">
        <v>20241.0</v>
      </c>
      <c r="K38" s="3" t="s">
        <v>21</v>
      </c>
      <c r="L38" s="4">
        <v>84.0</v>
      </c>
      <c r="M38" s="4">
        <v>0.0</v>
      </c>
      <c r="N38" s="4">
        <v>-1.0</v>
      </c>
      <c r="O38" s="4">
        <v>-8504.273504</v>
      </c>
      <c r="P38" s="4">
        <v>5.899555848E-5</v>
      </c>
      <c r="Q38" s="4">
        <v>8504.273504</v>
      </c>
    </row>
    <row r="39">
      <c r="A39" s="2">
        <v>1.0</v>
      </c>
      <c r="B39" s="3" t="s">
        <v>17</v>
      </c>
      <c r="C39" s="2">
        <v>17.0</v>
      </c>
      <c r="D39" s="3" t="s">
        <v>71</v>
      </c>
      <c r="E39" s="2">
        <v>172.0</v>
      </c>
      <c r="F39" s="3" t="s">
        <v>74</v>
      </c>
      <c r="G39" s="2">
        <v>1723.0</v>
      </c>
      <c r="H39" s="3" t="s">
        <v>77</v>
      </c>
      <c r="I39" s="2">
        <v>2024.0</v>
      </c>
      <c r="J39" s="2">
        <v>20241.0</v>
      </c>
      <c r="K39" s="3" t="s">
        <v>21</v>
      </c>
      <c r="L39" s="4">
        <v>81.0</v>
      </c>
      <c r="M39" s="4">
        <v>13000.0</v>
      </c>
      <c r="N39" s="4">
        <v>1.0</v>
      </c>
      <c r="O39" s="4">
        <v>13000.0</v>
      </c>
      <c r="P39" s="4">
        <v>5.688857425E-5</v>
      </c>
      <c r="Q39" s="4">
        <v>0.0</v>
      </c>
    </row>
    <row r="40">
      <c r="A40" s="2">
        <v>2.0</v>
      </c>
      <c r="B40" s="3" t="s">
        <v>78</v>
      </c>
      <c r="C40" s="2">
        <v>21.0</v>
      </c>
      <c r="D40" s="3" t="s">
        <v>79</v>
      </c>
      <c r="E40" s="2">
        <v>211.0</v>
      </c>
      <c r="F40" s="3" t="s">
        <v>80</v>
      </c>
      <c r="G40" s="2">
        <v>2111.0</v>
      </c>
      <c r="H40" s="3" t="s">
        <v>81</v>
      </c>
      <c r="I40" s="2">
        <v>2024.0</v>
      </c>
      <c r="J40" s="2">
        <v>20241.0</v>
      </c>
      <c r="K40" s="3" t="s">
        <v>21</v>
      </c>
      <c r="L40" s="4">
        <v>1116.0</v>
      </c>
      <c r="M40" s="4">
        <v>12476.70251</v>
      </c>
      <c r="N40" s="4">
        <v>0.01260069272</v>
      </c>
      <c r="O40" s="4">
        <v>155.258727</v>
      </c>
      <c r="P40" s="4">
        <v>7.837981341E-4</v>
      </c>
      <c r="Q40" s="4">
        <v>12321.44378</v>
      </c>
    </row>
    <row r="41">
      <c r="A41" s="2">
        <v>2.0</v>
      </c>
      <c r="B41" s="3" t="s">
        <v>78</v>
      </c>
      <c r="C41" s="2">
        <v>21.0</v>
      </c>
      <c r="D41" s="3" t="s">
        <v>79</v>
      </c>
      <c r="E41" s="2">
        <v>211.0</v>
      </c>
      <c r="F41" s="3" t="s">
        <v>80</v>
      </c>
      <c r="G41" s="2">
        <v>2112.0</v>
      </c>
      <c r="H41" s="3" t="s">
        <v>82</v>
      </c>
      <c r="I41" s="2">
        <v>2024.0</v>
      </c>
      <c r="J41" s="2">
        <v>20241.0</v>
      </c>
      <c r="K41" s="3" t="s">
        <v>21</v>
      </c>
      <c r="L41" s="4">
        <v>1797.0</v>
      </c>
      <c r="M41" s="4">
        <v>6449.805231</v>
      </c>
      <c r="N41" s="4">
        <v>7.61609227</v>
      </c>
      <c r="O41" s="4">
        <v>5701.228611</v>
      </c>
      <c r="P41" s="4">
        <v>0.001262083555</v>
      </c>
      <c r="Q41" s="4">
        <v>748.5766202</v>
      </c>
    </row>
    <row r="42">
      <c r="A42" s="2">
        <v>2.0</v>
      </c>
      <c r="B42" s="3" t="s">
        <v>78</v>
      </c>
      <c r="C42" s="2">
        <v>21.0</v>
      </c>
      <c r="D42" s="3" t="s">
        <v>79</v>
      </c>
      <c r="E42" s="2">
        <v>211.0</v>
      </c>
      <c r="F42" s="3" t="s">
        <v>80</v>
      </c>
      <c r="G42" s="2">
        <v>2113.0</v>
      </c>
      <c r="H42" s="3" t="s">
        <v>83</v>
      </c>
      <c r="I42" s="2">
        <v>2024.0</v>
      </c>
      <c r="J42" s="2">
        <v>20241.0</v>
      </c>
      <c r="K42" s="3" t="s">
        <v>21</v>
      </c>
      <c r="L42" s="4">
        <v>89.0</v>
      </c>
      <c r="M42" s="4">
        <v>17000.0</v>
      </c>
      <c r="N42" s="4">
        <v>1.0</v>
      </c>
      <c r="O42" s="4">
        <v>17000.0</v>
      </c>
      <c r="P42" s="4">
        <v>6.250719886E-5</v>
      </c>
      <c r="Q42" s="4">
        <v>0.0</v>
      </c>
    </row>
    <row r="43">
      <c r="A43" s="2">
        <v>2.0</v>
      </c>
      <c r="B43" s="3" t="s">
        <v>78</v>
      </c>
      <c r="C43" s="2">
        <v>21.0</v>
      </c>
      <c r="D43" s="3" t="s">
        <v>79</v>
      </c>
      <c r="E43" s="2">
        <v>212.0</v>
      </c>
      <c r="F43" s="3" t="s">
        <v>84</v>
      </c>
      <c r="G43" s="2">
        <v>2121.0</v>
      </c>
      <c r="H43" s="3" t="s">
        <v>85</v>
      </c>
      <c r="I43" s="2">
        <v>2024.0</v>
      </c>
      <c r="J43" s="2">
        <v>20241.0</v>
      </c>
      <c r="K43" s="3" t="s">
        <v>21</v>
      </c>
      <c r="L43" s="4">
        <v>5312.0</v>
      </c>
      <c r="M43" s="4">
        <v>6470.350151</v>
      </c>
      <c r="N43" s="4">
        <v>-0.1379675944</v>
      </c>
      <c r="O43" s="4">
        <v>-1035.574347</v>
      </c>
      <c r="P43" s="4">
        <v>0.003730766746</v>
      </c>
      <c r="Q43" s="4">
        <v>7505.924497</v>
      </c>
    </row>
    <row r="44">
      <c r="A44" s="2">
        <v>2.0</v>
      </c>
      <c r="B44" s="3" t="s">
        <v>78</v>
      </c>
      <c r="C44" s="2">
        <v>21.0</v>
      </c>
      <c r="D44" s="3" t="s">
        <v>79</v>
      </c>
      <c r="E44" s="2">
        <v>212.0</v>
      </c>
      <c r="F44" s="3" t="s">
        <v>84</v>
      </c>
      <c r="G44" s="2">
        <v>2122.0</v>
      </c>
      <c r="H44" s="3" t="s">
        <v>86</v>
      </c>
      <c r="I44" s="2">
        <v>2024.0</v>
      </c>
      <c r="J44" s="2">
        <v>20241.0</v>
      </c>
      <c r="K44" s="3" t="s">
        <v>21</v>
      </c>
      <c r="L44" s="4">
        <v>1343.0</v>
      </c>
      <c r="M44" s="4">
        <v>14614.74311</v>
      </c>
      <c r="N44" s="4">
        <v>-0.3207563439</v>
      </c>
      <c r="O44" s="4">
        <v>-6901.458005</v>
      </c>
      <c r="P44" s="4">
        <v>9.432266076E-4</v>
      </c>
      <c r="Q44" s="4">
        <v>21516.20112</v>
      </c>
    </row>
    <row r="45">
      <c r="A45" s="2">
        <v>2.0</v>
      </c>
      <c r="B45" s="3" t="s">
        <v>78</v>
      </c>
      <c r="C45" s="2">
        <v>21.0</v>
      </c>
      <c r="D45" s="3" t="s">
        <v>79</v>
      </c>
      <c r="E45" s="2">
        <v>213.0</v>
      </c>
      <c r="F45" s="3" t="s">
        <v>87</v>
      </c>
      <c r="G45" s="2">
        <v>2133.0</v>
      </c>
      <c r="H45" s="3" t="s">
        <v>88</v>
      </c>
      <c r="I45" s="2">
        <v>2024.0</v>
      </c>
      <c r="J45" s="2">
        <v>20241.0</v>
      </c>
      <c r="K45" s="3" t="s">
        <v>21</v>
      </c>
      <c r="L45" s="4">
        <v>644.0</v>
      </c>
      <c r="M45" s="4">
        <v>17632.91925</v>
      </c>
      <c r="N45" s="4">
        <v>1.0</v>
      </c>
      <c r="O45" s="4">
        <v>17632.91925</v>
      </c>
      <c r="P45" s="4">
        <v>4.522992817E-4</v>
      </c>
      <c r="Q45" s="4">
        <v>0.0</v>
      </c>
    </row>
    <row r="46">
      <c r="A46" s="2">
        <v>2.0</v>
      </c>
      <c r="B46" s="3" t="s">
        <v>78</v>
      </c>
      <c r="C46" s="2">
        <v>21.0</v>
      </c>
      <c r="D46" s="3" t="s">
        <v>79</v>
      </c>
      <c r="E46" s="2">
        <v>213.0</v>
      </c>
      <c r="F46" s="3" t="s">
        <v>87</v>
      </c>
      <c r="G46" s="2">
        <v>2135.0</v>
      </c>
      <c r="H46" s="3" t="s">
        <v>89</v>
      </c>
      <c r="I46" s="2">
        <v>2024.0</v>
      </c>
      <c r="J46" s="2">
        <v>20241.0</v>
      </c>
      <c r="K46" s="3" t="s">
        <v>21</v>
      </c>
      <c r="L46" s="4">
        <v>7674.0</v>
      </c>
      <c r="M46" s="4">
        <v>9169.963513</v>
      </c>
      <c r="N46" s="4">
        <v>0.2210789689</v>
      </c>
      <c r="O46" s="4">
        <v>1660.241581</v>
      </c>
      <c r="P46" s="4">
        <v>0.005389665664</v>
      </c>
      <c r="Q46" s="4">
        <v>7509.721932</v>
      </c>
    </row>
    <row r="47">
      <c r="A47" s="2">
        <v>2.0</v>
      </c>
      <c r="B47" s="3" t="s">
        <v>78</v>
      </c>
      <c r="C47" s="2">
        <v>21.0</v>
      </c>
      <c r="D47" s="3" t="s">
        <v>79</v>
      </c>
      <c r="E47" s="2">
        <v>214.0</v>
      </c>
      <c r="F47" s="3" t="s">
        <v>90</v>
      </c>
      <c r="G47" s="2">
        <v>2142.0</v>
      </c>
      <c r="H47" s="3" t="s">
        <v>91</v>
      </c>
      <c r="I47" s="2">
        <v>2024.0</v>
      </c>
      <c r="J47" s="2">
        <v>20241.0</v>
      </c>
      <c r="K47" s="3" t="s">
        <v>21</v>
      </c>
      <c r="L47" s="4">
        <v>5749.0</v>
      </c>
      <c r="M47" s="4">
        <v>6282.831797</v>
      </c>
      <c r="N47" s="4">
        <v>0.2513643105</v>
      </c>
      <c r="O47" s="4">
        <v>1262.046288</v>
      </c>
      <c r="P47" s="4">
        <v>0.004037684115</v>
      </c>
      <c r="Q47" s="4">
        <v>5020.785509</v>
      </c>
    </row>
    <row r="48">
      <c r="A48" s="2">
        <v>2.0</v>
      </c>
      <c r="B48" s="3" t="s">
        <v>78</v>
      </c>
      <c r="C48" s="2">
        <v>21.0</v>
      </c>
      <c r="D48" s="3" t="s">
        <v>79</v>
      </c>
      <c r="E48" s="2">
        <v>214.0</v>
      </c>
      <c r="F48" s="3" t="s">
        <v>90</v>
      </c>
      <c r="G48" s="2">
        <v>2143.0</v>
      </c>
      <c r="H48" s="3" t="s">
        <v>92</v>
      </c>
      <c r="I48" s="2">
        <v>2024.0</v>
      </c>
      <c r="J48" s="2">
        <v>20241.0</v>
      </c>
      <c r="K48" s="3" t="s">
        <v>21</v>
      </c>
      <c r="L48" s="4">
        <v>570.0</v>
      </c>
      <c r="M48" s="4">
        <v>7892.982456</v>
      </c>
      <c r="N48" s="4">
        <v>0.4077055111</v>
      </c>
      <c r="O48" s="4">
        <v>2285.998329</v>
      </c>
      <c r="P48" s="4">
        <v>4.00327004E-4</v>
      </c>
      <c r="Q48" s="4">
        <v>5606.984127</v>
      </c>
    </row>
    <row r="49">
      <c r="A49" s="2">
        <v>2.0</v>
      </c>
      <c r="B49" s="3" t="s">
        <v>78</v>
      </c>
      <c r="C49" s="2">
        <v>21.0</v>
      </c>
      <c r="D49" s="3" t="s">
        <v>79</v>
      </c>
      <c r="E49" s="2">
        <v>214.0</v>
      </c>
      <c r="F49" s="3" t="s">
        <v>90</v>
      </c>
      <c r="G49" s="2">
        <v>2145.0</v>
      </c>
      <c r="H49" s="3" t="s">
        <v>93</v>
      </c>
      <c r="I49" s="2">
        <v>2024.0</v>
      </c>
      <c r="J49" s="2">
        <v>20241.0</v>
      </c>
      <c r="K49" s="3" t="s">
        <v>21</v>
      </c>
      <c r="L49" s="4">
        <v>142.0</v>
      </c>
      <c r="M49" s="4">
        <v>777.4647887</v>
      </c>
      <c r="N49" s="4">
        <v>-0.514084507</v>
      </c>
      <c r="O49" s="4">
        <v>-822.5352113</v>
      </c>
      <c r="P49" s="4">
        <v>9.973058695E-5</v>
      </c>
      <c r="Q49" s="4">
        <v>1600.0</v>
      </c>
    </row>
    <row r="50">
      <c r="A50" s="2">
        <v>2.0</v>
      </c>
      <c r="B50" s="3" t="s">
        <v>78</v>
      </c>
      <c r="C50" s="2">
        <v>21.0</v>
      </c>
      <c r="D50" s="3" t="s">
        <v>79</v>
      </c>
      <c r="E50" s="2">
        <v>215.0</v>
      </c>
      <c r="F50" s="3" t="s">
        <v>94</v>
      </c>
      <c r="G50" s="2">
        <v>2152.0</v>
      </c>
      <c r="H50" s="3" t="s">
        <v>95</v>
      </c>
      <c r="I50" s="2">
        <v>2024.0</v>
      </c>
      <c r="J50" s="2">
        <v>20241.0</v>
      </c>
      <c r="K50" s="3" t="s">
        <v>21</v>
      </c>
      <c r="L50" s="4">
        <v>4072.0</v>
      </c>
      <c r="M50" s="4">
        <v>483.7917485</v>
      </c>
      <c r="N50" s="4">
        <v>-0.9391804659</v>
      </c>
      <c r="O50" s="4">
        <v>-7470.753706</v>
      </c>
      <c r="P50" s="4">
        <v>0.00285987993</v>
      </c>
      <c r="Q50" s="4">
        <v>7954.545455</v>
      </c>
    </row>
    <row r="51">
      <c r="A51" s="2">
        <v>2.0</v>
      </c>
      <c r="B51" s="3" t="s">
        <v>78</v>
      </c>
      <c r="C51" s="2">
        <v>21.0</v>
      </c>
      <c r="D51" s="3" t="s">
        <v>79</v>
      </c>
      <c r="E51" s="2">
        <v>215.0</v>
      </c>
      <c r="F51" s="3" t="s">
        <v>94</v>
      </c>
      <c r="G51" s="2">
        <v>2153.0</v>
      </c>
      <c r="H51" s="3" t="s">
        <v>96</v>
      </c>
      <c r="I51" s="2">
        <v>2024.0</v>
      </c>
      <c r="J51" s="2">
        <v>20241.0</v>
      </c>
      <c r="K51" s="3" t="s">
        <v>21</v>
      </c>
      <c r="L51" s="4">
        <v>156.0</v>
      </c>
      <c r="M51" s="4">
        <v>8600.0</v>
      </c>
      <c r="N51" s="4">
        <v>1.0</v>
      </c>
      <c r="O51" s="4">
        <v>8600.0</v>
      </c>
      <c r="P51" s="4">
        <v>1.0956318E-4</v>
      </c>
      <c r="Q51" s="4">
        <v>0.0</v>
      </c>
    </row>
    <row r="52">
      <c r="A52" s="2">
        <v>2.0</v>
      </c>
      <c r="B52" s="3" t="s">
        <v>78</v>
      </c>
      <c r="C52" s="2">
        <v>21.0</v>
      </c>
      <c r="D52" s="3" t="s">
        <v>79</v>
      </c>
      <c r="E52" s="2">
        <v>216.0</v>
      </c>
      <c r="F52" s="3" t="s">
        <v>97</v>
      </c>
      <c r="G52" s="2">
        <v>2161.0</v>
      </c>
      <c r="H52" s="3" t="s">
        <v>98</v>
      </c>
      <c r="I52" s="2">
        <v>2024.0</v>
      </c>
      <c r="J52" s="2">
        <v>20241.0</v>
      </c>
      <c r="K52" s="3" t="s">
        <v>21</v>
      </c>
      <c r="L52" s="4">
        <v>68.0</v>
      </c>
      <c r="M52" s="4">
        <v>500.0</v>
      </c>
      <c r="N52" s="4">
        <v>-0.429288894</v>
      </c>
      <c r="O52" s="4">
        <v>-376.1</v>
      </c>
      <c r="P52" s="4">
        <v>4.775830924E-5</v>
      </c>
      <c r="Q52" s="4">
        <v>876.1</v>
      </c>
    </row>
    <row r="53">
      <c r="A53" s="2">
        <v>2.0</v>
      </c>
      <c r="B53" s="3" t="s">
        <v>78</v>
      </c>
      <c r="C53" s="2">
        <v>21.0</v>
      </c>
      <c r="D53" s="3" t="s">
        <v>79</v>
      </c>
      <c r="E53" s="2">
        <v>216.0</v>
      </c>
      <c r="F53" s="3" t="s">
        <v>97</v>
      </c>
      <c r="G53" s="2">
        <v>2162.0</v>
      </c>
      <c r="H53" s="3" t="s">
        <v>99</v>
      </c>
      <c r="I53" s="2">
        <v>2024.0</v>
      </c>
      <c r="J53" s="2">
        <v>20241.0</v>
      </c>
      <c r="K53" s="3" t="s">
        <v>21</v>
      </c>
      <c r="L53" s="4">
        <v>1584.0</v>
      </c>
      <c r="M53" s="4">
        <v>4364.930556</v>
      </c>
      <c r="N53" s="4">
        <v>-0.3726218354</v>
      </c>
      <c r="O53" s="4">
        <v>-2592.484926</v>
      </c>
      <c r="P53" s="4">
        <v>0.001112487674</v>
      </c>
      <c r="Q53" s="4">
        <v>6957.415482</v>
      </c>
    </row>
    <row r="54">
      <c r="A54" s="2">
        <v>2.0</v>
      </c>
      <c r="B54" s="3" t="s">
        <v>78</v>
      </c>
      <c r="C54" s="2">
        <v>21.0</v>
      </c>
      <c r="D54" s="3" t="s">
        <v>79</v>
      </c>
      <c r="E54" s="2">
        <v>216.0</v>
      </c>
      <c r="F54" s="3" t="s">
        <v>97</v>
      </c>
      <c r="G54" s="2">
        <v>2163.0</v>
      </c>
      <c r="H54" s="3" t="s">
        <v>100</v>
      </c>
      <c r="I54" s="2">
        <v>2024.0</v>
      </c>
      <c r="J54" s="2">
        <v>20241.0</v>
      </c>
      <c r="K54" s="3" t="s">
        <v>21</v>
      </c>
      <c r="L54" s="4">
        <v>547.0</v>
      </c>
      <c r="M54" s="4">
        <v>860.0</v>
      </c>
      <c r="N54" s="4">
        <v>1.0</v>
      </c>
      <c r="O54" s="4">
        <v>860.0</v>
      </c>
      <c r="P54" s="4">
        <v>3.841734582E-4</v>
      </c>
      <c r="Q54" s="4">
        <v>0.0</v>
      </c>
    </row>
    <row r="55">
      <c r="A55" s="2">
        <v>2.0</v>
      </c>
      <c r="B55" s="3" t="s">
        <v>78</v>
      </c>
      <c r="C55" s="2">
        <v>21.0</v>
      </c>
      <c r="D55" s="3" t="s">
        <v>79</v>
      </c>
      <c r="E55" s="2">
        <v>217.0</v>
      </c>
      <c r="F55" s="3" t="s">
        <v>101</v>
      </c>
      <c r="G55" s="2">
        <v>2171.0</v>
      </c>
      <c r="H55" s="3" t="s">
        <v>102</v>
      </c>
      <c r="I55" s="2">
        <v>2024.0</v>
      </c>
      <c r="J55" s="2">
        <v>20241.0</v>
      </c>
      <c r="K55" s="3" t="s">
        <v>21</v>
      </c>
      <c r="L55" s="4">
        <v>53.0</v>
      </c>
      <c r="M55" s="4">
        <v>0.0</v>
      </c>
      <c r="N55" s="4">
        <v>1.0</v>
      </c>
      <c r="O55" s="4">
        <v>0.0</v>
      </c>
      <c r="P55" s="4">
        <v>3.722338809E-5</v>
      </c>
      <c r="Q55" s="4">
        <v>0.0</v>
      </c>
    </row>
    <row r="56">
      <c r="A56" s="2">
        <v>2.0</v>
      </c>
      <c r="B56" s="3" t="s">
        <v>78</v>
      </c>
      <c r="C56" s="2">
        <v>21.0</v>
      </c>
      <c r="D56" s="3" t="s">
        <v>79</v>
      </c>
      <c r="E56" s="2">
        <v>217.0</v>
      </c>
      <c r="F56" s="3" t="s">
        <v>101</v>
      </c>
      <c r="G56" s="2">
        <v>2172.0</v>
      </c>
      <c r="H56" s="3" t="s">
        <v>103</v>
      </c>
      <c r="I56" s="2">
        <v>2024.0</v>
      </c>
      <c r="J56" s="2">
        <v>20241.0</v>
      </c>
      <c r="K56" s="3" t="s">
        <v>21</v>
      </c>
      <c r="L56" s="4">
        <v>2152.0</v>
      </c>
      <c r="M56" s="4">
        <v>13698.34108</v>
      </c>
      <c r="N56" s="4">
        <v>3.396976479</v>
      </c>
      <c r="O56" s="4">
        <v>10582.94095</v>
      </c>
      <c r="P56" s="4">
        <v>0.001511410022</v>
      </c>
      <c r="Q56" s="4">
        <v>3115.400126</v>
      </c>
    </row>
    <row r="57">
      <c r="A57" s="2">
        <v>2.0</v>
      </c>
      <c r="B57" s="3" t="s">
        <v>78</v>
      </c>
      <c r="C57" s="2">
        <v>21.0</v>
      </c>
      <c r="D57" s="3" t="s">
        <v>79</v>
      </c>
      <c r="E57" s="2">
        <v>217.0</v>
      </c>
      <c r="F57" s="3" t="s">
        <v>101</v>
      </c>
      <c r="G57" s="2">
        <v>2173.0</v>
      </c>
      <c r="H57" s="3" t="s">
        <v>104</v>
      </c>
      <c r="I57" s="2">
        <v>2024.0</v>
      </c>
      <c r="J57" s="2">
        <v>20241.0</v>
      </c>
      <c r="K57" s="3" t="s">
        <v>21</v>
      </c>
      <c r="L57" s="4">
        <v>45.0</v>
      </c>
      <c r="M57" s="4">
        <v>8600.0</v>
      </c>
      <c r="N57" s="4">
        <v>0.219047619</v>
      </c>
      <c r="O57" s="4">
        <v>1545.3125</v>
      </c>
      <c r="P57" s="4">
        <v>3.160476347E-5</v>
      </c>
      <c r="Q57" s="4">
        <v>7054.6875</v>
      </c>
    </row>
    <row r="58">
      <c r="A58" s="2">
        <v>2.0</v>
      </c>
      <c r="B58" s="3" t="s">
        <v>78</v>
      </c>
      <c r="C58" s="2">
        <v>22.0</v>
      </c>
      <c r="D58" s="3" t="s">
        <v>105</v>
      </c>
      <c r="E58" s="2">
        <v>222.0</v>
      </c>
      <c r="F58" s="3" t="s">
        <v>106</v>
      </c>
      <c r="G58" s="2">
        <v>2221.0</v>
      </c>
      <c r="H58" s="3" t="s">
        <v>107</v>
      </c>
      <c r="I58" s="2">
        <v>2024.0</v>
      </c>
      <c r="J58" s="2">
        <v>20241.0</v>
      </c>
      <c r="K58" s="3" t="s">
        <v>21</v>
      </c>
      <c r="L58" s="4">
        <v>951.0</v>
      </c>
      <c r="M58" s="4">
        <v>0.0</v>
      </c>
      <c r="N58" s="4">
        <v>-1.0</v>
      </c>
      <c r="O58" s="4">
        <v>-11342.10526</v>
      </c>
      <c r="P58" s="4">
        <v>6.679140013E-4</v>
      </c>
      <c r="Q58" s="4">
        <v>11342.10526</v>
      </c>
    </row>
    <row r="59">
      <c r="A59" s="2">
        <v>2.0</v>
      </c>
      <c r="B59" s="3" t="s">
        <v>78</v>
      </c>
      <c r="C59" s="2">
        <v>22.0</v>
      </c>
      <c r="D59" s="3" t="s">
        <v>105</v>
      </c>
      <c r="E59" s="2">
        <v>222.0</v>
      </c>
      <c r="F59" s="3" t="s">
        <v>106</v>
      </c>
      <c r="G59" s="2">
        <v>2222.0</v>
      </c>
      <c r="H59" s="3" t="s">
        <v>108</v>
      </c>
      <c r="I59" s="2">
        <v>2024.0</v>
      </c>
      <c r="J59" s="2">
        <v>20241.0</v>
      </c>
      <c r="K59" s="3" t="s">
        <v>21</v>
      </c>
      <c r="L59" s="4">
        <v>960.0</v>
      </c>
      <c r="M59" s="4">
        <v>11383.33333</v>
      </c>
      <c r="N59" s="4">
        <v>0.1224372899</v>
      </c>
      <c r="O59" s="4">
        <v>1241.712562</v>
      </c>
      <c r="P59" s="4">
        <v>6.74234954E-4</v>
      </c>
      <c r="Q59" s="4">
        <v>10141.62077</v>
      </c>
    </row>
    <row r="60">
      <c r="A60" s="2">
        <v>2.0</v>
      </c>
      <c r="B60" s="3" t="s">
        <v>78</v>
      </c>
      <c r="C60" s="2">
        <v>22.0</v>
      </c>
      <c r="D60" s="3" t="s">
        <v>105</v>
      </c>
      <c r="E60" s="2">
        <v>222.0</v>
      </c>
      <c r="F60" s="3" t="s">
        <v>106</v>
      </c>
      <c r="G60" s="2">
        <v>2223.0</v>
      </c>
      <c r="H60" s="3" t="s">
        <v>109</v>
      </c>
      <c r="I60" s="2">
        <v>2024.0</v>
      </c>
      <c r="J60" s="2">
        <v>20241.0</v>
      </c>
      <c r="K60" s="3" t="s">
        <v>21</v>
      </c>
      <c r="L60" s="4">
        <v>208.0</v>
      </c>
      <c r="M60" s="4">
        <v>16000.0</v>
      </c>
      <c r="N60" s="4">
        <v>1.0</v>
      </c>
      <c r="O60" s="4">
        <v>16000.0</v>
      </c>
      <c r="P60" s="4">
        <v>1.4608424E-4</v>
      </c>
      <c r="Q60" s="4">
        <v>0.0</v>
      </c>
    </row>
    <row r="61">
      <c r="A61" s="2">
        <v>2.0</v>
      </c>
      <c r="B61" s="3" t="s">
        <v>78</v>
      </c>
      <c r="C61" s="2">
        <v>22.0</v>
      </c>
      <c r="D61" s="3" t="s">
        <v>105</v>
      </c>
      <c r="E61" s="2">
        <v>223.0</v>
      </c>
      <c r="F61" s="3" t="s">
        <v>110</v>
      </c>
      <c r="G61" s="2">
        <v>2232.0</v>
      </c>
      <c r="H61" s="3" t="s">
        <v>111</v>
      </c>
      <c r="I61" s="2">
        <v>2024.0</v>
      </c>
      <c r="J61" s="2">
        <v>20241.0</v>
      </c>
      <c r="K61" s="3" t="s">
        <v>21</v>
      </c>
      <c r="L61" s="4">
        <v>816.0</v>
      </c>
      <c r="M61" s="4">
        <v>16446.07843</v>
      </c>
      <c r="N61" s="4">
        <v>8.609411671</v>
      </c>
      <c r="O61" s="4">
        <v>14734.62314</v>
      </c>
      <c r="P61" s="4">
        <v>5.730997109E-4</v>
      </c>
      <c r="Q61" s="4">
        <v>1711.455289</v>
      </c>
    </row>
    <row r="62">
      <c r="A62" s="2">
        <v>2.0</v>
      </c>
      <c r="B62" s="3" t="s">
        <v>78</v>
      </c>
      <c r="C62" s="2">
        <v>22.0</v>
      </c>
      <c r="D62" s="3" t="s">
        <v>105</v>
      </c>
      <c r="E62" s="2">
        <v>224.0</v>
      </c>
      <c r="F62" s="3" t="s">
        <v>112</v>
      </c>
      <c r="G62" s="2">
        <v>2241.0</v>
      </c>
      <c r="H62" s="3" t="s">
        <v>113</v>
      </c>
      <c r="I62" s="2">
        <v>2024.0</v>
      </c>
      <c r="J62" s="2">
        <v>20241.0</v>
      </c>
      <c r="K62" s="3" t="s">
        <v>21</v>
      </c>
      <c r="L62" s="4">
        <v>1147.0</v>
      </c>
      <c r="M62" s="4">
        <v>14028.33479</v>
      </c>
      <c r="N62" s="4">
        <v>0.2212893401</v>
      </c>
      <c r="O62" s="4">
        <v>2541.83906</v>
      </c>
      <c r="P62" s="4">
        <v>8.055703044E-4</v>
      </c>
      <c r="Q62" s="4">
        <v>11486.49573</v>
      </c>
    </row>
    <row r="63">
      <c r="A63" s="2">
        <v>2.0</v>
      </c>
      <c r="B63" s="3" t="s">
        <v>78</v>
      </c>
      <c r="C63" s="2">
        <v>22.0</v>
      </c>
      <c r="D63" s="3" t="s">
        <v>105</v>
      </c>
      <c r="E63" s="2">
        <v>224.0</v>
      </c>
      <c r="F63" s="3" t="s">
        <v>112</v>
      </c>
      <c r="G63" s="2">
        <v>2242.0</v>
      </c>
      <c r="H63" s="3" t="s">
        <v>114</v>
      </c>
      <c r="I63" s="2">
        <v>2024.0</v>
      </c>
      <c r="J63" s="2">
        <v>20241.0</v>
      </c>
      <c r="K63" s="3" t="s">
        <v>21</v>
      </c>
      <c r="L63" s="4">
        <v>457.0</v>
      </c>
      <c r="M63" s="4">
        <v>13550.76586</v>
      </c>
      <c r="N63" s="4">
        <v>0.6182852568</v>
      </c>
      <c r="O63" s="4">
        <v>5177.232331</v>
      </c>
      <c r="P63" s="4">
        <v>3.209639312E-4</v>
      </c>
      <c r="Q63" s="4">
        <v>8373.533534</v>
      </c>
    </row>
    <row r="64">
      <c r="A64" s="2">
        <v>2.0</v>
      </c>
      <c r="B64" s="3" t="s">
        <v>78</v>
      </c>
      <c r="C64" s="2">
        <v>22.0</v>
      </c>
      <c r="D64" s="3" t="s">
        <v>105</v>
      </c>
      <c r="E64" s="2">
        <v>225.0</v>
      </c>
      <c r="F64" s="3" t="s">
        <v>115</v>
      </c>
      <c r="G64" s="2">
        <v>2251.0</v>
      </c>
      <c r="H64" s="3" t="s">
        <v>116</v>
      </c>
      <c r="I64" s="2">
        <v>2024.0</v>
      </c>
      <c r="J64" s="2">
        <v>20241.0</v>
      </c>
      <c r="K64" s="3" t="s">
        <v>21</v>
      </c>
      <c r="L64" s="4">
        <v>82.0</v>
      </c>
      <c r="M64" s="4">
        <v>0.0</v>
      </c>
      <c r="N64" s="4">
        <v>1.0</v>
      </c>
      <c r="O64" s="4">
        <v>0.0</v>
      </c>
      <c r="P64" s="4">
        <v>5.759090232E-5</v>
      </c>
      <c r="Q64" s="4">
        <v>0.0</v>
      </c>
    </row>
    <row r="65">
      <c r="A65" s="2">
        <v>2.0</v>
      </c>
      <c r="B65" s="3" t="s">
        <v>78</v>
      </c>
      <c r="C65" s="2">
        <v>22.0</v>
      </c>
      <c r="D65" s="3" t="s">
        <v>105</v>
      </c>
      <c r="E65" s="2">
        <v>225.0</v>
      </c>
      <c r="F65" s="3" t="s">
        <v>115</v>
      </c>
      <c r="G65" s="2">
        <v>2252.0</v>
      </c>
      <c r="H65" s="3" t="s">
        <v>117</v>
      </c>
      <c r="I65" s="2">
        <v>2024.0</v>
      </c>
      <c r="J65" s="2">
        <v>20241.0</v>
      </c>
      <c r="K65" s="3" t="s">
        <v>21</v>
      </c>
      <c r="L65" s="4">
        <v>130.0</v>
      </c>
      <c r="M65" s="4">
        <v>8461.538462</v>
      </c>
      <c r="N65" s="4">
        <v>0.5727274758</v>
      </c>
      <c r="O65" s="4">
        <v>3081.370192</v>
      </c>
      <c r="P65" s="4">
        <v>9.130265002E-5</v>
      </c>
      <c r="Q65" s="4">
        <v>5380.168269</v>
      </c>
    </row>
    <row r="66">
      <c r="A66" s="2">
        <v>2.0</v>
      </c>
      <c r="B66" s="3" t="s">
        <v>78</v>
      </c>
      <c r="C66" s="2">
        <v>22.0</v>
      </c>
      <c r="D66" s="3" t="s">
        <v>105</v>
      </c>
      <c r="E66" s="2">
        <v>225.0</v>
      </c>
      <c r="F66" s="3" t="s">
        <v>115</v>
      </c>
      <c r="G66" s="2">
        <v>2253.0</v>
      </c>
      <c r="H66" s="3" t="s">
        <v>118</v>
      </c>
      <c r="I66" s="2">
        <v>2024.0</v>
      </c>
      <c r="J66" s="2">
        <v>20241.0</v>
      </c>
      <c r="K66" s="3" t="s">
        <v>21</v>
      </c>
      <c r="L66" s="4">
        <v>836.0</v>
      </c>
      <c r="M66" s="4">
        <v>4633.971292</v>
      </c>
      <c r="N66" s="4">
        <v>-0.3733067835</v>
      </c>
      <c r="O66" s="4">
        <v>-2760.350475</v>
      </c>
      <c r="P66" s="4">
        <v>5.871462725E-4</v>
      </c>
      <c r="Q66" s="4">
        <v>7394.321767</v>
      </c>
    </row>
    <row r="67">
      <c r="A67" s="2">
        <v>2.0</v>
      </c>
      <c r="B67" s="3" t="s">
        <v>78</v>
      </c>
      <c r="C67" s="2">
        <v>22.0</v>
      </c>
      <c r="D67" s="3" t="s">
        <v>105</v>
      </c>
      <c r="E67" s="2">
        <v>226.0</v>
      </c>
      <c r="F67" s="3" t="s">
        <v>119</v>
      </c>
      <c r="G67" s="2">
        <v>2261.0</v>
      </c>
      <c r="H67" s="3" t="s">
        <v>120</v>
      </c>
      <c r="I67" s="2">
        <v>2024.0</v>
      </c>
      <c r="J67" s="2">
        <v>20241.0</v>
      </c>
      <c r="K67" s="3" t="s">
        <v>21</v>
      </c>
      <c r="L67" s="4">
        <v>1421.0</v>
      </c>
      <c r="M67" s="4">
        <v>5795.285011</v>
      </c>
      <c r="N67" s="4">
        <v>-0.1987584188</v>
      </c>
      <c r="O67" s="4">
        <v>-1437.595992</v>
      </c>
      <c r="P67" s="4">
        <v>9.980081976E-4</v>
      </c>
      <c r="Q67" s="4">
        <v>7232.881002</v>
      </c>
    </row>
    <row r="68">
      <c r="A68" s="2">
        <v>2.0</v>
      </c>
      <c r="B68" s="3" t="s">
        <v>78</v>
      </c>
      <c r="C68" s="2">
        <v>22.0</v>
      </c>
      <c r="D68" s="3" t="s">
        <v>105</v>
      </c>
      <c r="E68" s="2">
        <v>226.0</v>
      </c>
      <c r="F68" s="3" t="s">
        <v>119</v>
      </c>
      <c r="G68" s="2">
        <v>2262.0</v>
      </c>
      <c r="H68" s="3" t="s">
        <v>121</v>
      </c>
      <c r="I68" s="2">
        <v>2024.0</v>
      </c>
      <c r="J68" s="2">
        <v>20241.0</v>
      </c>
      <c r="K68" s="3" t="s">
        <v>21</v>
      </c>
      <c r="L68" s="4">
        <v>76.0</v>
      </c>
      <c r="M68" s="4">
        <v>28000.0</v>
      </c>
      <c r="N68" s="4">
        <v>-0.3</v>
      </c>
      <c r="O68" s="4">
        <v>-12000.0</v>
      </c>
      <c r="P68" s="4">
        <v>5.337693386E-5</v>
      </c>
      <c r="Q68" s="4">
        <v>40000.0</v>
      </c>
    </row>
    <row r="69">
      <c r="A69" s="2">
        <v>2.0</v>
      </c>
      <c r="B69" s="3" t="s">
        <v>78</v>
      </c>
      <c r="C69" s="2">
        <v>22.0</v>
      </c>
      <c r="D69" s="3" t="s">
        <v>105</v>
      </c>
      <c r="E69" s="2">
        <v>226.0</v>
      </c>
      <c r="F69" s="3" t="s">
        <v>119</v>
      </c>
      <c r="G69" s="2">
        <v>2263.0</v>
      </c>
      <c r="H69" s="3" t="s">
        <v>122</v>
      </c>
      <c r="I69" s="2">
        <v>2024.0</v>
      </c>
      <c r="J69" s="2">
        <v>20241.0</v>
      </c>
      <c r="K69" s="3" t="s">
        <v>21</v>
      </c>
      <c r="L69" s="4">
        <v>4820.0</v>
      </c>
      <c r="M69" s="4">
        <v>5728.630705</v>
      </c>
      <c r="N69" s="4">
        <v>0.6884644229</v>
      </c>
      <c r="O69" s="4">
        <v>2335.825605</v>
      </c>
      <c r="P69" s="4">
        <v>0.003385221332</v>
      </c>
      <c r="Q69" s="4">
        <v>3392.8051</v>
      </c>
    </row>
    <row r="70">
      <c r="A70" s="2">
        <v>2.0</v>
      </c>
      <c r="B70" s="3" t="s">
        <v>78</v>
      </c>
      <c r="C70" s="2">
        <v>22.0</v>
      </c>
      <c r="D70" s="3" t="s">
        <v>105</v>
      </c>
      <c r="E70" s="2">
        <v>227.0</v>
      </c>
      <c r="F70" s="3" t="s">
        <v>123</v>
      </c>
      <c r="G70" s="2">
        <v>2271.0</v>
      </c>
      <c r="H70" s="3" t="s">
        <v>124</v>
      </c>
      <c r="I70" s="2">
        <v>2024.0</v>
      </c>
      <c r="J70" s="2">
        <v>20241.0</v>
      </c>
      <c r="K70" s="3" t="s">
        <v>21</v>
      </c>
      <c r="L70" s="4">
        <v>6999.0</v>
      </c>
      <c r="M70" s="4">
        <v>8462.990284</v>
      </c>
      <c r="N70" s="4">
        <v>-0.2953028096</v>
      </c>
      <c r="O70" s="4">
        <v>-3546.409497</v>
      </c>
      <c r="P70" s="4">
        <v>0.004915594212</v>
      </c>
      <c r="Q70" s="4">
        <v>12009.39978</v>
      </c>
    </row>
    <row r="71">
      <c r="A71" s="2">
        <v>2.0</v>
      </c>
      <c r="B71" s="3" t="s">
        <v>78</v>
      </c>
      <c r="C71" s="2">
        <v>22.0</v>
      </c>
      <c r="D71" s="3" t="s">
        <v>105</v>
      </c>
      <c r="E71" s="2">
        <v>227.0</v>
      </c>
      <c r="F71" s="3" t="s">
        <v>123</v>
      </c>
      <c r="G71" s="2">
        <v>2272.0</v>
      </c>
      <c r="H71" s="3" t="s">
        <v>125</v>
      </c>
      <c r="I71" s="2">
        <v>2024.0</v>
      </c>
      <c r="J71" s="2">
        <v>20241.0</v>
      </c>
      <c r="K71" s="3" t="s">
        <v>21</v>
      </c>
      <c r="L71" s="4">
        <v>1106.0</v>
      </c>
      <c r="M71" s="4">
        <v>16153.34539</v>
      </c>
      <c r="N71" s="4">
        <v>0.2754191381</v>
      </c>
      <c r="O71" s="4">
        <v>3488.218368</v>
      </c>
      <c r="P71" s="4">
        <v>7.767748533E-4</v>
      </c>
      <c r="Q71" s="4">
        <v>12665.12702</v>
      </c>
    </row>
    <row r="72">
      <c r="A72" s="2">
        <v>2.0</v>
      </c>
      <c r="B72" s="3" t="s">
        <v>78</v>
      </c>
      <c r="C72" s="2">
        <v>22.0</v>
      </c>
      <c r="D72" s="3" t="s">
        <v>105</v>
      </c>
      <c r="E72" s="2">
        <v>228.0</v>
      </c>
      <c r="F72" s="3" t="s">
        <v>126</v>
      </c>
      <c r="G72" s="2">
        <v>2281.0</v>
      </c>
      <c r="H72" s="3" t="s">
        <v>126</v>
      </c>
      <c r="I72" s="2">
        <v>2024.0</v>
      </c>
      <c r="J72" s="2">
        <v>20241.0</v>
      </c>
      <c r="K72" s="3" t="s">
        <v>21</v>
      </c>
      <c r="L72" s="4">
        <v>225.0</v>
      </c>
      <c r="M72" s="4">
        <v>4106.666667</v>
      </c>
      <c r="N72" s="4">
        <v>-0.598216978</v>
      </c>
      <c r="O72" s="4">
        <v>-6114.438861</v>
      </c>
      <c r="P72" s="4">
        <v>1.580238173E-4</v>
      </c>
      <c r="Q72" s="4">
        <v>10221.10553</v>
      </c>
    </row>
    <row r="73">
      <c r="A73" s="2">
        <v>2.0</v>
      </c>
      <c r="B73" s="3" t="s">
        <v>78</v>
      </c>
      <c r="C73" s="2">
        <v>23.0</v>
      </c>
      <c r="D73" s="3" t="s">
        <v>127</v>
      </c>
      <c r="E73" s="2">
        <v>231.0</v>
      </c>
      <c r="F73" s="3" t="s">
        <v>128</v>
      </c>
      <c r="G73" s="2">
        <v>2311.0</v>
      </c>
      <c r="H73" s="3" t="s">
        <v>129</v>
      </c>
      <c r="I73" s="2">
        <v>2024.0</v>
      </c>
      <c r="J73" s="2">
        <v>20241.0</v>
      </c>
      <c r="K73" s="3" t="s">
        <v>21</v>
      </c>
      <c r="L73" s="4">
        <v>1378.0</v>
      </c>
      <c r="M73" s="4">
        <v>19794.77504</v>
      </c>
      <c r="N73" s="4">
        <v>0.8728357079</v>
      </c>
      <c r="O73" s="4">
        <v>9225.361525</v>
      </c>
      <c r="P73" s="4">
        <v>9.678080903E-4</v>
      </c>
      <c r="Q73" s="4">
        <v>10569.41351</v>
      </c>
    </row>
    <row r="74">
      <c r="A74" s="2">
        <v>2.0</v>
      </c>
      <c r="B74" s="3" t="s">
        <v>78</v>
      </c>
      <c r="C74" s="2">
        <v>23.0</v>
      </c>
      <c r="D74" s="3" t="s">
        <v>127</v>
      </c>
      <c r="E74" s="2">
        <v>231.0</v>
      </c>
      <c r="F74" s="3" t="s">
        <v>128</v>
      </c>
      <c r="G74" s="2">
        <v>2312.0</v>
      </c>
      <c r="H74" s="3" t="s">
        <v>130</v>
      </c>
      <c r="I74" s="2">
        <v>2024.0</v>
      </c>
      <c r="J74" s="2">
        <v>20241.0</v>
      </c>
      <c r="K74" s="3" t="s">
        <v>21</v>
      </c>
      <c r="L74" s="4">
        <v>862.0</v>
      </c>
      <c r="M74" s="4">
        <v>10218.44548</v>
      </c>
      <c r="N74" s="4">
        <v>-0.4834160946</v>
      </c>
      <c r="O74" s="4">
        <v>-9562.359478</v>
      </c>
      <c r="P74" s="4">
        <v>6.054068025E-4</v>
      </c>
      <c r="Q74" s="4">
        <v>19780.80495</v>
      </c>
    </row>
    <row r="75">
      <c r="A75" s="2">
        <v>2.0</v>
      </c>
      <c r="B75" s="3" t="s">
        <v>78</v>
      </c>
      <c r="C75" s="2">
        <v>23.0</v>
      </c>
      <c r="D75" s="3" t="s">
        <v>127</v>
      </c>
      <c r="E75" s="2">
        <v>232.0</v>
      </c>
      <c r="F75" s="3" t="s">
        <v>131</v>
      </c>
      <c r="G75" s="2">
        <v>2321.0</v>
      </c>
      <c r="H75" s="3" t="s">
        <v>132</v>
      </c>
      <c r="I75" s="2">
        <v>2024.0</v>
      </c>
      <c r="J75" s="2">
        <v>20241.0</v>
      </c>
      <c r="K75" s="3" t="s">
        <v>21</v>
      </c>
      <c r="L75" s="4">
        <v>4027.0</v>
      </c>
      <c r="M75" s="4">
        <v>11277.87435</v>
      </c>
      <c r="N75" s="4">
        <v>0.8314108756</v>
      </c>
      <c r="O75" s="4">
        <v>5119.849135</v>
      </c>
      <c r="P75" s="4">
        <v>0.002828275167</v>
      </c>
      <c r="Q75" s="4">
        <v>6158.025214</v>
      </c>
    </row>
    <row r="76">
      <c r="A76" s="2">
        <v>2.0</v>
      </c>
      <c r="B76" s="3" t="s">
        <v>78</v>
      </c>
      <c r="C76" s="2">
        <v>23.0</v>
      </c>
      <c r="D76" s="3" t="s">
        <v>127</v>
      </c>
      <c r="E76" s="2">
        <v>232.0</v>
      </c>
      <c r="F76" s="3" t="s">
        <v>131</v>
      </c>
      <c r="G76" s="2">
        <v>2322.0</v>
      </c>
      <c r="H76" s="3" t="s">
        <v>133</v>
      </c>
      <c r="I76" s="2">
        <v>2024.0</v>
      </c>
      <c r="J76" s="2">
        <v>20241.0</v>
      </c>
      <c r="K76" s="3" t="s">
        <v>21</v>
      </c>
      <c r="L76" s="4">
        <v>6372.0</v>
      </c>
      <c r="M76" s="4">
        <v>6788.072819</v>
      </c>
      <c r="N76" s="4">
        <v>0.03757440334</v>
      </c>
      <c r="O76" s="4">
        <v>245.821201</v>
      </c>
      <c r="P76" s="4">
        <v>0.004475234507</v>
      </c>
      <c r="Q76" s="4">
        <v>6542.251618</v>
      </c>
    </row>
    <row r="77">
      <c r="A77" s="2">
        <v>2.0</v>
      </c>
      <c r="B77" s="3" t="s">
        <v>78</v>
      </c>
      <c r="C77" s="2">
        <v>23.0</v>
      </c>
      <c r="D77" s="3" t="s">
        <v>127</v>
      </c>
      <c r="E77" s="2">
        <v>233.0</v>
      </c>
      <c r="F77" s="3" t="s">
        <v>134</v>
      </c>
      <c r="G77" s="2">
        <v>2331.0</v>
      </c>
      <c r="H77" s="3" t="s">
        <v>135</v>
      </c>
      <c r="I77" s="2">
        <v>2024.0</v>
      </c>
      <c r="J77" s="2">
        <v>20241.0</v>
      </c>
      <c r="K77" s="3" t="s">
        <v>21</v>
      </c>
      <c r="L77" s="4">
        <v>15510.0</v>
      </c>
      <c r="M77" s="4">
        <v>8151.607672</v>
      </c>
      <c r="N77" s="4">
        <v>0.05914781006</v>
      </c>
      <c r="O77" s="4">
        <v>455.2242262</v>
      </c>
      <c r="P77" s="4">
        <v>0.01089310848</v>
      </c>
      <c r="Q77" s="4">
        <v>7696.383446</v>
      </c>
    </row>
    <row r="78">
      <c r="A78" s="2">
        <v>2.0</v>
      </c>
      <c r="B78" s="3" t="s">
        <v>78</v>
      </c>
      <c r="C78" s="2">
        <v>23.0</v>
      </c>
      <c r="D78" s="3" t="s">
        <v>127</v>
      </c>
      <c r="E78" s="2">
        <v>233.0</v>
      </c>
      <c r="F78" s="3" t="s">
        <v>134</v>
      </c>
      <c r="G78" s="2">
        <v>2332.0</v>
      </c>
      <c r="H78" s="3" t="s">
        <v>136</v>
      </c>
      <c r="I78" s="2">
        <v>2024.0</v>
      </c>
      <c r="J78" s="2">
        <v>20241.0</v>
      </c>
      <c r="K78" s="3" t="s">
        <v>21</v>
      </c>
      <c r="L78" s="4">
        <v>23467.0</v>
      </c>
      <c r="M78" s="4">
        <v>9088.329399</v>
      </c>
      <c r="N78" s="4">
        <v>0.3501723165</v>
      </c>
      <c r="O78" s="4">
        <v>2357.092735</v>
      </c>
      <c r="P78" s="4">
        <v>0.01648153299</v>
      </c>
      <c r="Q78" s="4">
        <v>6731.236663</v>
      </c>
    </row>
    <row r="79">
      <c r="A79" s="2">
        <v>2.0</v>
      </c>
      <c r="B79" s="3" t="s">
        <v>78</v>
      </c>
      <c r="C79" s="2">
        <v>23.0</v>
      </c>
      <c r="D79" s="3" t="s">
        <v>127</v>
      </c>
      <c r="E79" s="2">
        <v>233.0</v>
      </c>
      <c r="F79" s="3" t="s">
        <v>134</v>
      </c>
      <c r="G79" s="2">
        <v>2335.0</v>
      </c>
      <c r="H79" s="3" t="s">
        <v>137</v>
      </c>
      <c r="I79" s="2">
        <v>2024.0</v>
      </c>
      <c r="J79" s="2">
        <v>20241.0</v>
      </c>
      <c r="K79" s="3" t="s">
        <v>21</v>
      </c>
      <c r="L79" s="4">
        <v>3055.0</v>
      </c>
      <c r="M79" s="4">
        <v>4622.651391</v>
      </c>
      <c r="N79" s="4">
        <v>-0.3317834699</v>
      </c>
      <c r="O79" s="4">
        <v>-2295.243008</v>
      </c>
      <c r="P79" s="4">
        <v>0.002145612276</v>
      </c>
      <c r="Q79" s="4">
        <v>6917.894399</v>
      </c>
    </row>
    <row r="80">
      <c r="A80" s="2">
        <v>2.0</v>
      </c>
      <c r="B80" s="3" t="s">
        <v>78</v>
      </c>
      <c r="C80" s="2">
        <v>24.0</v>
      </c>
      <c r="D80" s="3" t="s">
        <v>138</v>
      </c>
      <c r="E80" s="2">
        <v>241.0</v>
      </c>
      <c r="F80" s="3" t="s">
        <v>139</v>
      </c>
      <c r="G80" s="2">
        <v>2411.0</v>
      </c>
      <c r="H80" s="3" t="s">
        <v>140</v>
      </c>
      <c r="I80" s="2">
        <v>2024.0</v>
      </c>
      <c r="J80" s="2">
        <v>20241.0</v>
      </c>
      <c r="K80" s="3" t="s">
        <v>21</v>
      </c>
      <c r="L80" s="4">
        <v>7005.0</v>
      </c>
      <c r="M80" s="4">
        <v>19200.89936</v>
      </c>
      <c r="N80" s="4">
        <v>1.511633412</v>
      </c>
      <c r="O80" s="4">
        <v>11556.11359</v>
      </c>
      <c r="P80" s="4">
        <v>0.00491980818</v>
      </c>
      <c r="Q80" s="4">
        <v>7644.785766</v>
      </c>
    </row>
    <row r="81">
      <c r="A81" s="2">
        <v>2.0</v>
      </c>
      <c r="B81" s="3" t="s">
        <v>78</v>
      </c>
      <c r="C81" s="2">
        <v>24.0</v>
      </c>
      <c r="D81" s="3" t="s">
        <v>138</v>
      </c>
      <c r="E81" s="2">
        <v>241.0</v>
      </c>
      <c r="F81" s="3" t="s">
        <v>139</v>
      </c>
      <c r="G81" s="2">
        <v>2412.0</v>
      </c>
      <c r="H81" s="3" t="s">
        <v>141</v>
      </c>
      <c r="I81" s="2">
        <v>2024.0</v>
      </c>
      <c r="J81" s="2">
        <v>20241.0</v>
      </c>
      <c r="K81" s="3" t="s">
        <v>21</v>
      </c>
      <c r="L81" s="4">
        <v>4982.0</v>
      </c>
      <c r="M81" s="4">
        <v>3407.396628</v>
      </c>
      <c r="N81" s="4">
        <v>-0.617306388</v>
      </c>
      <c r="O81" s="4">
        <v>-5496.323008</v>
      </c>
      <c r="P81" s="4">
        <v>0.00349899848</v>
      </c>
      <c r="Q81" s="4">
        <v>8903.719636</v>
      </c>
    </row>
    <row r="82">
      <c r="A82" s="2">
        <v>2.0</v>
      </c>
      <c r="B82" s="3" t="s">
        <v>78</v>
      </c>
      <c r="C82" s="2">
        <v>24.0</v>
      </c>
      <c r="D82" s="3" t="s">
        <v>138</v>
      </c>
      <c r="E82" s="2">
        <v>242.0</v>
      </c>
      <c r="F82" s="3" t="s">
        <v>142</v>
      </c>
      <c r="G82" s="2">
        <v>2421.0</v>
      </c>
      <c r="H82" s="3" t="s">
        <v>143</v>
      </c>
      <c r="I82" s="2">
        <v>2024.0</v>
      </c>
      <c r="J82" s="2">
        <v>20241.0</v>
      </c>
      <c r="K82" s="3" t="s">
        <v>21</v>
      </c>
      <c r="L82" s="4">
        <v>72.0</v>
      </c>
      <c r="M82" s="4">
        <v>0.0</v>
      </c>
      <c r="N82" s="4">
        <v>-1.0</v>
      </c>
      <c r="O82" s="4">
        <v>-30000.0</v>
      </c>
      <c r="P82" s="4">
        <v>5.056762155E-5</v>
      </c>
      <c r="Q82" s="4">
        <v>30000.0</v>
      </c>
    </row>
    <row r="83">
      <c r="A83" s="2">
        <v>2.0</v>
      </c>
      <c r="B83" s="3" t="s">
        <v>78</v>
      </c>
      <c r="C83" s="2">
        <v>24.0</v>
      </c>
      <c r="D83" s="3" t="s">
        <v>138</v>
      </c>
      <c r="E83" s="2">
        <v>242.0</v>
      </c>
      <c r="F83" s="3" t="s">
        <v>142</v>
      </c>
      <c r="G83" s="2">
        <v>2422.0</v>
      </c>
      <c r="H83" s="3" t="s">
        <v>144</v>
      </c>
      <c r="I83" s="2">
        <v>2024.0</v>
      </c>
      <c r="J83" s="2">
        <v>20241.0</v>
      </c>
      <c r="K83" s="3" t="s">
        <v>21</v>
      </c>
      <c r="L83" s="4">
        <v>689.0</v>
      </c>
      <c r="M83" s="4">
        <v>20098.69376</v>
      </c>
      <c r="N83" s="4">
        <v>1.0</v>
      </c>
      <c r="O83" s="4">
        <v>20098.69376</v>
      </c>
      <c r="P83" s="4">
        <v>4.839040451E-4</v>
      </c>
      <c r="Q83" s="4">
        <v>0.0</v>
      </c>
    </row>
    <row r="84">
      <c r="A84" s="2">
        <v>2.0</v>
      </c>
      <c r="B84" s="3" t="s">
        <v>78</v>
      </c>
      <c r="C84" s="2">
        <v>24.0</v>
      </c>
      <c r="D84" s="3" t="s">
        <v>138</v>
      </c>
      <c r="E84" s="2">
        <v>242.0</v>
      </c>
      <c r="F84" s="3" t="s">
        <v>142</v>
      </c>
      <c r="G84" s="2">
        <v>2424.0</v>
      </c>
      <c r="H84" s="3" t="s">
        <v>145</v>
      </c>
      <c r="I84" s="2">
        <v>2024.0</v>
      </c>
      <c r="J84" s="2">
        <v>20241.0</v>
      </c>
      <c r="K84" s="3" t="s">
        <v>21</v>
      </c>
      <c r="L84" s="4">
        <v>66.0</v>
      </c>
      <c r="M84" s="4">
        <v>12000.0</v>
      </c>
      <c r="N84" s="4">
        <v>1.0</v>
      </c>
      <c r="O84" s="4">
        <v>12000.0</v>
      </c>
      <c r="P84" s="4">
        <v>4.635365309E-5</v>
      </c>
      <c r="Q84" s="4">
        <v>0.0</v>
      </c>
    </row>
    <row r="85">
      <c r="A85" s="2">
        <v>2.0</v>
      </c>
      <c r="B85" s="3" t="s">
        <v>78</v>
      </c>
      <c r="C85" s="2">
        <v>24.0</v>
      </c>
      <c r="D85" s="3" t="s">
        <v>138</v>
      </c>
      <c r="E85" s="2">
        <v>242.0</v>
      </c>
      <c r="F85" s="3" t="s">
        <v>142</v>
      </c>
      <c r="G85" s="2">
        <v>2426.0</v>
      </c>
      <c r="H85" s="3" t="s">
        <v>146</v>
      </c>
      <c r="I85" s="2">
        <v>2024.0</v>
      </c>
      <c r="J85" s="2">
        <v>20241.0</v>
      </c>
      <c r="K85" s="3" t="s">
        <v>21</v>
      </c>
      <c r="L85" s="4">
        <v>295.0</v>
      </c>
      <c r="M85" s="4">
        <v>21707.20339</v>
      </c>
      <c r="N85" s="4">
        <v>0.568563861</v>
      </c>
      <c r="O85" s="4">
        <v>7868.300219</v>
      </c>
      <c r="P85" s="4">
        <v>2.071867827E-4</v>
      </c>
      <c r="Q85" s="4">
        <v>13838.90317</v>
      </c>
    </row>
    <row r="86">
      <c r="A86" s="2">
        <v>2.0</v>
      </c>
      <c r="B86" s="3" t="s">
        <v>78</v>
      </c>
      <c r="C86" s="2">
        <v>24.0</v>
      </c>
      <c r="D86" s="3" t="s">
        <v>138</v>
      </c>
      <c r="E86" s="2">
        <v>242.0</v>
      </c>
      <c r="F86" s="3" t="s">
        <v>142</v>
      </c>
      <c r="G86" s="2">
        <v>2428.0</v>
      </c>
      <c r="H86" s="3" t="s">
        <v>147</v>
      </c>
      <c r="I86" s="2">
        <v>2024.0</v>
      </c>
      <c r="J86" s="2">
        <v>20241.0</v>
      </c>
      <c r="K86" s="3" t="s">
        <v>21</v>
      </c>
      <c r="L86" s="4">
        <v>71.0</v>
      </c>
      <c r="M86" s="4">
        <v>30000.0</v>
      </c>
      <c r="N86" s="4">
        <v>0.7886855241</v>
      </c>
      <c r="O86" s="4">
        <v>13227.90698</v>
      </c>
      <c r="P86" s="4">
        <v>4.986529347E-5</v>
      </c>
      <c r="Q86" s="4">
        <v>16772.09302</v>
      </c>
    </row>
    <row r="87">
      <c r="A87" s="2">
        <v>2.0</v>
      </c>
      <c r="B87" s="3" t="s">
        <v>78</v>
      </c>
      <c r="C87" s="2">
        <v>25.0</v>
      </c>
      <c r="D87" s="3" t="s">
        <v>148</v>
      </c>
      <c r="E87" s="2">
        <v>251.0</v>
      </c>
      <c r="F87" s="3" t="s">
        <v>149</v>
      </c>
      <c r="G87" s="2">
        <v>2511.0</v>
      </c>
      <c r="H87" s="3" t="s">
        <v>150</v>
      </c>
      <c r="I87" s="2">
        <v>2024.0</v>
      </c>
      <c r="J87" s="2">
        <v>20241.0</v>
      </c>
      <c r="K87" s="3" t="s">
        <v>21</v>
      </c>
      <c r="L87" s="4">
        <v>13216.0</v>
      </c>
      <c r="M87" s="4">
        <v>7707.975182</v>
      </c>
      <c r="N87" s="4">
        <v>-0.291289322</v>
      </c>
      <c r="O87" s="4">
        <v>-3168.078222</v>
      </c>
      <c r="P87" s="4">
        <v>0.009281967867</v>
      </c>
      <c r="Q87" s="4">
        <v>10876.0534</v>
      </c>
    </row>
    <row r="88">
      <c r="A88" s="2">
        <v>2.0</v>
      </c>
      <c r="B88" s="3" t="s">
        <v>78</v>
      </c>
      <c r="C88" s="2">
        <v>25.0</v>
      </c>
      <c r="D88" s="3" t="s">
        <v>148</v>
      </c>
      <c r="E88" s="2">
        <v>251.0</v>
      </c>
      <c r="F88" s="3" t="s">
        <v>149</v>
      </c>
      <c r="G88" s="2">
        <v>2512.0</v>
      </c>
      <c r="H88" s="3" t="s">
        <v>151</v>
      </c>
      <c r="I88" s="2">
        <v>2024.0</v>
      </c>
      <c r="J88" s="2">
        <v>20241.0</v>
      </c>
      <c r="K88" s="3" t="s">
        <v>21</v>
      </c>
      <c r="L88" s="4">
        <v>7242.0</v>
      </c>
      <c r="M88" s="4">
        <v>5625.900304</v>
      </c>
      <c r="N88" s="4">
        <v>-0.08590228974</v>
      </c>
      <c r="O88" s="4">
        <v>-528.693719</v>
      </c>
      <c r="P88" s="4">
        <v>0.005086259934</v>
      </c>
      <c r="Q88" s="4">
        <v>6154.594023</v>
      </c>
    </row>
    <row r="89">
      <c r="A89" s="2">
        <v>2.0</v>
      </c>
      <c r="B89" s="3" t="s">
        <v>78</v>
      </c>
      <c r="C89" s="2">
        <v>25.0</v>
      </c>
      <c r="D89" s="3" t="s">
        <v>148</v>
      </c>
      <c r="E89" s="2">
        <v>251.0</v>
      </c>
      <c r="F89" s="3" t="s">
        <v>149</v>
      </c>
      <c r="G89" s="2">
        <v>2514.0</v>
      </c>
      <c r="H89" s="3" t="s">
        <v>152</v>
      </c>
      <c r="I89" s="2">
        <v>2024.0</v>
      </c>
      <c r="J89" s="2">
        <v>20241.0</v>
      </c>
      <c r="K89" s="3" t="s">
        <v>21</v>
      </c>
      <c r="L89" s="4">
        <v>901.0</v>
      </c>
      <c r="M89" s="4">
        <v>0.0</v>
      </c>
      <c r="N89" s="4">
        <v>1.0</v>
      </c>
      <c r="O89" s="4">
        <v>0.0</v>
      </c>
      <c r="P89" s="4">
        <v>6.327975975E-4</v>
      </c>
      <c r="Q89" s="4">
        <v>0.0</v>
      </c>
    </row>
    <row r="90">
      <c r="A90" s="2">
        <v>2.0</v>
      </c>
      <c r="B90" s="3" t="s">
        <v>78</v>
      </c>
      <c r="C90" s="2">
        <v>25.0</v>
      </c>
      <c r="D90" s="3" t="s">
        <v>148</v>
      </c>
      <c r="E90" s="2">
        <v>252.0</v>
      </c>
      <c r="F90" s="3" t="s">
        <v>153</v>
      </c>
      <c r="G90" s="2">
        <v>2521.0</v>
      </c>
      <c r="H90" s="3" t="s">
        <v>154</v>
      </c>
      <c r="I90" s="2">
        <v>2024.0</v>
      </c>
      <c r="J90" s="2">
        <v>20241.0</v>
      </c>
      <c r="K90" s="3" t="s">
        <v>21</v>
      </c>
      <c r="L90" s="4">
        <v>589.0</v>
      </c>
      <c r="M90" s="4">
        <v>15130.73005</v>
      </c>
      <c r="N90" s="4">
        <v>2.710137917</v>
      </c>
      <c r="O90" s="4">
        <v>11052.51776</v>
      </c>
      <c r="P90" s="4">
        <v>4.136712374E-4</v>
      </c>
      <c r="Q90" s="4">
        <v>4078.212291</v>
      </c>
    </row>
    <row r="91">
      <c r="A91" s="2">
        <v>2.0</v>
      </c>
      <c r="B91" s="3" t="s">
        <v>78</v>
      </c>
      <c r="C91" s="2">
        <v>25.0</v>
      </c>
      <c r="D91" s="3" t="s">
        <v>148</v>
      </c>
      <c r="E91" s="2">
        <v>252.0</v>
      </c>
      <c r="F91" s="3" t="s">
        <v>153</v>
      </c>
      <c r="G91" s="2">
        <v>2523.0</v>
      </c>
      <c r="H91" s="3" t="s">
        <v>155</v>
      </c>
      <c r="I91" s="2">
        <v>2024.0</v>
      </c>
      <c r="J91" s="2">
        <v>20241.0</v>
      </c>
      <c r="K91" s="3" t="s">
        <v>21</v>
      </c>
      <c r="L91" s="4">
        <v>639.0</v>
      </c>
      <c r="M91" s="4">
        <v>15000.0</v>
      </c>
      <c r="N91" s="4">
        <v>1.0</v>
      </c>
      <c r="O91" s="4">
        <v>15000.0</v>
      </c>
      <c r="P91" s="4">
        <v>4.487876413E-4</v>
      </c>
      <c r="Q91" s="4">
        <v>0.0</v>
      </c>
    </row>
    <row r="92">
      <c r="A92" s="2">
        <v>2.0</v>
      </c>
      <c r="B92" s="3" t="s">
        <v>78</v>
      </c>
      <c r="C92" s="2">
        <v>25.0</v>
      </c>
      <c r="D92" s="3" t="s">
        <v>148</v>
      </c>
      <c r="E92" s="2">
        <v>253.0</v>
      </c>
      <c r="F92" s="3" t="s">
        <v>156</v>
      </c>
      <c r="G92" s="2">
        <v>2531.0</v>
      </c>
      <c r="H92" s="3" t="s">
        <v>156</v>
      </c>
      <c r="I92" s="2">
        <v>2024.0</v>
      </c>
      <c r="J92" s="2">
        <v>20241.0</v>
      </c>
      <c r="K92" s="3" t="s">
        <v>21</v>
      </c>
      <c r="L92" s="4">
        <v>1521.0</v>
      </c>
      <c r="M92" s="4">
        <v>6355.029586</v>
      </c>
      <c r="N92" s="4">
        <v>-0.002898248516</v>
      </c>
      <c r="O92" s="4">
        <v>-18.47199149</v>
      </c>
      <c r="P92" s="4">
        <v>0.001068241005</v>
      </c>
      <c r="Q92" s="4">
        <v>6373.501577</v>
      </c>
    </row>
    <row r="93">
      <c r="A93" s="2">
        <v>2.0</v>
      </c>
      <c r="B93" s="3" t="s">
        <v>78</v>
      </c>
      <c r="C93" s="2">
        <v>25.0</v>
      </c>
      <c r="D93" s="3" t="s">
        <v>148</v>
      </c>
      <c r="E93" s="2">
        <v>253.0</v>
      </c>
      <c r="F93" s="3" t="s">
        <v>156</v>
      </c>
      <c r="G93" s="2">
        <v>2532.0</v>
      </c>
      <c r="H93" s="3" t="s">
        <v>157</v>
      </c>
      <c r="I93" s="2">
        <v>2024.0</v>
      </c>
      <c r="J93" s="2">
        <v>20241.0</v>
      </c>
      <c r="K93" s="3" t="s">
        <v>21</v>
      </c>
      <c r="L93" s="4">
        <v>739.0</v>
      </c>
      <c r="M93" s="4">
        <v>3604.668471</v>
      </c>
      <c r="N93" s="4">
        <v>-0.5762639825</v>
      </c>
      <c r="O93" s="4">
        <v>-4902.204493</v>
      </c>
      <c r="P93" s="4">
        <v>5.19020449E-4</v>
      </c>
      <c r="Q93" s="4">
        <v>8506.872964</v>
      </c>
    </row>
    <row r="94">
      <c r="A94" s="2">
        <v>2.0</v>
      </c>
      <c r="B94" s="3" t="s">
        <v>78</v>
      </c>
      <c r="C94" s="2">
        <v>25.0</v>
      </c>
      <c r="D94" s="3" t="s">
        <v>148</v>
      </c>
      <c r="E94" s="2">
        <v>254.0</v>
      </c>
      <c r="F94" s="3" t="s">
        <v>158</v>
      </c>
      <c r="G94" s="2">
        <v>2543.0</v>
      </c>
      <c r="H94" s="3" t="s">
        <v>159</v>
      </c>
      <c r="I94" s="2">
        <v>2024.0</v>
      </c>
      <c r="J94" s="2">
        <v>20241.0</v>
      </c>
      <c r="K94" s="3" t="s">
        <v>21</v>
      </c>
      <c r="L94" s="4">
        <v>404.0</v>
      </c>
      <c r="M94" s="4">
        <v>12179.35644</v>
      </c>
      <c r="N94" s="4">
        <v>1.785739897</v>
      </c>
      <c r="O94" s="4">
        <v>7807.319961</v>
      </c>
      <c r="P94" s="4">
        <v>2.837405432E-4</v>
      </c>
      <c r="Q94" s="4">
        <v>4372.036474</v>
      </c>
    </row>
    <row r="95">
      <c r="A95" s="2">
        <v>2.0</v>
      </c>
      <c r="B95" s="3" t="s">
        <v>78</v>
      </c>
      <c r="C95" s="2">
        <v>25.0</v>
      </c>
      <c r="D95" s="3" t="s">
        <v>148</v>
      </c>
      <c r="E95" s="2">
        <v>254.0</v>
      </c>
      <c r="F95" s="3" t="s">
        <v>158</v>
      </c>
      <c r="G95" s="2">
        <v>2544.0</v>
      </c>
      <c r="H95" s="3" t="s">
        <v>160</v>
      </c>
      <c r="I95" s="2">
        <v>2024.0</v>
      </c>
      <c r="J95" s="2">
        <v>20241.0</v>
      </c>
      <c r="K95" s="3" t="s">
        <v>21</v>
      </c>
      <c r="L95" s="4">
        <v>171.0</v>
      </c>
      <c r="M95" s="4">
        <v>1056.140351</v>
      </c>
      <c r="N95" s="4">
        <v>-0.8220662768</v>
      </c>
      <c r="O95" s="4">
        <v>-4879.442471</v>
      </c>
      <c r="P95" s="4">
        <v>1.200981012E-4</v>
      </c>
      <c r="Q95" s="4">
        <v>5935.582822</v>
      </c>
    </row>
    <row r="96">
      <c r="A96" s="2">
        <v>2.0</v>
      </c>
      <c r="B96" s="3" t="s">
        <v>78</v>
      </c>
      <c r="C96" s="2">
        <v>25.0</v>
      </c>
      <c r="D96" s="3" t="s">
        <v>148</v>
      </c>
      <c r="E96" s="2">
        <v>255.0</v>
      </c>
      <c r="F96" s="3" t="s">
        <v>161</v>
      </c>
      <c r="G96" s="2">
        <v>2553.0</v>
      </c>
      <c r="H96" s="3" t="s">
        <v>162</v>
      </c>
      <c r="I96" s="2">
        <v>2024.0</v>
      </c>
      <c r="J96" s="2">
        <v>20241.0</v>
      </c>
      <c r="K96" s="3" t="s">
        <v>21</v>
      </c>
      <c r="L96" s="4">
        <v>731.0</v>
      </c>
      <c r="M96" s="4">
        <v>19350.0</v>
      </c>
      <c r="N96" s="4">
        <v>1.0</v>
      </c>
      <c r="O96" s="4">
        <v>19350.0</v>
      </c>
      <c r="P96" s="4">
        <v>5.134018244E-4</v>
      </c>
      <c r="Q96" s="4">
        <v>0.0</v>
      </c>
    </row>
    <row r="97">
      <c r="A97" s="2">
        <v>2.0</v>
      </c>
      <c r="B97" s="3" t="s">
        <v>78</v>
      </c>
      <c r="C97" s="2">
        <v>25.0</v>
      </c>
      <c r="D97" s="3" t="s">
        <v>148</v>
      </c>
      <c r="E97" s="2">
        <v>256.0</v>
      </c>
      <c r="F97" s="3" t="s">
        <v>163</v>
      </c>
      <c r="G97" s="2">
        <v>2562.0</v>
      </c>
      <c r="H97" s="3" t="s">
        <v>164</v>
      </c>
      <c r="I97" s="2">
        <v>2024.0</v>
      </c>
      <c r="J97" s="2">
        <v>20241.0</v>
      </c>
      <c r="K97" s="3" t="s">
        <v>21</v>
      </c>
      <c r="L97" s="4">
        <v>526.0</v>
      </c>
      <c r="M97" s="4">
        <v>7940.532319</v>
      </c>
      <c r="N97" s="4">
        <v>-0.03983448276</v>
      </c>
      <c r="O97" s="4">
        <v>-329.4296578</v>
      </c>
      <c r="P97" s="4">
        <v>3.694245686E-4</v>
      </c>
      <c r="Q97" s="4">
        <v>8269.961977</v>
      </c>
    </row>
    <row r="98">
      <c r="A98" s="2">
        <v>2.0</v>
      </c>
      <c r="B98" s="3" t="s">
        <v>78</v>
      </c>
      <c r="C98" s="2">
        <v>26.0</v>
      </c>
      <c r="D98" s="3" t="s">
        <v>165</v>
      </c>
      <c r="E98" s="2">
        <v>261.0</v>
      </c>
      <c r="F98" s="3" t="s">
        <v>166</v>
      </c>
      <c r="G98" s="2">
        <v>2611.0</v>
      </c>
      <c r="H98" s="3" t="s">
        <v>167</v>
      </c>
      <c r="I98" s="2">
        <v>2024.0</v>
      </c>
      <c r="J98" s="2">
        <v>20241.0</v>
      </c>
      <c r="K98" s="3" t="s">
        <v>21</v>
      </c>
      <c r="L98" s="4">
        <v>51.0</v>
      </c>
      <c r="M98" s="4">
        <v>19600.0</v>
      </c>
      <c r="N98" s="4">
        <v>1.0</v>
      </c>
      <c r="O98" s="4">
        <v>19600.0</v>
      </c>
      <c r="P98" s="4">
        <v>3.581873193E-5</v>
      </c>
      <c r="Q98" s="4">
        <v>0.0</v>
      </c>
    </row>
    <row r="99">
      <c r="A99" s="2">
        <v>2.0</v>
      </c>
      <c r="B99" s="3" t="s">
        <v>78</v>
      </c>
      <c r="C99" s="2">
        <v>26.0</v>
      </c>
      <c r="D99" s="3" t="s">
        <v>165</v>
      </c>
      <c r="E99" s="2">
        <v>261.0</v>
      </c>
      <c r="F99" s="3" t="s">
        <v>166</v>
      </c>
      <c r="G99" s="2">
        <v>2612.0</v>
      </c>
      <c r="H99" s="3" t="s">
        <v>168</v>
      </c>
      <c r="I99" s="2">
        <v>2024.0</v>
      </c>
      <c r="J99" s="2">
        <v>20241.0</v>
      </c>
      <c r="K99" s="3" t="s">
        <v>21</v>
      </c>
      <c r="L99" s="4">
        <v>746.0</v>
      </c>
      <c r="M99" s="4">
        <v>0.0</v>
      </c>
      <c r="N99" s="4">
        <v>-1.0</v>
      </c>
      <c r="O99" s="4">
        <v>-8133.925738</v>
      </c>
      <c r="P99" s="4">
        <v>5.239367455E-4</v>
      </c>
      <c r="Q99" s="4">
        <v>8133.925738</v>
      </c>
    </row>
    <row r="100">
      <c r="A100" s="2">
        <v>2.0</v>
      </c>
      <c r="B100" s="3" t="s">
        <v>78</v>
      </c>
      <c r="C100" s="2">
        <v>26.0</v>
      </c>
      <c r="D100" s="3" t="s">
        <v>165</v>
      </c>
      <c r="E100" s="2">
        <v>261.0</v>
      </c>
      <c r="F100" s="3" t="s">
        <v>166</v>
      </c>
      <c r="G100" s="2">
        <v>2613.0</v>
      </c>
      <c r="H100" s="3" t="s">
        <v>169</v>
      </c>
      <c r="I100" s="2">
        <v>2024.0</v>
      </c>
      <c r="J100" s="2">
        <v>20241.0</v>
      </c>
      <c r="K100" s="3" t="s">
        <v>21</v>
      </c>
      <c r="L100" s="4">
        <v>885.0</v>
      </c>
      <c r="M100" s="4">
        <v>4772.881356</v>
      </c>
      <c r="N100" s="4">
        <v>1.0</v>
      </c>
      <c r="O100" s="4">
        <v>4772.881356</v>
      </c>
      <c r="P100" s="4">
        <v>6.215603482E-4</v>
      </c>
      <c r="Q100" s="4">
        <v>0.0</v>
      </c>
    </row>
    <row r="101">
      <c r="A101" s="2">
        <v>2.0</v>
      </c>
      <c r="B101" s="3" t="s">
        <v>78</v>
      </c>
      <c r="C101" s="2">
        <v>26.0</v>
      </c>
      <c r="D101" s="3" t="s">
        <v>165</v>
      </c>
      <c r="E101" s="2">
        <v>262.0</v>
      </c>
      <c r="F101" s="3" t="s">
        <v>170</v>
      </c>
      <c r="G101" s="2">
        <v>2622.0</v>
      </c>
      <c r="H101" s="3" t="s">
        <v>171</v>
      </c>
      <c r="I101" s="2">
        <v>2024.0</v>
      </c>
      <c r="J101" s="2">
        <v>20241.0</v>
      </c>
      <c r="K101" s="3" t="s">
        <v>21</v>
      </c>
      <c r="L101" s="4">
        <v>212.0</v>
      </c>
      <c r="M101" s="4">
        <v>0.0</v>
      </c>
      <c r="N101" s="4">
        <v>1.0</v>
      </c>
      <c r="O101" s="4">
        <v>0.0</v>
      </c>
      <c r="P101" s="4">
        <v>1.488935523E-4</v>
      </c>
      <c r="Q101" s="4">
        <v>0.0</v>
      </c>
    </row>
    <row r="102">
      <c r="A102" s="2">
        <v>2.0</v>
      </c>
      <c r="B102" s="3" t="s">
        <v>78</v>
      </c>
      <c r="C102" s="2">
        <v>26.0</v>
      </c>
      <c r="D102" s="3" t="s">
        <v>165</v>
      </c>
      <c r="E102" s="2">
        <v>262.0</v>
      </c>
      <c r="F102" s="3" t="s">
        <v>170</v>
      </c>
      <c r="G102" s="2">
        <v>2624.0</v>
      </c>
      <c r="H102" s="3" t="s">
        <v>172</v>
      </c>
      <c r="I102" s="2">
        <v>2024.0</v>
      </c>
      <c r="J102" s="2">
        <v>20241.0</v>
      </c>
      <c r="K102" s="3" t="s">
        <v>21</v>
      </c>
      <c r="L102" s="4">
        <v>191.0</v>
      </c>
      <c r="M102" s="4">
        <v>9687.958115</v>
      </c>
      <c r="N102" s="4">
        <v>1.0</v>
      </c>
      <c r="O102" s="4">
        <v>9687.958115</v>
      </c>
      <c r="P102" s="4">
        <v>1.341446627E-4</v>
      </c>
      <c r="Q102" s="4">
        <v>0.0</v>
      </c>
    </row>
    <row r="103">
      <c r="A103" s="2">
        <v>2.0</v>
      </c>
      <c r="B103" s="3" t="s">
        <v>78</v>
      </c>
      <c r="C103" s="2">
        <v>26.0</v>
      </c>
      <c r="D103" s="3" t="s">
        <v>165</v>
      </c>
      <c r="E103" s="2">
        <v>263.0</v>
      </c>
      <c r="F103" s="3" t="s">
        <v>173</v>
      </c>
      <c r="G103" s="2">
        <v>2630.0</v>
      </c>
      <c r="H103" s="3" t="s">
        <v>174</v>
      </c>
      <c r="I103" s="2">
        <v>2024.0</v>
      </c>
      <c r="J103" s="2">
        <v>20241.0</v>
      </c>
      <c r="K103" s="3" t="s">
        <v>21</v>
      </c>
      <c r="L103" s="4">
        <v>809.0</v>
      </c>
      <c r="M103" s="4">
        <v>10385.41409</v>
      </c>
      <c r="N103" s="4">
        <v>-0.4133166968</v>
      </c>
      <c r="O103" s="4">
        <v>-7316.494305</v>
      </c>
      <c r="P103" s="4">
        <v>5.681834144E-4</v>
      </c>
      <c r="Q103" s="4">
        <v>17701.9084</v>
      </c>
    </row>
    <row r="104">
      <c r="A104" s="2">
        <v>2.0</v>
      </c>
      <c r="B104" s="3" t="s">
        <v>78</v>
      </c>
      <c r="C104" s="2">
        <v>26.0</v>
      </c>
      <c r="D104" s="3" t="s">
        <v>165</v>
      </c>
      <c r="E104" s="2">
        <v>263.0</v>
      </c>
      <c r="F104" s="3" t="s">
        <v>173</v>
      </c>
      <c r="G104" s="2">
        <v>2631.0</v>
      </c>
      <c r="H104" s="3" t="s">
        <v>175</v>
      </c>
      <c r="I104" s="2">
        <v>2024.0</v>
      </c>
      <c r="J104" s="2">
        <v>20241.0</v>
      </c>
      <c r="K104" s="3" t="s">
        <v>21</v>
      </c>
      <c r="L104" s="4">
        <v>692.0</v>
      </c>
      <c r="M104" s="4">
        <v>10750.0</v>
      </c>
      <c r="N104" s="4">
        <v>3.132619476</v>
      </c>
      <c r="O104" s="4">
        <v>8148.744292</v>
      </c>
      <c r="P104" s="4">
        <v>4.860110294E-4</v>
      </c>
      <c r="Q104" s="4">
        <v>2601.255708</v>
      </c>
    </row>
    <row r="105">
      <c r="A105" s="2">
        <v>2.0</v>
      </c>
      <c r="B105" s="3" t="s">
        <v>78</v>
      </c>
      <c r="C105" s="2">
        <v>26.0</v>
      </c>
      <c r="D105" s="3" t="s">
        <v>165</v>
      </c>
      <c r="E105" s="2">
        <v>263.0</v>
      </c>
      <c r="F105" s="3" t="s">
        <v>173</v>
      </c>
      <c r="G105" s="2">
        <v>2632.0</v>
      </c>
      <c r="H105" s="3" t="s">
        <v>176</v>
      </c>
      <c r="I105" s="2">
        <v>2024.0</v>
      </c>
      <c r="J105" s="2">
        <v>20241.0</v>
      </c>
      <c r="K105" s="3" t="s">
        <v>21</v>
      </c>
      <c r="L105" s="4">
        <v>11318.0</v>
      </c>
      <c r="M105" s="4">
        <v>8507.931613</v>
      </c>
      <c r="N105" s="4">
        <v>0.4602194241</v>
      </c>
      <c r="O105" s="4">
        <v>2681.456857</v>
      </c>
      <c r="P105" s="4">
        <v>0.007948949177</v>
      </c>
      <c r="Q105" s="4">
        <v>5826.474756</v>
      </c>
    </row>
    <row r="106">
      <c r="A106" s="2">
        <v>2.0</v>
      </c>
      <c r="B106" s="3" t="s">
        <v>78</v>
      </c>
      <c r="C106" s="2">
        <v>26.0</v>
      </c>
      <c r="D106" s="3" t="s">
        <v>165</v>
      </c>
      <c r="E106" s="2">
        <v>263.0</v>
      </c>
      <c r="F106" s="3" t="s">
        <v>173</v>
      </c>
      <c r="G106" s="2">
        <v>2633.0</v>
      </c>
      <c r="H106" s="3" t="s">
        <v>177</v>
      </c>
      <c r="I106" s="2">
        <v>2024.0</v>
      </c>
      <c r="J106" s="2">
        <v>20241.0</v>
      </c>
      <c r="K106" s="3" t="s">
        <v>21</v>
      </c>
      <c r="L106" s="4">
        <v>1232.0</v>
      </c>
      <c r="M106" s="4">
        <v>9096.672078</v>
      </c>
      <c r="N106" s="4">
        <v>0.3421809404</v>
      </c>
      <c r="O106" s="4">
        <v>2319.141714</v>
      </c>
      <c r="P106" s="4">
        <v>8.65268191E-4</v>
      </c>
      <c r="Q106" s="4">
        <v>6777.530364</v>
      </c>
    </row>
    <row r="107">
      <c r="A107" s="2">
        <v>2.0</v>
      </c>
      <c r="B107" s="3" t="s">
        <v>78</v>
      </c>
      <c r="C107" s="2">
        <v>26.0</v>
      </c>
      <c r="D107" s="3" t="s">
        <v>165</v>
      </c>
      <c r="E107" s="2">
        <v>263.0</v>
      </c>
      <c r="F107" s="3" t="s">
        <v>173</v>
      </c>
      <c r="G107" s="2">
        <v>2634.0</v>
      </c>
      <c r="H107" s="3" t="s">
        <v>178</v>
      </c>
      <c r="I107" s="2">
        <v>2024.0</v>
      </c>
      <c r="J107" s="2">
        <v>20241.0</v>
      </c>
      <c r="K107" s="3" t="s">
        <v>21</v>
      </c>
      <c r="L107" s="4">
        <v>3726.0</v>
      </c>
      <c r="M107" s="4">
        <v>17140.17713</v>
      </c>
      <c r="N107" s="4">
        <v>3.485803897</v>
      </c>
      <c r="O107" s="4">
        <v>13319.19487</v>
      </c>
      <c r="P107" s="4">
        <v>0.002616874415</v>
      </c>
      <c r="Q107" s="4">
        <v>3820.982265</v>
      </c>
    </row>
    <row r="108">
      <c r="A108" s="2">
        <v>2.0</v>
      </c>
      <c r="B108" s="3" t="s">
        <v>78</v>
      </c>
      <c r="C108" s="2">
        <v>26.0</v>
      </c>
      <c r="D108" s="3" t="s">
        <v>165</v>
      </c>
      <c r="E108" s="2">
        <v>263.0</v>
      </c>
      <c r="F108" s="3" t="s">
        <v>173</v>
      </c>
      <c r="G108" s="2">
        <v>2637.0</v>
      </c>
      <c r="H108" s="3" t="s">
        <v>179</v>
      </c>
      <c r="I108" s="2">
        <v>2024.0</v>
      </c>
      <c r="J108" s="2">
        <v>20241.0</v>
      </c>
      <c r="K108" s="3" t="s">
        <v>21</v>
      </c>
      <c r="L108" s="4">
        <v>55.0</v>
      </c>
      <c r="M108" s="4">
        <v>25000.0</v>
      </c>
      <c r="N108" s="4">
        <v>1.0</v>
      </c>
      <c r="O108" s="4">
        <v>25000.0</v>
      </c>
      <c r="P108" s="4">
        <v>3.862804424E-5</v>
      </c>
      <c r="Q108" s="4">
        <v>0.0</v>
      </c>
    </row>
    <row r="109">
      <c r="A109" s="2">
        <v>2.0</v>
      </c>
      <c r="B109" s="3" t="s">
        <v>78</v>
      </c>
      <c r="C109" s="2">
        <v>26.0</v>
      </c>
      <c r="D109" s="3" t="s">
        <v>165</v>
      </c>
      <c r="E109" s="2">
        <v>263.0</v>
      </c>
      <c r="F109" s="3" t="s">
        <v>173</v>
      </c>
      <c r="G109" s="2">
        <v>2638.0</v>
      </c>
      <c r="H109" s="3" t="s">
        <v>180</v>
      </c>
      <c r="I109" s="2">
        <v>2024.0</v>
      </c>
      <c r="J109" s="2">
        <v>20241.0</v>
      </c>
      <c r="K109" s="3" t="s">
        <v>21</v>
      </c>
      <c r="L109" s="4">
        <v>71.0</v>
      </c>
      <c r="M109" s="4">
        <v>0.0</v>
      </c>
      <c r="N109" s="4">
        <v>1.0</v>
      </c>
      <c r="O109" s="4">
        <v>0.0</v>
      </c>
      <c r="P109" s="4">
        <v>4.986529347E-5</v>
      </c>
      <c r="Q109" s="4">
        <v>0.0</v>
      </c>
    </row>
    <row r="110">
      <c r="A110" s="2">
        <v>2.0</v>
      </c>
      <c r="B110" s="3" t="s">
        <v>78</v>
      </c>
      <c r="C110" s="2">
        <v>26.0</v>
      </c>
      <c r="D110" s="3" t="s">
        <v>165</v>
      </c>
      <c r="E110" s="2">
        <v>263.0</v>
      </c>
      <c r="F110" s="3" t="s">
        <v>173</v>
      </c>
      <c r="G110" s="2">
        <v>2639.0</v>
      </c>
      <c r="H110" s="3" t="s">
        <v>181</v>
      </c>
      <c r="I110" s="2">
        <v>2024.0</v>
      </c>
      <c r="J110" s="2">
        <v>20241.0</v>
      </c>
      <c r="K110" s="3" t="s">
        <v>21</v>
      </c>
      <c r="L110" s="4">
        <v>292.0</v>
      </c>
      <c r="M110" s="4">
        <v>4000.0</v>
      </c>
      <c r="N110" s="4">
        <v>1.0</v>
      </c>
      <c r="O110" s="4">
        <v>4000.0</v>
      </c>
      <c r="P110" s="4">
        <v>2.050797985E-4</v>
      </c>
      <c r="Q110" s="4">
        <v>0.0</v>
      </c>
    </row>
    <row r="111">
      <c r="A111" s="2">
        <v>2.0</v>
      </c>
      <c r="B111" s="3" t="s">
        <v>78</v>
      </c>
      <c r="C111" s="2">
        <v>26.0</v>
      </c>
      <c r="D111" s="3" t="s">
        <v>165</v>
      </c>
      <c r="E111" s="2">
        <v>264.0</v>
      </c>
      <c r="F111" s="3" t="s">
        <v>182</v>
      </c>
      <c r="G111" s="2">
        <v>2640.0</v>
      </c>
      <c r="H111" s="3" t="s">
        <v>183</v>
      </c>
      <c r="I111" s="2">
        <v>2024.0</v>
      </c>
      <c r="J111" s="2">
        <v>20241.0</v>
      </c>
      <c r="K111" s="3" t="s">
        <v>21</v>
      </c>
      <c r="L111" s="4">
        <v>513.0</v>
      </c>
      <c r="M111" s="4">
        <v>17020.31189</v>
      </c>
      <c r="N111" s="4">
        <v>-0.2908203379</v>
      </c>
      <c r="O111" s="4">
        <v>-6979.688109</v>
      </c>
      <c r="P111" s="4">
        <v>3.602943036E-4</v>
      </c>
      <c r="Q111" s="4">
        <v>24000.0</v>
      </c>
    </row>
    <row r="112">
      <c r="A112" s="2">
        <v>2.0</v>
      </c>
      <c r="B112" s="3" t="s">
        <v>78</v>
      </c>
      <c r="C112" s="2">
        <v>26.0</v>
      </c>
      <c r="D112" s="3" t="s">
        <v>165</v>
      </c>
      <c r="E112" s="2">
        <v>264.0</v>
      </c>
      <c r="F112" s="3" t="s">
        <v>182</v>
      </c>
      <c r="G112" s="2">
        <v>2641.0</v>
      </c>
      <c r="H112" s="3" t="s">
        <v>184</v>
      </c>
      <c r="I112" s="2">
        <v>2024.0</v>
      </c>
      <c r="J112" s="2">
        <v>20241.0</v>
      </c>
      <c r="K112" s="3" t="s">
        <v>21</v>
      </c>
      <c r="L112" s="4">
        <v>376.0</v>
      </c>
      <c r="M112" s="4">
        <v>6764.62766</v>
      </c>
      <c r="N112" s="4">
        <v>0.1274379433</v>
      </c>
      <c r="O112" s="4">
        <v>764.6276596</v>
      </c>
      <c r="P112" s="4">
        <v>2.64075357E-4</v>
      </c>
      <c r="Q112" s="4">
        <v>6000.0</v>
      </c>
    </row>
    <row r="113">
      <c r="A113" s="2">
        <v>2.0</v>
      </c>
      <c r="B113" s="3" t="s">
        <v>78</v>
      </c>
      <c r="C113" s="2">
        <v>26.0</v>
      </c>
      <c r="D113" s="3" t="s">
        <v>165</v>
      </c>
      <c r="E113" s="2">
        <v>264.0</v>
      </c>
      <c r="F113" s="3" t="s">
        <v>182</v>
      </c>
      <c r="G113" s="2">
        <v>2642.0</v>
      </c>
      <c r="H113" s="3" t="s">
        <v>185</v>
      </c>
      <c r="I113" s="2">
        <v>2024.0</v>
      </c>
      <c r="J113" s="2">
        <v>20241.0</v>
      </c>
      <c r="K113" s="3" t="s">
        <v>21</v>
      </c>
      <c r="L113" s="4">
        <v>14481.0</v>
      </c>
      <c r="M113" s="4">
        <v>3092.340308</v>
      </c>
      <c r="N113" s="4">
        <v>-0.5988395999</v>
      </c>
      <c r="O113" s="4">
        <v>-4616.148135</v>
      </c>
      <c r="P113" s="4">
        <v>0.01017041288</v>
      </c>
      <c r="Q113" s="4">
        <v>7708.488443</v>
      </c>
    </row>
    <row r="114">
      <c r="A114" s="2">
        <v>2.0</v>
      </c>
      <c r="B114" s="3" t="s">
        <v>78</v>
      </c>
      <c r="C114" s="2">
        <v>26.0</v>
      </c>
      <c r="D114" s="3" t="s">
        <v>165</v>
      </c>
      <c r="E114" s="2">
        <v>264.0</v>
      </c>
      <c r="F114" s="3" t="s">
        <v>182</v>
      </c>
      <c r="G114" s="2">
        <v>2643.0</v>
      </c>
      <c r="H114" s="3" t="s">
        <v>186</v>
      </c>
      <c r="I114" s="2">
        <v>2024.0</v>
      </c>
      <c r="J114" s="2">
        <v>20241.0</v>
      </c>
      <c r="K114" s="3" t="s">
        <v>21</v>
      </c>
      <c r="L114" s="4">
        <v>1100.0</v>
      </c>
      <c r="M114" s="4">
        <v>2008.4</v>
      </c>
      <c r="N114" s="4">
        <v>-0.4318342105</v>
      </c>
      <c r="O114" s="4">
        <v>-1526.483721</v>
      </c>
      <c r="P114" s="4">
        <v>7.725608848E-4</v>
      </c>
      <c r="Q114" s="4">
        <v>3534.883721</v>
      </c>
    </row>
    <row r="115">
      <c r="A115" s="2">
        <v>2.0</v>
      </c>
      <c r="B115" s="3" t="s">
        <v>78</v>
      </c>
      <c r="C115" s="2">
        <v>26.0</v>
      </c>
      <c r="D115" s="3" t="s">
        <v>165</v>
      </c>
      <c r="E115" s="2">
        <v>264.0</v>
      </c>
      <c r="F115" s="3" t="s">
        <v>182</v>
      </c>
      <c r="G115" s="2">
        <v>2644.0</v>
      </c>
      <c r="H115" s="3" t="s">
        <v>187</v>
      </c>
      <c r="I115" s="2">
        <v>2024.0</v>
      </c>
      <c r="J115" s="2">
        <v>20241.0</v>
      </c>
      <c r="K115" s="3" t="s">
        <v>21</v>
      </c>
      <c r="L115" s="4">
        <v>489.0</v>
      </c>
      <c r="M115" s="4">
        <v>18631.26789</v>
      </c>
      <c r="N115" s="4">
        <v>1.613296652</v>
      </c>
      <c r="O115" s="4">
        <v>11501.85613</v>
      </c>
      <c r="P115" s="4">
        <v>3.434384297E-4</v>
      </c>
      <c r="Q115" s="4">
        <v>7129.411765</v>
      </c>
    </row>
    <row r="116">
      <c r="A116" s="2">
        <v>2.0</v>
      </c>
      <c r="B116" s="3" t="s">
        <v>78</v>
      </c>
      <c r="C116" s="2">
        <v>26.0</v>
      </c>
      <c r="D116" s="3" t="s">
        <v>165</v>
      </c>
      <c r="E116" s="2">
        <v>264.0</v>
      </c>
      <c r="F116" s="3" t="s">
        <v>182</v>
      </c>
      <c r="G116" s="2">
        <v>2646.0</v>
      </c>
      <c r="H116" s="3" t="s">
        <v>188</v>
      </c>
      <c r="I116" s="2">
        <v>2024.0</v>
      </c>
      <c r="J116" s="2">
        <v>20241.0</v>
      </c>
      <c r="K116" s="3" t="s">
        <v>21</v>
      </c>
      <c r="L116" s="4">
        <v>2155.0</v>
      </c>
      <c r="M116" s="4">
        <v>8406.49652</v>
      </c>
      <c r="N116" s="4">
        <v>0.1157644051</v>
      </c>
      <c r="O116" s="4">
        <v>872.2030066</v>
      </c>
      <c r="P116" s="4">
        <v>0.001513517006</v>
      </c>
      <c r="Q116" s="4">
        <v>7534.293513</v>
      </c>
    </row>
    <row r="117">
      <c r="A117" s="2">
        <v>2.0</v>
      </c>
      <c r="B117" s="3" t="s">
        <v>78</v>
      </c>
      <c r="C117" s="2">
        <v>26.0</v>
      </c>
      <c r="D117" s="3" t="s">
        <v>165</v>
      </c>
      <c r="E117" s="2">
        <v>265.0</v>
      </c>
      <c r="F117" s="3" t="s">
        <v>189</v>
      </c>
      <c r="G117" s="2">
        <v>2651.0</v>
      </c>
      <c r="H117" s="3" t="s">
        <v>190</v>
      </c>
      <c r="I117" s="2">
        <v>2024.0</v>
      </c>
      <c r="J117" s="2">
        <v>20241.0</v>
      </c>
      <c r="K117" s="3" t="s">
        <v>21</v>
      </c>
      <c r="L117" s="4">
        <v>2944.0</v>
      </c>
      <c r="M117" s="4">
        <v>2786.08356</v>
      </c>
      <c r="N117" s="4">
        <v>2.626187579</v>
      </c>
      <c r="O117" s="4">
        <v>2017.760493</v>
      </c>
      <c r="P117" s="4">
        <v>0.002067653859</v>
      </c>
      <c r="Q117" s="4">
        <v>768.3230664</v>
      </c>
    </row>
    <row r="118">
      <c r="A118" s="2">
        <v>2.0</v>
      </c>
      <c r="B118" s="3" t="s">
        <v>78</v>
      </c>
      <c r="C118" s="2">
        <v>26.0</v>
      </c>
      <c r="D118" s="3" t="s">
        <v>165</v>
      </c>
      <c r="E118" s="2">
        <v>265.0</v>
      </c>
      <c r="F118" s="3" t="s">
        <v>189</v>
      </c>
      <c r="G118" s="2">
        <v>2653.0</v>
      </c>
      <c r="H118" s="3" t="s">
        <v>191</v>
      </c>
      <c r="I118" s="2">
        <v>2024.0</v>
      </c>
      <c r="J118" s="2">
        <v>20241.0</v>
      </c>
      <c r="K118" s="3" t="s">
        <v>21</v>
      </c>
      <c r="L118" s="4">
        <v>628.0</v>
      </c>
      <c r="M118" s="4">
        <v>4248.407643</v>
      </c>
      <c r="N118" s="4">
        <v>1.0</v>
      </c>
      <c r="O118" s="4">
        <v>4248.407643</v>
      </c>
      <c r="P118" s="4">
        <v>4.410620324E-4</v>
      </c>
      <c r="Q118" s="4">
        <v>0.0</v>
      </c>
    </row>
    <row r="119">
      <c r="A119" s="2">
        <v>2.0</v>
      </c>
      <c r="B119" s="3" t="s">
        <v>78</v>
      </c>
      <c r="C119" s="2">
        <v>26.0</v>
      </c>
      <c r="D119" s="3" t="s">
        <v>165</v>
      </c>
      <c r="E119" s="2">
        <v>265.0</v>
      </c>
      <c r="F119" s="3" t="s">
        <v>189</v>
      </c>
      <c r="G119" s="2">
        <v>2654.0</v>
      </c>
      <c r="H119" s="3" t="s">
        <v>192</v>
      </c>
      <c r="I119" s="2">
        <v>2024.0</v>
      </c>
      <c r="J119" s="2">
        <v>20241.0</v>
      </c>
      <c r="K119" s="3" t="s">
        <v>21</v>
      </c>
      <c r="L119" s="4">
        <v>2016.0</v>
      </c>
      <c r="M119" s="4">
        <v>11749.92063</v>
      </c>
      <c r="N119" s="4">
        <v>0.6458932258</v>
      </c>
      <c r="O119" s="4">
        <v>4610.988139</v>
      </c>
      <c r="P119" s="4">
        <v>0.001415893403</v>
      </c>
      <c r="Q119" s="4">
        <v>7138.932496</v>
      </c>
    </row>
    <row r="120">
      <c r="A120" s="2">
        <v>2.0</v>
      </c>
      <c r="B120" s="3" t="s">
        <v>78</v>
      </c>
      <c r="C120" s="2">
        <v>26.0</v>
      </c>
      <c r="D120" s="3" t="s">
        <v>165</v>
      </c>
      <c r="E120" s="2">
        <v>265.0</v>
      </c>
      <c r="F120" s="3" t="s">
        <v>189</v>
      </c>
      <c r="G120" s="2">
        <v>2655.0</v>
      </c>
      <c r="H120" s="3" t="s">
        <v>193</v>
      </c>
      <c r="I120" s="2">
        <v>2024.0</v>
      </c>
      <c r="J120" s="2">
        <v>20241.0</v>
      </c>
      <c r="K120" s="3" t="s">
        <v>21</v>
      </c>
      <c r="L120" s="4">
        <v>386.0</v>
      </c>
      <c r="M120" s="4">
        <v>5077.202073</v>
      </c>
      <c r="N120" s="4">
        <v>-0.6228549682</v>
      </c>
      <c r="O120" s="4">
        <v>-8384.998526</v>
      </c>
      <c r="P120" s="4">
        <v>2.710986378E-4</v>
      </c>
      <c r="Q120" s="4">
        <v>13462.2006</v>
      </c>
    </row>
    <row r="121">
      <c r="A121" s="2">
        <v>2.0</v>
      </c>
      <c r="B121" s="3" t="s">
        <v>78</v>
      </c>
      <c r="C121" s="2">
        <v>27.0</v>
      </c>
      <c r="D121" s="3" t="s">
        <v>194</v>
      </c>
      <c r="E121" s="2">
        <v>271.0</v>
      </c>
      <c r="F121" s="3" t="s">
        <v>194</v>
      </c>
      <c r="G121" s="2">
        <v>2711.0</v>
      </c>
      <c r="H121" s="3" t="s">
        <v>195</v>
      </c>
      <c r="I121" s="2">
        <v>2024.0</v>
      </c>
      <c r="J121" s="2">
        <v>20241.0</v>
      </c>
      <c r="K121" s="3" t="s">
        <v>21</v>
      </c>
      <c r="L121" s="4">
        <v>1140.0</v>
      </c>
      <c r="M121" s="4">
        <v>762.4561404</v>
      </c>
      <c r="N121" s="4">
        <v>-0.6179368051</v>
      </c>
      <c r="O121" s="4">
        <v>-1233.172202</v>
      </c>
      <c r="P121" s="4">
        <v>8.006540079E-4</v>
      </c>
      <c r="Q121" s="4">
        <v>1995.628342</v>
      </c>
    </row>
    <row r="122">
      <c r="A122" s="2">
        <v>2.0</v>
      </c>
      <c r="B122" s="3" t="s">
        <v>78</v>
      </c>
      <c r="C122" s="2">
        <v>27.0</v>
      </c>
      <c r="D122" s="3" t="s">
        <v>194</v>
      </c>
      <c r="E122" s="2">
        <v>271.0</v>
      </c>
      <c r="F122" s="3" t="s">
        <v>194</v>
      </c>
      <c r="G122" s="2">
        <v>2712.0</v>
      </c>
      <c r="H122" s="3" t="s">
        <v>196</v>
      </c>
      <c r="I122" s="2">
        <v>2024.0</v>
      </c>
      <c r="J122" s="2">
        <v>20241.0</v>
      </c>
      <c r="K122" s="3" t="s">
        <v>21</v>
      </c>
      <c r="L122" s="4">
        <v>2777.0</v>
      </c>
      <c r="M122" s="4">
        <v>4265.718401</v>
      </c>
      <c r="N122" s="4">
        <v>-0.5125667312</v>
      </c>
      <c r="O122" s="4">
        <v>-4485.67112</v>
      </c>
      <c r="P122" s="4">
        <v>0.00195036507</v>
      </c>
      <c r="Q122" s="4">
        <v>8751.389522</v>
      </c>
    </row>
    <row r="123">
      <c r="A123" s="2">
        <v>2.0</v>
      </c>
      <c r="B123" s="3" t="s">
        <v>78</v>
      </c>
      <c r="C123" s="2">
        <v>27.0</v>
      </c>
      <c r="D123" s="3" t="s">
        <v>194</v>
      </c>
      <c r="E123" s="2">
        <v>271.0</v>
      </c>
      <c r="F123" s="3" t="s">
        <v>194</v>
      </c>
      <c r="G123" s="2">
        <v>2713.0</v>
      </c>
      <c r="H123" s="3" t="s">
        <v>197</v>
      </c>
      <c r="I123" s="2">
        <v>2024.0</v>
      </c>
      <c r="J123" s="2">
        <v>20241.0</v>
      </c>
      <c r="K123" s="3" t="s">
        <v>21</v>
      </c>
      <c r="L123" s="4">
        <v>52.0</v>
      </c>
      <c r="M123" s="4">
        <v>7000.0</v>
      </c>
      <c r="N123" s="4">
        <v>1.0</v>
      </c>
      <c r="O123" s="4">
        <v>7000.0</v>
      </c>
      <c r="P123" s="4">
        <v>3.652106001E-5</v>
      </c>
      <c r="Q123" s="4">
        <v>0.0</v>
      </c>
    </row>
    <row r="124">
      <c r="A124" s="2">
        <v>2.0</v>
      </c>
      <c r="B124" s="3" t="s">
        <v>78</v>
      </c>
      <c r="C124" s="2">
        <v>27.0</v>
      </c>
      <c r="D124" s="3" t="s">
        <v>194</v>
      </c>
      <c r="E124" s="2">
        <v>271.0</v>
      </c>
      <c r="F124" s="3" t="s">
        <v>194</v>
      </c>
      <c r="G124" s="2">
        <v>2714.0</v>
      </c>
      <c r="H124" s="3" t="s">
        <v>198</v>
      </c>
      <c r="I124" s="2">
        <v>2024.0</v>
      </c>
      <c r="J124" s="2">
        <v>20241.0</v>
      </c>
      <c r="K124" s="3" t="s">
        <v>21</v>
      </c>
      <c r="L124" s="4">
        <v>225.0</v>
      </c>
      <c r="M124" s="4">
        <v>10396.44444</v>
      </c>
      <c r="N124" s="4">
        <v>2.523950136</v>
      </c>
      <c r="O124" s="4">
        <v>7446.219826</v>
      </c>
      <c r="P124" s="4">
        <v>1.580238173E-4</v>
      </c>
      <c r="Q124" s="4">
        <v>2950.224618</v>
      </c>
    </row>
    <row r="125">
      <c r="A125" s="2">
        <v>2.0</v>
      </c>
      <c r="B125" s="3" t="s">
        <v>78</v>
      </c>
      <c r="C125" s="2">
        <v>27.0</v>
      </c>
      <c r="D125" s="3" t="s">
        <v>194</v>
      </c>
      <c r="E125" s="2">
        <v>271.0</v>
      </c>
      <c r="F125" s="3" t="s">
        <v>194</v>
      </c>
      <c r="G125" s="2">
        <v>2715.0</v>
      </c>
      <c r="H125" s="3" t="s">
        <v>199</v>
      </c>
      <c r="I125" s="2">
        <v>2024.0</v>
      </c>
      <c r="J125" s="2">
        <v>20241.0</v>
      </c>
      <c r="K125" s="3" t="s">
        <v>21</v>
      </c>
      <c r="L125" s="4">
        <v>1724.0</v>
      </c>
      <c r="M125" s="4">
        <v>3149.071926</v>
      </c>
      <c r="N125" s="4">
        <v>-0.4814021957</v>
      </c>
      <c r="O125" s="4">
        <v>-2923.209714</v>
      </c>
      <c r="P125" s="4">
        <v>0.001210813605</v>
      </c>
      <c r="Q125" s="4">
        <v>6072.28164</v>
      </c>
    </row>
    <row r="126">
      <c r="A126" s="2">
        <v>2.0</v>
      </c>
      <c r="B126" s="3" t="s">
        <v>78</v>
      </c>
      <c r="C126" s="2">
        <v>27.0</v>
      </c>
      <c r="D126" s="3" t="s">
        <v>194</v>
      </c>
      <c r="E126" s="2">
        <v>271.0</v>
      </c>
      <c r="F126" s="3" t="s">
        <v>194</v>
      </c>
      <c r="G126" s="2">
        <v>2716.0</v>
      </c>
      <c r="H126" s="3" t="s">
        <v>200</v>
      </c>
      <c r="I126" s="2">
        <v>2024.0</v>
      </c>
      <c r="J126" s="2">
        <v>20241.0</v>
      </c>
      <c r="K126" s="3" t="s">
        <v>21</v>
      </c>
      <c r="L126" s="4">
        <v>227.0</v>
      </c>
      <c r="M126" s="4">
        <v>14007.6652</v>
      </c>
      <c r="N126" s="4">
        <v>14.06010732</v>
      </c>
      <c r="O126" s="4">
        <v>13077.54798</v>
      </c>
      <c r="P126" s="4">
        <v>1.594284735E-4</v>
      </c>
      <c r="Q126" s="4">
        <v>930.1172227</v>
      </c>
    </row>
    <row r="127">
      <c r="A127" s="2">
        <v>2.0</v>
      </c>
      <c r="B127" s="3" t="s">
        <v>78</v>
      </c>
      <c r="C127" s="2">
        <v>28.0</v>
      </c>
      <c r="D127" s="3" t="s">
        <v>201</v>
      </c>
      <c r="E127" s="2">
        <v>281.0</v>
      </c>
      <c r="F127" s="3" t="s">
        <v>202</v>
      </c>
      <c r="G127" s="2">
        <v>2811.0</v>
      </c>
      <c r="H127" s="3" t="s">
        <v>203</v>
      </c>
      <c r="I127" s="2">
        <v>2024.0</v>
      </c>
      <c r="J127" s="2">
        <v>20241.0</v>
      </c>
      <c r="K127" s="3" t="s">
        <v>21</v>
      </c>
      <c r="L127" s="4">
        <v>2670.0</v>
      </c>
      <c r="M127" s="4">
        <v>7668.449438</v>
      </c>
      <c r="N127" s="4">
        <v>-0.2797387993</v>
      </c>
      <c r="O127" s="4">
        <v>-2978.312362</v>
      </c>
      <c r="P127" s="4">
        <v>0.001875215966</v>
      </c>
      <c r="Q127" s="4">
        <v>10646.7618</v>
      </c>
    </row>
    <row r="128">
      <c r="A128" s="2">
        <v>2.0</v>
      </c>
      <c r="B128" s="3" t="s">
        <v>78</v>
      </c>
      <c r="C128" s="2">
        <v>28.0</v>
      </c>
      <c r="D128" s="3" t="s">
        <v>201</v>
      </c>
      <c r="E128" s="2">
        <v>281.0</v>
      </c>
      <c r="F128" s="3" t="s">
        <v>202</v>
      </c>
      <c r="G128" s="2">
        <v>2812.0</v>
      </c>
      <c r="H128" s="3" t="s">
        <v>204</v>
      </c>
      <c r="I128" s="2">
        <v>2024.0</v>
      </c>
      <c r="J128" s="2">
        <v>20241.0</v>
      </c>
      <c r="K128" s="3" t="s">
        <v>21</v>
      </c>
      <c r="L128" s="4">
        <v>2133.0</v>
      </c>
      <c r="M128" s="4">
        <v>7592.348805</v>
      </c>
      <c r="N128" s="4">
        <v>0.1057981746</v>
      </c>
      <c r="O128" s="4">
        <v>726.4043862</v>
      </c>
      <c r="P128" s="4">
        <v>0.001498065788</v>
      </c>
      <c r="Q128" s="4">
        <v>6865.944418</v>
      </c>
    </row>
    <row r="129">
      <c r="A129" s="2">
        <v>2.0</v>
      </c>
      <c r="B129" s="3" t="s">
        <v>78</v>
      </c>
      <c r="C129" s="2">
        <v>28.0</v>
      </c>
      <c r="D129" s="3" t="s">
        <v>201</v>
      </c>
      <c r="E129" s="2">
        <v>281.0</v>
      </c>
      <c r="F129" s="3" t="s">
        <v>202</v>
      </c>
      <c r="G129" s="2">
        <v>2813.0</v>
      </c>
      <c r="H129" s="3" t="s">
        <v>205</v>
      </c>
      <c r="I129" s="2">
        <v>2024.0</v>
      </c>
      <c r="J129" s="2">
        <v>20241.0</v>
      </c>
      <c r="K129" s="3" t="s">
        <v>21</v>
      </c>
      <c r="L129" s="4">
        <v>929.0</v>
      </c>
      <c r="M129" s="4">
        <v>12062.43272</v>
      </c>
      <c r="N129" s="4">
        <v>1.0</v>
      </c>
      <c r="O129" s="4">
        <v>12062.43272</v>
      </c>
      <c r="P129" s="4">
        <v>6.524627836E-4</v>
      </c>
      <c r="Q129" s="4">
        <v>0.0</v>
      </c>
    </row>
    <row r="130">
      <c r="A130" s="2">
        <v>2.0</v>
      </c>
      <c r="B130" s="3" t="s">
        <v>78</v>
      </c>
      <c r="C130" s="2">
        <v>28.0</v>
      </c>
      <c r="D130" s="3" t="s">
        <v>201</v>
      </c>
      <c r="E130" s="2">
        <v>281.0</v>
      </c>
      <c r="F130" s="3" t="s">
        <v>202</v>
      </c>
      <c r="G130" s="2">
        <v>2815.0</v>
      </c>
      <c r="H130" s="3" t="s">
        <v>206</v>
      </c>
      <c r="I130" s="2">
        <v>2024.0</v>
      </c>
      <c r="J130" s="2">
        <v>20241.0</v>
      </c>
      <c r="K130" s="3" t="s">
        <v>21</v>
      </c>
      <c r="L130" s="4">
        <v>762.0</v>
      </c>
      <c r="M130" s="4">
        <v>21397.17848</v>
      </c>
      <c r="N130" s="4">
        <v>4.908791744</v>
      </c>
      <c r="O130" s="4">
        <v>17775.93417</v>
      </c>
      <c r="P130" s="4">
        <v>5.351739948E-4</v>
      </c>
      <c r="Q130" s="4">
        <v>3621.24431</v>
      </c>
    </row>
    <row r="131">
      <c r="A131" s="2">
        <v>2.0</v>
      </c>
      <c r="B131" s="3" t="s">
        <v>78</v>
      </c>
      <c r="C131" s="2">
        <v>28.0</v>
      </c>
      <c r="D131" s="3" t="s">
        <v>201</v>
      </c>
      <c r="E131" s="2">
        <v>282.0</v>
      </c>
      <c r="F131" s="3" t="s">
        <v>207</v>
      </c>
      <c r="G131" s="2">
        <v>2821.0</v>
      </c>
      <c r="H131" s="3" t="s">
        <v>208</v>
      </c>
      <c r="I131" s="2">
        <v>2024.0</v>
      </c>
      <c r="J131" s="2">
        <v>20241.0</v>
      </c>
      <c r="K131" s="3" t="s">
        <v>21</v>
      </c>
      <c r="L131" s="4">
        <v>7907.0</v>
      </c>
      <c r="M131" s="4">
        <v>13539.92665</v>
      </c>
      <c r="N131" s="4">
        <v>1.047025776</v>
      </c>
      <c r="O131" s="4">
        <v>6925.487881</v>
      </c>
      <c r="P131" s="4">
        <v>0.005553308106</v>
      </c>
      <c r="Q131" s="4">
        <v>6614.438766</v>
      </c>
    </row>
    <row r="132">
      <c r="A132" s="2">
        <v>2.0</v>
      </c>
      <c r="B132" s="3" t="s">
        <v>78</v>
      </c>
      <c r="C132" s="2">
        <v>28.0</v>
      </c>
      <c r="D132" s="3" t="s">
        <v>201</v>
      </c>
      <c r="E132" s="2">
        <v>282.0</v>
      </c>
      <c r="F132" s="3" t="s">
        <v>207</v>
      </c>
      <c r="G132" s="2">
        <v>2822.0</v>
      </c>
      <c r="H132" s="3" t="s">
        <v>209</v>
      </c>
      <c r="I132" s="2">
        <v>2024.0</v>
      </c>
      <c r="J132" s="2">
        <v>20241.0</v>
      </c>
      <c r="K132" s="3" t="s">
        <v>21</v>
      </c>
      <c r="L132" s="4">
        <v>194.0</v>
      </c>
      <c r="M132" s="4">
        <v>4548.247423</v>
      </c>
      <c r="N132" s="4">
        <v>1.157667686</v>
      </c>
      <c r="O132" s="4">
        <v>2440.301212</v>
      </c>
      <c r="P132" s="4">
        <v>1.36251647E-4</v>
      </c>
      <c r="Q132" s="4">
        <v>2107.94621</v>
      </c>
    </row>
    <row r="133">
      <c r="A133" s="2">
        <v>2.0</v>
      </c>
      <c r="B133" s="3" t="s">
        <v>78</v>
      </c>
      <c r="C133" s="2">
        <v>28.0</v>
      </c>
      <c r="D133" s="3" t="s">
        <v>201</v>
      </c>
      <c r="E133" s="2">
        <v>282.0</v>
      </c>
      <c r="F133" s="3" t="s">
        <v>207</v>
      </c>
      <c r="G133" s="2">
        <v>2823.0</v>
      </c>
      <c r="H133" s="3" t="s">
        <v>210</v>
      </c>
      <c r="I133" s="2">
        <v>2024.0</v>
      </c>
      <c r="J133" s="2">
        <v>20241.0</v>
      </c>
      <c r="K133" s="3" t="s">
        <v>21</v>
      </c>
      <c r="L133" s="4">
        <v>438.0</v>
      </c>
      <c r="M133" s="4">
        <v>23406.84932</v>
      </c>
      <c r="N133" s="4">
        <v>1.217798973</v>
      </c>
      <c r="O133" s="4">
        <v>12852.75961</v>
      </c>
      <c r="P133" s="4">
        <v>3.076196978E-4</v>
      </c>
      <c r="Q133" s="4">
        <v>10554.08971</v>
      </c>
    </row>
    <row r="134">
      <c r="A134" s="2">
        <v>2.0</v>
      </c>
      <c r="B134" s="3" t="s">
        <v>78</v>
      </c>
      <c r="C134" s="2">
        <v>28.0</v>
      </c>
      <c r="D134" s="3" t="s">
        <v>201</v>
      </c>
      <c r="E134" s="2">
        <v>282.0</v>
      </c>
      <c r="F134" s="3" t="s">
        <v>207</v>
      </c>
      <c r="G134" s="2">
        <v>2825.0</v>
      </c>
      <c r="H134" s="3" t="s">
        <v>211</v>
      </c>
      <c r="I134" s="2">
        <v>2024.0</v>
      </c>
      <c r="J134" s="2">
        <v>20241.0</v>
      </c>
      <c r="K134" s="3" t="s">
        <v>21</v>
      </c>
      <c r="L134" s="4">
        <v>79.0</v>
      </c>
      <c r="M134" s="4">
        <v>8000.0</v>
      </c>
      <c r="N134" s="4">
        <v>-0.5495179667</v>
      </c>
      <c r="O134" s="4">
        <v>-9758.754864</v>
      </c>
      <c r="P134" s="4">
        <v>5.548391809E-5</v>
      </c>
      <c r="Q134" s="4">
        <v>17758.75486</v>
      </c>
    </row>
    <row r="135">
      <c r="A135" s="2">
        <v>2.0</v>
      </c>
      <c r="B135" s="3" t="s">
        <v>78</v>
      </c>
      <c r="C135" s="2">
        <v>28.0</v>
      </c>
      <c r="D135" s="3" t="s">
        <v>201</v>
      </c>
      <c r="E135" s="2">
        <v>282.0</v>
      </c>
      <c r="F135" s="3" t="s">
        <v>207</v>
      </c>
      <c r="G135" s="2">
        <v>2826.0</v>
      </c>
      <c r="H135" s="3" t="s">
        <v>212</v>
      </c>
      <c r="I135" s="2">
        <v>2024.0</v>
      </c>
      <c r="J135" s="2">
        <v>20241.0</v>
      </c>
      <c r="K135" s="3" t="s">
        <v>21</v>
      </c>
      <c r="L135" s="4">
        <v>1282.0</v>
      </c>
      <c r="M135" s="4">
        <v>7128.471139</v>
      </c>
      <c r="N135" s="4">
        <v>-0.6684432028</v>
      </c>
      <c r="O135" s="4">
        <v>-14371.52886</v>
      </c>
      <c r="P135" s="4">
        <v>9.003845949E-4</v>
      </c>
      <c r="Q135" s="4">
        <v>21500.0</v>
      </c>
    </row>
    <row r="136">
      <c r="A136" s="2">
        <v>3.0</v>
      </c>
      <c r="B136" s="3" t="s">
        <v>213</v>
      </c>
      <c r="C136" s="2">
        <v>31.0</v>
      </c>
      <c r="D136" s="3" t="s">
        <v>214</v>
      </c>
      <c r="E136" s="2">
        <v>310.0</v>
      </c>
      <c r="F136" s="3" t="s">
        <v>215</v>
      </c>
      <c r="G136" s="2">
        <v>3101.0</v>
      </c>
      <c r="H136" s="3" t="s">
        <v>215</v>
      </c>
      <c r="I136" s="2">
        <v>2024.0</v>
      </c>
      <c r="J136" s="2">
        <v>20241.0</v>
      </c>
      <c r="K136" s="3" t="s">
        <v>21</v>
      </c>
      <c r="L136" s="4">
        <v>1117.0</v>
      </c>
      <c r="M136" s="4">
        <v>10953.98389</v>
      </c>
      <c r="N136" s="4">
        <v>1.922108671</v>
      </c>
      <c r="O136" s="4">
        <v>7205.326626</v>
      </c>
      <c r="P136" s="4">
        <v>7.845004621E-4</v>
      </c>
      <c r="Q136" s="4">
        <v>3748.65726</v>
      </c>
    </row>
    <row r="137">
      <c r="A137" s="2">
        <v>3.0</v>
      </c>
      <c r="B137" s="3" t="s">
        <v>213</v>
      </c>
      <c r="C137" s="2">
        <v>31.0</v>
      </c>
      <c r="D137" s="3" t="s">
        <v>214</v>
      </c>
      <c r="E137" s="2">
        <v>311.0</v>
      </c>
      <c r="F137" s="3" t="s">
        <v>216</v>
      </c>
      <c r="G137" s="2">
        <v>3111.0</v>
      </c>
      <c r="H137" s="3" t="s">
        <v>217</v>
      </c>
      <c r="I137" s="2">
        <v>2024.0</v>
      </c>
      <c r="J137" s="2">
        <v>20241.0</v>
      </c>
      <c r="K137" s="3" t="s">
        <v>21</v>
      </c>
      <c r="L137" s="4">
        <v>11109.0</v>
      </c>
      <c r="M137" s="4">
        <v>7054.179494</v>
      </c>
      <c r="N137" s="4">
        <v>0.1163569577</v>
      </c>
      <c r="O137" s="4">
        <v>735.2512644</v>
      </c>
      <c r="P137" s="4">
        <v>0.007802162609</v>
      </c>
      <c r="Q137" s="4">
        <v>6318.92823</v>
      </c>
    </row>
    <row r="138">
      <c r="A138" s="2">
        <v>3.0</v>
      </c>
      <c r="B138" s="3" t="s">
        <v>213</v>
      </c>
      <c r="C138" s="2">
        <v>31.0</v>
      </c>
      <c r="D138" s="3" t="s">
        <v>214</v>
      </c>
      <c r="E138" s="2">
        <v>311.0</v>
      </c>
      <c r="F138" s="3" t="s">
        <v>216</v>
      </c>
      <c r="G138" s="2">
        <v>3113.0</v>
      </c>
      <c r="H138" s="3" t="s">
        <v>218</v>
      </c>
      <c r="I138" s="2">
        <v>2024.0</v>
      </c>
      <c r="J138" s="2">
        <v>20241.0</v>
      </c>
      <c r="K138" s="3" t="s">
        <v>21</v>
      </c>
      <c r="L138" s="4">
        <v>3211.0</v>
      </c>
      <c r="M138" s="4">
        <v>5216.06976</v>
      </c>
      <c r="N138" s="4">
        <v>4.610175336</v>
      </c>
      <c r="O138" s="4">
        <v>4286.318113</v>
      </c>
      <c r="P138" s="4">
        <v>0.002255175456</v>
      </c>
      <c r="Q138" s="4">
        <v>929.7516472</v>
      </c>
    </row>
    <row r="139">
      <c r="A139" s="2">
        <v>3.0</v>
      </c>
      <c r="B139" s="3" t="s">
        <v>213</v>
      </c>
      <c r="C139" s="2">
        <v>31.0</v>
      </c>
      <c r="D139" s="3" t="s">
        <v>214</v>
      </c>
      <c r="E139" s="2">
        <v>311.0</v>
      </c>
      <c r="F139" s="3" t="s">
        <v>216</v>
      </c>
      <c r="G139" s="2">
        <v>3115.0</v>
      </c>
      <c r="H139" s="3" t="s">
        <v>219</v>
      </c>
      <c r="I139" s="2">
        <v>2024.0</v>
      </c>
      <c r="J139" s="2">
        <v>20241.0</v>
      </c>
      <c r="K139" s="3" t="s">
        <v>21</v>
      </c>
      <c r="L139" s="4">
        <v>18077.0</v>
      </c>
      <c r="M139" s="4">
        <v>5627.247884</v>
      </c>
      <c r="N139" s="4">
        <v>-0.1251526159</v>
      </c>
      <c r="O139" s="4">
        <v>-805.014458</v>
      </c>
      <c r="P139" s="4">
        <v>0.01269598465</v>
      </c>
      <c r="Q139" s="4">
        <v>6432.262342</v>
      </c>
    </row>
    <row r="140">
      <c r="A140" s="2">
        <v>3.0</v>
      </c>
      <c r="B140" s="3" t="s">
        <v>213</v>
      </c>
      <c r="C140" s="2">
        <v>31.0</v>
      </c>
      <c r="D140" s="3" t="s">
        <v>214</v>
      </c>
      <c r="E140" s="2">
        <v>312.0</v>
      </c>
      <c r="F140" s="3" t="s">
        <v>220</v>
      </c>
      <c r="G140" s="2">
        <v>3121.0</v>
      </c>
      <c r="H140" s="3" t="s">
        <v>221</v>
      </c>
      <c r="I140" s="2">
        <v>2024.0</v>
      </c>
      <c r="J140" s="2">
        <v>20241.0</v>
      </c>
      <c r="K140" s="3" t="s">
        <v>21</v>
      </c>
      <c r="L140" s="4">
        <v>8220.0</v>
      </c>
      <c r="M140" s="4">
        <v>5690.508516</v>
      </c>
      <c r="N140" s="4">
        <v>0.6165810021</v>
      </c>
      <c r="O140" s="4">
        <v>2170.419817</v>
      </c>
      <c r="P140" s="4">
        <v>0.005773136794</v>
      </c>
      <c r="Q140" s="4">
        <v>3520.088699</v>
      </c>
    </row>
    <row r="141">
      <c r="A141" s="2">
        <v>3.0</v>
      </c>
      <c r="B141" s="3" t="s">
        <v>213</v>
      </c>
      <c r="C141" s="2">
        <v>31.0</v>
      </c>
      <c r="D141" s="3" t="s">
        <v>214</v>
      </c>
      <c r="E141" s="2">
        <v>312.0</v>
      </c>
      <c r="F141" s="3" t="s">
        <v>220</v>
      </c>
      <c r="G141" s="2">
        <v>3122.0</v>
      </c>
      <c r="H141" s="3" t="s">
        <v>222</v>
      </c>
      <c r="I141" s="2">
        <v>2024.0</v>
      </c>
      <c r="J141" s="2">
        <v>20241.0</v>
      </c>
      <c r="K141" s="3" t="s">
        <v>21</v>
      </c>
      <c r="L141" s="4">
        <v>1721.0</v>
      </c>
      <c r="M141" s="4">
        <v>5389.871586</v>
      </c>
      <c r="N141" s="4">
        <v>-0.006945319558</v>
      </c>
      <c r="O141" s="4">
        <v>-37.69619265</v>
      </c>
      <c r="P141" s="4">
        <v>0.001208706621</v>
      </c>
      <c r="Q141" s="4">
        <v>5427.567779</v>
      </c>
    </row>
    <row r="142">
      <c r="A142" s="2">
        <v>3.0</v>
      </c>
      <c r="B142" s="3" t="s">
        <v>213</v>
      </c>
      <c r="C142" s="2">
        <v>31.0</v>
      </c>
      <c r="D142" s="3" t="s">
        <v>214</v>
      </c>
      <c r="E142" s="2">
        <v>313.0</v>
      </c>
      <c r="F142" s="3" t="s">
        <v>223</v>
      </c>
      <c r="G142" s="2">
        <v>3131.0</v>
      </c>
      <c r="H142" s="3" t="s">
        <v>224</v>
      </c>
      <c r="I142" s="2">
        <v>2024.0</v>
      </c>
      <c r="J142" s="2">
        <v>20241.0</v>
      </c>
      <c r="K142" s="3" t="s">
        <v>21</v>
      </c>
      <c r="L142" s="4">
        <v>2605.0</v>
      </c>
      <c r="M142" s="4">
        <v>10647.14012</v>
      </c>
      <c r="N142" s="4">
        <v>0.825150766</v>
      </c>
      <c r="O142" s="4">
        <v>4813.572657</v>
      </c>
      <c r="P142" s="4">
        <v>0.001829564641</v>
      </c>
      <c r="Q142" s="4">
        <v>5833.567458</v>
      </c>
    </row>
    <row r="143">
      <c r="A143" s="2">
        <v>3.0</v>
      </c>
      <c r="B143" s="3" t="s">
        <v>213</v>
      </c>
      <c r="C143" s="2">
        <v>31.0</v>
      </c>
      <c r="D143" s="3" t="s">
        <v>214</v>
      </c>
      <c r="E143" s="2">
        <v>313.0</v>
      </c>
      <c r="F143" s="3" t="s">
        <v>223</v>
      </c>
      <c r="G143" s="2">
        <v>3132.0</v>
      </c>
      <c r="H143" s="3" t="s">
        <v>225</v>
      </c>
      <c r="I143" s="2">
        <v>2024.0</v>
      </c>
      <c r="J143" s="2">
        <v>20241.0</v>
      </c>
      <c r="K143" s="3" t="s">
        <v>21</v>
      </c>
      <c r="L143" s="4">
        <v>11088.0</v>
      </c>
      <c r="M143" s="4">
        <v>5219.761905</v>
      </c>
      <c r="N143" s="4">
        <v>-0.1200259935</v>
      </c>
      <c r="O143" s="4">
        <v>-711.9609259</v>
      </c>
      <c r="P143" s="4">
        <v>0.007787413719</v>
      </c>
      <c r="Q143" s="4">
        <v>5931.722831</v>
      </c>
    </row>
    <row r="144">
      <c r="A144" s="2">
        <v>3.0</v>
      </c>
      <c r="B144" s="3" t="s">
        <v>213</v>
      </c>
      <c r="C144" s="2">
        <v>31.0</v>
      </c>
      <c r="D144" s="3" t="s">
        <v>214</v>
      </c>
      <c r="E144" s="2">
        <v>314.0</v>
      </c>
      <c r="F144" s="3" t="s">
        <v>226</v>
      </c>
      <c r="G144" s="2">
        <v>3142.0</v>
      </c>
      <c r="H144" s="3" t="s">
        <v>227</v>
      </c>
      <c r="I144" s="2">
        <v>2024.0</v>
      </c>
      <c r="J144" s="2">
        <v>20241.0</v>
      </c>
      <c r="K144" s="3" t="s">
        <v>21</v>
      </c>
      <c r="L144" s="4">
        <v>580.0</v>
      </c>
      <c r="M144" s="4">
        <v>4631.396552</v>
      </c>
      <c r="N144" s="4">
        <v>-0.2499171439</v>
      </c>
      <c r="O144" s="4">
        <v>-1543.116723</v>
      </c>
      <c r="P144" s="4">
        <v>4.073502847E-4</v>
      </c>
      <c r="Q144" s="4">
        <v>6174.513274</v>
      </c>
    </row>
    <row r="145">
      <c r="A145" s="2">
        <v>3.0</v>
      </c>
      <c r="B145" s="3" t="s">
        <v>213</v>
      </c>
      <c r="C145" s="2">
        <v>32.0</v>
      </c>
      <c r="D145" s="3" t="s">
        <v>228</v>
      </c>
      <c r="E145" s="2">
        <v>321.0</v>
      </c>
      <c r="F145" s="3" t="s">
        <v>229</v>
      </c>
      <c r="G145" s="2">
        <v>3211.0</v>
      </c>
      <c r="H145" s="3" t="s">
        <v>230</v>
      </c>
      <c r="I145" s="2">
        <v>2024.0</v>
      </c>
      <c r="J145" s="2">
        <v>20241.0</v>
      </c>
      <c r="K145" s="3" t="s">
        <v>21</v>
      </c>
      <c r="L145" s="4">
        <v>5724.0</v>
      </c>
      <c r="M145" s="4">
        <v>4502.954228</v>
      </c>
      <c r="N145" s="4">
        <v>0.055886075</v>
      </c>
      <c r="O145" s="4">
        <v>238.3329449</v>
      </c>
      <c r="P145" s="4">
        <v>0.004020125913</v>
      </c>
      <c r="Q145" s="4">
        <v>4264.621283</v>
      </c>
    </row>
    <row r="146">
      <c r="A146" s="2">
        <v>3.0</v>
      </c>
      <c r="B146" s="3" t="s">
        <v>213</v>
      </c>
      <c r="C146" s="2">
        <v>32.0</v>
      </c>
      <c r="D146" s="3" t="s">
        <v>228</v>
      </c>
      <c r="E146" s="2">
        <v>321.0</v>
      </c>
      <c r="F146" s="3" t="s">
        <v>229</v>
      </c>
      <c r="G146" s="2">
        <v>3212.0</v>
      </c>
      <c r="H146" s="3" t="s">
        <v>231</v>
      </c>
      <c r="I146" s="2">
        <v>2024.0</v>
      </c>
      <c r="J146" s="2">
        <v>20241.0</v>
      </c>
      <c r="K146" s="3" t="s">
        <v>21</v>
      </c>
      <c r="L146" s="4">
        <v>892.0</v>
      </c>
      <c r="M146" s="4">
        <v>10096.97309</v>
      </c>
      <c r="N146" s="4">
        <v>0.9814658988</v>
      </c>
      <c r="O146" s="4">
        <v>5001.264356</v>
      </c>
      <c r="P146" s="4">
        <v>6.264766448E-4</v>
      </c>
      <c r="Q146" s="4">
        <v>5095.708738</v>
      </c>
    </row>
    <row r="147">
      <c r="A147" s="2">
        <v>3.0</v>
      </c>
      <c r="B147" s="3" t="s">
        <v>213</v>
      </c>
      <c r="C147" s="2">
        <v>32.0</v>
      </c>
      <c r="D147" s="3" t="s">
        <v>228</v>
      </c>
      <c r="E147" s="2">
        <v>321.0</v>
      </c>
      <c r="F147" s="3" t="s">
        <v>229</v>
      </c>
      <c r="G147" s="2">
        <v>3213.0</v>
      </c>
      <c r="H147" s="3" t="s">
        <v>232</v>
      </c>
      <c r="I147" s="2">
        <v>2024.0</v>
      </c>
      <c r="J147" s="2">
        <v>20241.0</v>
      </c>
      <c r="K147" s="3" t="s">
        <v>21</v>
      </c>
      <c r="L147" s="4">
        <v>783.0</v>
      </c>
      <c r="M147" s="4">
        <v>8066.743295</v>
      </c>
      <c r="N147" s="4">
        <v>0.9411402767</v>
      </c>
      <c r="O147" s="4">
        <v>3911.07078</v>
      </c>
      <c r="P147" s="4">
        <v>5.499228844E-4</v>
      </c>
      <c r="Q147" s="4">
        <v>4155.672515</v>
      </c>
    </row>
    <row r="148">
      <c r="A148" s="2">
        <v>3.0</v>
      </c>
      <c r="B148" s="3" t="s">
        <v>213</v>
      </c>
      <c r="C148" s="2">
        <v>32.0</v>
      </c>
      <c r="D148" s="3" t="s">
        <v>228</v>
      </c>
      <c r="E148" s="2">
        <v>322.0</v>
      </c>
      <c r="F148" s="3" t="s">
        <v>233</v>
      </c>
      <c r="G148" s="2">
        <v>3221.0</v>
      </c>
      <c r="H148" s="3" t="s">
        <v>234</v>
      </c>
      <c r="I148" s="2">
        <v>2024.0</v>
      </c>
      <c r="J148" s="2">
        <v>20241.0</v>
      </c>
      <c r="K148" s="3" t="s">
        <v>21</v>
      </c>
      <c r="L148" s="4">
        <v>154.0</v>
      </c>
      <c r="M148" s="4">
        <v>9233.766234</v>
      </c>
      <c r="N148" s="4">
        <v>1.0</v>
      </c>
      <c r="O148" s="4">
        <v>9233.766234</v>
      </c>
      <c r="P148" s="4">
        <v>1.081585239E-4</v>
      </c>
      <c r="Q148" s="4">
        <v>0.0</v>
      </c>
    </row>
    <row r="149">
      <c r="A149" s="2">
        <v>3.0</v>
      </c>
      <c r="B149" s="3" t="s">
        <v>213</v>
      </c>
      <c r="C149" s="2">
        <v>32.0</v>
      </c>
      <c r="D149" s="3" t="s">
        <v>228</v>
      </c>
      <c r="E149" s="2">
        <v>322.0</v>
      </c>
      <c r="F149" s="3" t="s">
        <v>233</v>
      </c>
      <c r="G149" s="2">
        <v>3222.0</v>
      </c>
      <c r="H149" s="3" t="s">
        <v>235</v>
      </c>
      <c r="I149" s="2">
        <v>2024.0</v>
      </c>
      <c r="J149" s="2">
        <v>20241.0</v>
      </c>
      <c r="K149" s="3" t="s">
        <v>21</v>
      </c>
      <c r="L149" s="4">
        <v>911.0</v>
      </c>
      <c r="M149" s="4">
        <v>3333.040615</v>
      </c>
      <c r="N149" s="4">
        <v>10.71659949</v>
      </c>
      <c r="O149" s="4">
        <v>3048.568945</v>
      </c>
      <c r="P149" s="4">
        <v>6.398208782E-4</v>
      </c>
      <c r="Q149" s="4">
        <v>284.4716692</v>
      </c>
    </row>
    <row r="150">
      <c r="A150" s="2">
        <v>3.0</v>
      </c>
      <c r="B150" s="3" t="s">
        <v>213</v>
      </c>
      <c r="C150" s="2">
        <v>32.0</v>
      </c>
      <c r="D150" s="3" t="s">
        <v>228</v>
      </c>
      <c r="E150" s="2">
        <v>323.0</v>
      </c>
      <c r="F150" s="3" t="s">
        <v>236</v>
      </c>
      <c r="G150" s="2">
        <v>3231.0</v>
      </c>
      <c r="H150" s="3" t="s">
        <v>237</v>
      </c>
      <c r="I150" s="2">
        <v>2024.0</v>
      </c>
      <c r="J150" s="2">
        <v>20241.0</v>
      </c>
      <c r="K150" s="3" t="s">
        <v>21</v>
      </c>
      <c r="L150" s="4">
        <v>526.0</v>
      </c>
      <c r="M150" s="4">
        <v>1096.577947</v>
      </c>
      <c r="N150" s="4">
        <v>-0.816860178</v>
      </c>
      <c r="O150" s="4">
        <v>-4891.076374</v>
      </c>
      <c r="P150" s="4">
        <v>3.694245686E-4</v>
      </c>
      <c r="Q150" s="4">
        <v>5987.654321</v>
      </c>
    </row>
    <row r="151">
      <c r="A151" s="2">
        <v>4.0</v>
      </c>
      <c r="B151" s="3" t="s">
        <v>238</v>
      </c>
      <c r="C151" s="2">
        <v>41.0</v>
      </c>
      <c r="D151" s="3" t="s">
        <v>239</v>
      </c>
      <c r="E151" s="2">
        <v>411.0</v>
      </c>
      <c r="F151" s="3" t="s">
        <v>239</v>
      </c>
      <c r="G151" s="2">
        <v>4111.0</v>
      </c>
      <c r="H151" s="3" t="s">
        <v>239</v>
      </c>
      <c r="I151" s="2">
        <v>2024.0</v>
      </c>
      <c r="J151" s="2">
        <v>20241.0</v>
      </c>
      <c r="K151" s="3" t="s">
        <v>21</v>
      </c>
      <c r="L151" s="4">
        <v>76981.0</v>
      </c>
      <c r="M151" s="4">
        <v>4370.263234</v>
      </c>
      <c r="N151" s="4">
        <v>-0.09873489473</v>
      </c>
      <c r="O151" s="4">
        <v>-478.7686529</v>
      </c>
      <c r="P151" s="4">
        <v>0.0540659177</v>
      </c>
      <c r="Q151" s="4">
        <v>4849.031887</v>
      </c>
    </row>
    <row r="152">
      <c r="A152" s="2">
        <v>4.0</v>
      </c>
      <c r="B152" s="3" t="s">
        <v>238</v>
      </c>
      <c r="C152" s="2">
        <v>42.0</v>
      </c>
      <c r="D152" s="3" t="s">
        <v>240</v>
      </c>
      <c r="E152" s="2">
        <v>420.0</v>
      </c>
      <c r="F152" s="3" t="s">
        <v>241</v>
      </c>
      <c r="G152" s="2">
        <v>4201.0</v>
      </c>
      <c r="H152" s="3" t="s">
        <v>241</v>
      </c>
      <c r="I152" s="2">
        <v>2024.0</v>
      </c>
      <c r="J152" s="2">
        <v>20241.0</v>
      </c>
      <c r="K152" s="3" t="s">
        <v>21</v>
      </c>
      <c r="L152" s="4">
        <v>9739.0</v>
      </c>
      <c r="M152" s="4">
        <v>4560.371907</v>
      </c>
      <c r="N152" s="4">
        <v>-0.1451514527</v>
      </c>
      <c r="O152" s="4">
        <v>-774.3413841</v>
      </c>
      <c r="P152" s="4">
        <v>0.006839973143</v>
      </c>
      <c r="Q152" s="4">
        <v>5334.713291</v>
      </c>
    </row>
    <row r="153">
      <c r="A153" s="2">
        <v>4.0</v>
      </c>
      <c r="B153" s="3" t="s">
        <v>238</v>
      </c>
      <c r="C153" s="2">
        <v>42.0</v>
      </c>
      <c r="D153" s="3" t="s">
        <v>240</v>
      </c>
      <c r="E153" s="2">
        <v>421.0</v>
      </c>
      <c r="F153" s="3" t="s">
        <v>242</v>
      </c>
      <c r="G153" s="2">
        <v>4211.0</v>
      </c>
      <c r="H153" s="3" t="s">
        <v>243</v>
      </c>
      <c r="I153" s="2">
        <v>2024.0</v>
      </c>
      <c r="J153" s="2">
        <v>20241.0</v>
      </c>
      <c r="K153" s="3" t="s">
        <v>21</v>
      </c>
      <c r="L153" s="4">
        <v>92052.0</v>
      </c>
      <c r="M153" s="4">
        <v>3955.10934</v>
      </c>
      <c r="N153" s="4">
        <v>0.314745158</v>
      </c>
      <c r="O153" s="4">
        <v>946.8386376</v>
      </c>
      <c r="P153" s="4">
        <v>0.06465070415</v>
      </c>
      <c r="Q153" s="4">
        <v>3008.270703</v>
      </c>
    </row>
    <row r="154">
      <c r="A154" s="2">
        <v>4.0</v>
      </c>
      <c r="B154" s="3" t="s">
        <v>238</v>
      </c>
      <c r="C154" s="2">
        <v>42.0</v>
      </c>
      <c r="D154" s="3" t="s">
        <v>240</v>
      </c>
      <c r="E154" s="2">
        <v>421.0</v>
      </c>
      <c r="F154" s="3" t="s">
        <v>242</v>
      </c>
      <c r="G154" s="2">
        <v>4212.0</v>
      </c>
      <c r="H154" s="3" t="s">
        <v>244</v>
      </c>
      <c r="I154" s="2">
        <v>2024.0</v>
      </c>
      <c r="J154" s="2">
        <v>20241.0</v>
      </c>
      <c r="K154" s="3" t="s">
        <v>21</v>
      </c>
      <c r="L154" s="4">
        <v>6375.0</v>
      </c>
      <c r="M154" s="4">
        <v>2933.102118</v>
      </c>
      <c r="N154" s="4">
        <v>-0.2152227545</v>
      </c>
      <c r="O154" s="4">
        <v>-804.3942668</v>
      </c>
      <c r="P154" s="4">
        <v>0.004477341492</v>
      </c>
      <c r="Q154" s="4">
        <v>3737.496384</v>
      </c>
    </row>
    <row r="155">
      <c r="A155" s="2">
        <v>4.0</v>
      </c>
      <c r="B155" s="3" t="s">
        <v>238</v>
      </c>
      <c r="C155" s="2">
        <v>42.0</v>
      </c>
      <c r="D155" s="3" t="s">
        <v>240</v>
      </c>
      <c r="E155" s="2">
        <v>421.0</v>
      </c>
      <c r="F155" s="3" t="s">
        <v>242</v>
      </c>
      <c r="G155" s="2">
        <v>4213.0</v>
      </c>
      <c r="H155" s="3" t="s">
        <v>245</v>
      </c>
      <c r="I155" s="2">
        <v>2024.0</v>
      </c>
      <c r="J155" s="2">
        <v>20241.0</v>
      </c>
      <c r="K155" s="3" t="s">
        <v>21</v>
      </c>
      <c r="L155" s="4">
        <v>232.0</v>
      </c>
      <c r="M155" s="4">
        <v>10810.34483</v>
      </c>
      <c r="N155" s="4">
        <v>1.0</v>
      </c>
      <c r="O155" s="4">
        <v>10810.34483</v>
      </c>
      <c r="P155" s="4">
        <v>1.629401139E-4</v>
      </c>
      <c r="Q155" s="4">
        <v>0.0</v>
      </c>
    </row>
    <row r="156">
      <c r="A156" s="2">
        <v>4.0</v>
      </c>
      <c r="B156" s="3" t="s">
        <v>238</v>
      </c>
      <c r="C156" s="2">
        <v>42.0</v>
      </c>
      <c r="D156" s="3" t="s">
        <v>240</v>
      </c>
      <c r="E156" s="2">
        <v>421.0</v>
      </c>
      <c r="F156" s="3" t="s">
        <v>242</v>
      </c>
      <c r="G156" s="2">
        <v>4214.0</v>
      </c>
      <c r="H156" s="3" t="s">
        <v>246</v>
      </c>
      <c r="I156" s="2">
        <v>2024.0</v>
      </c>
      <c r="J156" s="2">
        <v>20241.0</v>
      </c>
      <c r="K156" s="3" t="s">
        <v>21</v>
      </c>
      <c r="L156" s="4">
        <v>5279.0</v>
      </c>
      <c r="M156" s="4">
        <v>3617.522258</v>
      </c>
      <c r="N156" s="4">
        <v>-0.5821371612</v>
      </c>
      <c r="O156" s="4">
        <v>-5039.677958</v>
      </c>
      <c r="P156" s="4">
        <v>0.003707589919</v>
      </c>
      <c r="Q156" s="4">
        <v>8657.200216</v>
      </c>
    </row>
    <row r="157">
      <c r="A157" s="2">
        <v>4.0</v>
      </c>
      <c r="B157" s="3" t="s">
        <v>238</v>
      </c>
      <c r="C157" s="2">
        <v>42.0</v>
      </c>
      <c r="D157" s="3" t="s">
        <v>240</v>
      </c>
      <c r="E157" s="2">
        <v>422.0</v>
      </c>
      <c r="F157" s="3" t="s">
        <v>247</v>
      </c>
      <c r="G157" s="2">
        <v>4221.0</v>
      </c>
      <c r="H157" s="3" t="s">
        <v>248</v>
      </c>
      <c r="I157" s="2">
        <v>2024.0</v>
      </c>
      <c r="J157" s="2">
        <v>20241.0</v>
      </c>
      <c r="K157" s="3" t="s">
        <v>21</v>
      </c>
      <c r="L157" s="4">
        <v>4561.0</v>
      </c>
      <c r="M157" s="4">
        <v>7068.327121</v>
      </c>
      <c r="N157" s="4">
        <v>-0.1040235341</v>
      </c>
      <c r="O157" s="4">
        <v>-820.6380363</v>
      </c>
      <c r="P157" s="4">
        <v>0.00320331836</v>
      </c>
      <c r="Q157" s="4">
        <v>7888.965158</v>
      </c>
    </row>
    <row r="158">
      <c r="A158" s="2">
        <v>4.0</v>
      </c>
      <c r="B158" s="3" t="s">
        <v>238</v>
      </c>
      <c r="C158" s="2">
        <v>42.0</v>
      </c>
      <c r="D158" s="3" t="s">
        <v>240</v>
      </c>
      <c r="E158" s="2">
        <v>422.0</v>
      </c>
      <c r="F158" s="3" t="s">
        <v>247</v>
      </c>
      <c r="G158" s="2">
        <v>4222.0</v>
      </c>
      <c r="H158" s="3" t="s">
        <v>249</v>
      </c>
      <c r="I158" s="2">
        <v>2024.0</v>
      </c>
      <c r="J158" s="2">
        <v>20241.0</v>
      </c>
      <c r="K158" s="3" t="s">
        <v>21</v>
      </c>
      <c r="L158" s="4">
        <v>2651.0</v>
      </c>
      <c r="M158" s="4">
        <v>10253.56469</v>
      </c>
      <c r="N158" s="4">
        <v>0.1148871582</v>
      </c>
      <c r="O158" s="4">
        <v>1056.611784</v>
      </c>
      <c r="P158" s="4">
        <v>0.001861871732</v>
      </c>
      <c r="Q158" s="4">
        <v>9196.952909</v>
      </c>
    </row>
    <row r="159">
      <c r="A159" s="2">
        <v>4.0</v>
      </c>
      <c r="B159" s="3" t="s">
        <v>238</v>
      </c>
      <c r="C159" s="2">
        <v>42.0</v>
      </c>
      <c r="D159" s="3" t="s">
        <v>240</v>
      </c>
      <c r="E159" s="2">
        <v>422.0</v>
      </c>
      <c r="F159" s="3" t="s">
        <v>247</v>
      </c>
      <c r="G159" s="2">
        <v>4223.0</v>
      </c>
      <c r="H159" s="3" t="s">
        <v>250</v>
      </c>
      <c r="I159" s="2">
        <v>2024.0</v>
      </c>
      <c r="J159" s="2">
        <v>20241.0</v>
      </c>
      <c r="K159" s="3" t="s">
        <v>21</v>
      </c>
      <c r="L159" s="4">
        <v>1822.0</v>
      </c>
      <c r="M159" s="4">
        <v>8806.081229</v>
      </c>
      <c r="N159" s="4">
        <v>1.077092198</v>
      </c>
      <c r="O159" s="4">
        <v>4566.46142</v>
      </c>
      <c r="P159" s="4">
        <v>0.001279641756</v>
      </c>
      <c r="Q159" s="4">
        <v>4239.61981</v>
      </c>
    </row>
    <row r="160">
      <c r="A160" s="2">
        <v>4.0</v>
      </c>
      <c r="B160" s="3" t="s">
        <v>238</v>
      </c>
      <c r="C160" s="2">
        <v>42.0</v>
      </c>
      <c r="D160" s="3" t="s">
        <v>240</v>
      </c>
      <c r="E160" s="2">
        <v>422.0</v>
      </c>
      <c r="F160" s="3" t="s">
        <v>247</v>
      </c>
      <c r="G160" s="2">
        <v>4224.0</v>
      </c>
      <c r="H160" s="3" t="s">
        <v>251</v>
      </c>
      <c r="I160" s="2">
        <v>2024.0</v>
      </c>
      <c r="J160" s="2">
        <v>20241.0</v>
      </c>
      <c r="K160" s="3" t="s">
        <v>21</v>
      </c>
      <c r="L160" s="4">
        <v>7168.0</v>
      </c>
      <c r="M160" s="4">
        <v>2515.728237</v>
      </c>
      <c r="N160" s="4">
        <v>0.3220274972</v>
      </c>
      <c r="O160" s="4">
        <v>612.7963824</v>
      </c>
      <c r="P160" s="4">
        <v>0.005034287657</v>
      </c>
      <c r="Q160" s="4">
        <v>1902.931854</v>
      </c>
    </row>
    <row r="161">
      <c r="A161" s="2">
        <v>4.0</v>
      </c>
      <c r="B161" s="3" t="s">
        <v>238</v>
      </c>
      <c r="C161" s="2">
        <v>42.0</v>
      </c>
      <c r="D161" s="3" t="s">
        <v>240</v>
      </c>
      <c r="E161" s="2">
        <v>423.0</v>
      </c>
      <c r="F161" s="3" t="s">
        <v>252</v>
      </c>
      <c r="G161" s="2">
        <v>4231.0</v>
      </c>
      <c r="H161" s="3" t="s">
        <v>253</v>
      </c>
      <c r="I161" s="2">
        <v>2024.0</v>
      </c>
      <c r="J161" s="2">
        <v>20241.0</v>
      </c>
      <c r="K161" s="3" t="s">
        <v>21</v>
      </c>
      <c r="L161" s="4">
        <v>1579.0</v>
      </c>
      <c r="M161" s="4">
        <v>3846.738442</v>
      </c>
      <c r="N161" s="4">
        <v>-0.5173554468</v>
      </c>
      <c r="O161" s="4">
        <v>-4123.388677</v>
      </c>
      <c r="P161" s="4">
        <v>0.001108976034</v>
      </c>
      <c r="Q161" s="4">
        <v>7970.127119</v>
      </c>
    </row>
    <row r="162">
      <c r="A162" s="2">
        <v>4.0</v>
      </c>
      <c r="B162" s="3" t="s">
        <v>238</v>
      </c>
      <c r="C162" s="2">
        <v>42.0</v>
      </c>
      <c r="D162" s="3" t="s">
        <v>240</v>
      </c>
      <c r="E162" s="2">
        <v>423.0</v>
      </c>
      <c r="F162" s="3" t="s">
        <v>252</v>
      </c>
      <c r="G162" s="2">
        <v>4233.0</v>
      </c>
      <c r="H162" s="3" t="s">
        <v>254</v>
      </c>
      <c r="I162" s="2">
        <v>2024.0</v>
      </c>
      <c r="J162" s="2">
        <v>20241.0</v>
      </c>
      <c r="K162" s="3" t="s">
        <v>21</v>
      </c>
      <c r="L162" s="4">
        <v>639.0</v>
      </c>
      <c r="M162" s="4">
        <v>0.0</v>
      </c>
      <c r="N162" s="4">
        <v>1.0</v>
      </c>
      <c r="O162" s="4">
        <v>0.0</v>
      </c>
      <c r="P162" s="4">
        <v>4.487876413E-4</v>
      </c>
      <c r="Q162" s="4">
        <v>0.0</v>
      </c>
    </row>
    <row r="163">
      <c r="A163" s="2">
        <v>4.0</v>
      </c>
      <c r="B163" s="3" t="s">
        <v>238</v>
      </c>
      <c r="C163" s="2">
        <v>43.0</v>
      </c>
      <c r="D163" s="3" t="s">
        <v>255</v>
      </c>
      <c r="E163" s="2">
        <v>431.0</v>
      </c>
      <c r="F163" s="3" t="s">
        <v>255</v>
      </c>
      <c r="G163" s="2">
        <v>4311.0</v>
      </c>
      <c r="H163" s="3" t="s">
        <v>256</v>
      </c>
      <c r="I163" s="2">
        <v>2024.0</v>
      </c>
      <c r="J163" s="2">
        <v>20241.0</v>
      </c>
      <c r="K163" s="3" t="s">
        <v>21</v>
      </c>
      <c r="L163" s="4">
        <v>141.0</v>
      </c>
      <c r="M163" s="4">
        <v>7148.93617</v>
      </c>
      <c r="N163" s="4">
        <v>0.4721882879</v>
      </c>
      <c r="O163" s="4">
        <v>2292.943069</v>
      </c>
      <c r="P163" s="4">
        <v>9.902825887E-5</v>
      </c>
      <c r="Q163" s="4">
        <v>4855.993101</v>
      </c>
    </row>
    <row r="164">
      <c r="A164" s="2">
        <v>4.0</v>
      </c>
      <c r="B164" s="3" t="s">
        <v>238</v>
      </c>
      <c r="C164" s="2">
        <v>43.0</v>
      </c>
      <c r="D164" s="3" t="s">
        <v>255</v>
      </c>
      <c r="E164" s="2">
        <v>431.0</v>
      </c>
      <c r="F164" s="3" t="s">
        <v>255</v>
      </c>
      <c r="G164" s="2">
        <v>4312.0</v>
      </c>
      <c r="H164" s="3" t="s">
        <v>257</v>
      </c>
      <c r="I164" s="2">
        <v>2024.0</v>
      </c>
      <c r="J164" s="2">
        <v>20241.0</v>
      </c>
      <c r="K164" s="3" t="s">
        <v>21</v>
      </c>
      <c r="L164" s="4">
        <v>3903.0</v>
      </c>
      <c r="M164" s="4">
        <v>6646.169613</v>
      </c>
      <c r="N164" s="4">
        <v>1.263324508</v>
      </c>
      <c r="O164" s="4">
        <v>3709.706198</v>
      </c>
      <c r="P164" s="4">
        <v>0.002741186485</v>
      </c>
      <c r="Q164" s="4">
        <v>2936.463415</v>
      </c>
    </row>
    <row r="165">
      <c r="A165" s="2">
        <v>5.0</v>
      </c>
      <c r="B165" s="3" t="s">
        <v>258</v>
      </c>
      <c r="C165" s="2">
        <v>51.0</v>
      </c>
      <c r="D165" s="3" t="s">
        <v>259</v>
      </c>
      <c r="E165" s="2">
        <v>510.0</v>
      </c>
      <c r="F165" s="3" t="s">
        <v>260</v>
      </c>
      <c r="G165" s="2">
        <v>5101.0</v>
      </c>
      <c r="H165" s="3" t="s">
        <v>260</v>
      </c>
      <c r="I165" s="2">
        <v>2024.0</v>
      </c>
      <c r="J165" s="2">
        <v>20241.0</v>
      </c>
      <c r="K165" s="3" t="s">
        <v>21</v>
      </c>
      <c r="L165" s="4">
        <v>2053.0</v>
      </c>
      <c r="M165" s="4">
        <v>9163.711642</v>
      </c>
      <c r="N165" s="4">
        <v>-0.1603395035</v>
      </c>
      <c r="O165" s="4">
        <v>-1749.87984</v>
      </c>
      <c r="P165" s="4">
        <v>0.001441879542</v>
      </c>
      <c r="Q165" s="4">
        <v>10913.59148</v>
      </c>
    </row>
    <row r="166">
      <c r="A166" s="2">
        <v>5.0</v>
      </c>
      <c r="B166" s="3" t="s">
        <v>258</v>
      </c>
      <c r="C166" s="2">
        <v>51.0</v>
      </c>
      <c r="D166" s="3" t="s">
        <v>259</v>
      </c>
      <c r="E166" s="2">
        <v>511.0</v>
      </c>
      <c r="F166" s="3" t="s">
        <v>259</v>
      </c>
      <c r="G166" s="2">
        <v>5111.0</v>
      </c>
      <c r="H166" s="3" t="s">
        <v>261</v>
      </c>
      <c r="I166" s="2">
        <v>2024.0</v>
      </c>
      <c r="J166" s="2">
        <v>20241.0</v>
      </c>
      <c r="K166" s="3" t="s">
        <v>21</v>
      </c>
      <c r="L166" s="4">
        <v>7066.0</v>
      </c>
      <c r="M166" s="4">
        <v>4925.51302</v>
      </c>
      <c r="N166" s="4">
        <v>-0.005165215507</v>
      </c>
      <c r="O166" s="4">
        <v>-25.5734285</v>
      </c>
      <c r="P166" s="4">
        <v>0.004962650193</v>
      </c>
      <c r="Q166" s="4">
        <v>4951.086449</v>
      </c>
    </row>
    <row r="167">
      <c r="A167" s="2">
        <v>5.0</v>
      </c>
      <c r="B167" s="3" t="s">
        <v>258</v>
      </c>
      <c r="C167" s="2">
        <v>51.0</v>
      </c>
      <c r="D167" s="3" t="s">
        <v>259</v>
      </c>
      <c r="E167" s="2">
        <v>511.0</v>
      </c>
      <c r="F167" s="3" t="s">
        <v>259</v>
      </c>
      <c r="G167" s="2">
        <v>5112.0</v>
      </c>
      <c r="H167" s="3" t="s">
        <v>262</v>
      </c>
      <c r="I167" s="2">
        <v>2024.0</v>
      </c>
      <c r="J167" s="2">
        <v>20241.0</v>
      </c>
      <c r="K167" s="3" t="s">
        <v>21</v>
      </c>
      <c r="L167" s="4">
        <v>16934.0</v>
      </c>
      <c r="M167" s="4">
        <v>7353.009803</v>
      </c>
      <c r="N167" s="4">
        <v>0.5634644121</v>
      </c>
      <c r="O167" s="4">
        <v>2649.986347</v>
      </c>
      <c r="P167" s="4">
        <v>0.01189322366</v>
      </c>
      <c r="Q167" s="4">
        <v>4703.023456</v>
      </c>
    </row>
    <row r="168">
      <c r="A168" s="2">
        <v>5.0</v>
      </c>
      <c r="B168" s="3" t="s">
        <v>258</v>
      </c>
      <c r="C168" s="2">
        <v>51.0</v>
      </c>
      <c r="D168" s="3" t="s">
        <v>259</v>
      </c>
      <c r="E168" s="2">
        <v>511.0</v>
      </c>
      <c r="F168" s="3" t="s">
        <v>259</v>
      </c>
      <c r="G168" s="2">
        <v>5113.0</v>
      </c>
      <c r="H168" s="3" t="s">
        <v>263</v>
      </c>
      <c r="I168" s="2">
        <v>2024.0</v>
      </c>
      <c r="J168" s="2">
        <v>20241.0</v>
      </c>
      <c r="K168" s="3" t="s">
        <v>21</v>
      </c>
      <c r="L168" s="4">
        <v>773.0</v>
      </c>
      <c r="M168" s="4">
        <v>5030.109961</v>
      </c>
      <c r="N168" s="4">
        <v>1.0</v>
      </c>
      <c r="O168" s="4">
        <v>5030.109961</v>
      </c>
      <c r="P168" s="4">
        <v>5.428996036E-4</v>
      </c>
      <c r="Q168" s="4">
        <v>0.0</v>
      </c>
    </row>
    <row r="169">
      <c r="A169" s="2">
        <v>5.0</v>
      </c>
      <c r="B169" s="3" t="s">
        <v>258</v>
      </c>
      <c r="C169" s="2">
        <v>51.0</v>
      </c>
      <c r="D169" s="3" t="s">
        <v>259</v>
      </c>
      <c r="E169" s="2">
        <v>511.0</v>
      </c>
      <c r="F169" s="3" t="s">
        <v>259</v>
      </c>
      <c r="G169" s="2">
        <v>5114.0</v>
      </c>
      <c r="H169" s="3" t="s">
        <v>264</v>
      </c>
      <c r="I169" s="2">
        <v>2024.0</v>
      </c>
      <c r="J169" s="2">
        <v>20241.0</v>
      </c>
      <c r="K169" s="3" t="s">
        <v>21</v>
      </c>
      <c r="L169" s="4">
        <v>27572.0</v>
      </c>
      <c r="M169" s="4">
        <v>5511.57805</v>
      </c>
      <c r="N169" s="4">
        <v>0.1607507035</v>
      </c>
      <c r="O169" s="4">
        <v>763.2905551</v>
      </c>
      <c r="P169" s="4">
        <v>0.01936458974</v>
      </c>
      <c r="Q169" s="4">
        <v>4748.287495</v>
      </c>
    </row>
    <row r="170">
      <c r="A170" s="2">
        <v>5.0</v>
      </c>
      <c r="B170" s="3" t="s">
        <v>258</v>
      </c>
      <c r="C170" s="2">
        <v>51.0</v>
      </c>
      <c r="D170" s="3" t="s">
        <v>259</v>
      </c>
      <c r="E170" s="2">
        <v>511.0</v>
      </c>
      <c r="F170" s="3" t="s">
        <v>259</v>
      </c>
      <c r="G170" s="2">
        <v>5115.0</v>
      </c>
      <c r="H170" s="3" t="s">
        <v>265</v>
      </c>
      <c r="I170" s="2">
        <v>2024.0</v>
      </c>
      <c r="J170" s="2">
        <v>20241.0</v>
      </c>
      <c r="K170" s="3" t="s">
        <v>21</v>
      </c>
      <c r="L170" s="4">
        <v>1573.0</v>
      </c>
      <c r="M170" s="4">
        <v>3804.361093</v>
      </c>
      <c r="N170" s="4">
        <v>-0.7410635108</v>
      </c>
      <c r="O170" s="4">
        <v>-10887.89455</v>
      </c>
      <c r="P170" s="4">
        <v>0.001104762065</v>
      </c>
      <c r="Q170" s="4">
        <v>14692.25564</v>
      </c>
    </row>
    <row r="171">
      <c r="A171" s="2">
        <v>5.0</v>
      </c>
      <c r="B171" s="3" t="s">
        <v>258</v>
      </c>
      <c r="C171" s="2">
        <v>51.0</v>
      </c>
      <c r="D171" s="3" t="s">
        <v>259</v>
      </c>
      <c r="E171" s="2">
        <v>511.0</v>
      </c>
      <c r="F171" s="3" t="s">
        <v>259</v>
      </c>
      <c r="G171" s="2">
        <v>5116.0</v>
      </c>
      <c r="H171" s="3" t="s">
        <v>266</v>
      </c>
      <c r="I171" s="2">
        <v>2024.0</v>
      </c>
      <c r="J171" s="2">
        <v>20241.0</v>
      </c>
      <c r="K171" s="3" t="s">
        <v>21</v>
      </c>
      <c r="L171" s="4">
        <v>8456.0</v>
      </c>
      <c r="M171" s="4">
        <v>4284.24255</v>
      </c>
      <c r="N171" s="4">
        <v>-0.4864319981</v>
      </c>
      <c r="O171" s="4">
        <v>-4057.870926</v>
      </c>
      <c r="P171" s="4">
        <v>0.00593888622</v>
      </c>
      <c r="Q171" s="4">
        <v>8342.113476</v>
      </c>
    </row>
    <row r="172">
      <c r="A172" s="2">
        <v>5.0</v>
      </c>
      <c r="B172" s="3" t="s">
        <v>258</v>
      </c>
      <c r="C172" s="2">
        <v>52.0</v>
      </c>
      <c r="D172" s="3" t="s">
        <v>267</v>
      </c>
      <c r="E172" s="2">
        <v>521.0</v>
      </c>
      <c r="F172" s="3" t="s">
        <v>268</v>
      </c>
      <c r="G172" s="2">
        <v>5211.0</v>
      </c>
      <c r="H172" s="3" t="s">
        <v>269</v>
      </c>
      <c r="I172" s="2">
        <v>2024.0</v>
      </c>
      <c r="J172" s="2">
        <v>20241.0</v>
      </c>
      <c r="K172" s="3" t="s">
        <v>21</v>
      </c>
      <c r="L172" s="4">
        <v>6679.0</v>
      </c>
      <c r="M172" s="4">
        <v>5432.895643</v>
      </c>
      <c r="N172" s="4">
        <v>0.4351821909</v>
      </c>
      <c r="O172" s="4">
        <v>1647.386265</v>
      </c>
      <c r="P172" s="4">
        <v>0.004690849227</v>
      </c>
      <c r="Q172" s="4">
        <v>3785.509378</v>
      </c>
    </row>
    <row r="173">
      <c r="A173" s="2">
        <v>5.0</v>
      </c>
      <c r="B173" s="3" t="s">
        <v>258</v>
      </c>
      <c r="C173" s="2">
        <v>52.0</v>
      </c>
      <c r="D173" s="3" t="s">
        <v>267</v>
      </c>
      <c r="E173" s="2">
        <v>521.0</v>
      </c>
      <c r="F173" s="3" t="s">
        <v>268</v>
      </c>
      <c r="G173" s="2">
        <v>5212.0</v>
      </c>
      <c r="H173" s="3" t="s">
        <v>270</v>
      </c>
      <c r="I173" s="2">
        <v>2024.0</v>
      </c>
      <c r="J173" s="2">
        <v>20241.0</v>
      </c>
      <c r="K173" s="3" t="s">
        <v>21</v>
      </c>
      <c r="L173" s="4">
        <v>6634.0</v>
      </c>
      <c r="M173" s="4">
        <v>5249.088031</v>
      </c>
      <c r="N173" s="4">
        <v>0.03599218251</v>
      </c>
      <c r="O173" s="4">
        <v>182.3625097</v>
      </c>
      <c r="P173" s="4">
        <v>0.004659244464</v>
      </c>
      <c r="Q173" s="4">
        <v>5066.725522</v>
      </c>
    </row>
    <row r="174">
      <c r="A174" s="2">
        <v>5.0</v>
      </c>
      <c r="B174" s="3" t="s">
        <v>258</v>
      </c>
      <c r="C174" s="2">
        <v>52.0</v>
      </c>
      <c r="D174" s="3" t="s">
        <v>267</v>
      </c>
      <c r="E174" s="2">
        <v>521.0</v>
      </c>
      <c r="F174" s="3" t="s">
        <v>268</v>
      </c>
      <c r="G174" s="2">
        <v>5213.0</v>
      </c>
      <c r="H174" s="3" t="s">
        <v>271</v>
      </c>
      <c r="I174" s="2">
        <v>2024.0</v>
      </c>
      <c r="J174" s="2">
        <v>20241.0</v>
      </c>
      <c r="K174" s="3" t="s">
        <v>21</v>
      </c>
      <c r="L174" s="4">
        <v>123.0</v>
      </c>
      <c r="M174" s="4">
        <v>7231.300813</v>
      </c>
      <c r="N174" s="4">
        <v>1.0</v>
      </c>
      <c r="O174" s="4">
        <v>7231.300813</v>
      </c>
      <c r="P174" s="4">
        <v>8.638635348E-5</v>
      </c>
      <c r="Q174" s="4">
        <v>0.0</v>
      </c>
    </row>
    <row r="175">
      <c r="A175" s="2">
        <v>5.0</v>
      </c>
      <c r="B175" s="3" t="s">
        <v>258</v>
      </c>
      <c r="C175" s="2">
        <v>52.0</v>
      </c>
      <c r="D175" s="3" t="s">
        <v>267</v>
      </c>
      <c r="E175" s="2">
        <v>522.0</v>
      </c>
      <c r="F175" s="3" t="s">
        <v>272</v>
      </c>
      <c r="G175" s="2">
        <v>5221.0</v>
      </c>
      <c r="H175" s="3" t="s">
        <v>273</v>
      </c>
      <c r="I175" s="2">
        <v>2024.0</v>
      </c>
      <c r="J175" s="2">
        <v>20241.0</v>
      </c>
      <c r="K175" s="3" t="s">
        <v>21</v>
      </c>
      <c r="L175" s="4">
        <v>581.0</v>
      </c>
      <c r="M175" s="4">
        <v>1335.886403</v>
      </c>
      <c r="N175" s="4">
        <v>-0.4405679656</v>
      </c>
      <c r="O175" s="4">
        <v>-1052.046931</v>
      </c>
      <c r="P175" s="4">
        <v>4.080526128E-4</v>
      </c>
      <c r="Q175" s="4">
        <v>2387.933333</v>
      </c>
    </row>
    <row r="176">
      <c r="A176" s="2">
        <v>5.0</v>
      </c>
      <c r="B176" s="3" t="s">
        <v>258</v>
      </c>
      <c r="C176" s="2">
        <v>52.0</v>
      </c>
      <c r="D176" s="3" t="s">
        <v>267</v>
      </c>
      <c r="E176" s="2">
        <v>522.0</v>
      </c>
      <c r="F176" s="3" t="s">
        <v>272</v>
      </c>
      <c r="G176" s="2">
        <v>5222.0</v>
      </c>
      <c r="H176" s="3" t="s">
        <v>274</v>
      </c>
      <c r="I176" s="2">
        <v>2024.0</v>
      </c>
      <c r="J176" s="2">
        <v>20241.0</v>
      </c>
      <c r="K176" s="3" t="s">
        <v>21</v>
      </c>
      <c r="L176" s="4">
        <v>6530.0</v>
      </c>
      <c r="M176" s="4">
        <v>4744.333078</v>
      </c>
      <c r="N176" s="4">
        <v>0.3615814598</v>
      </c>
      <c r="O176" s="4">
        <v>1259.9047</v>
      </c>
      <c r="P176" s="4">
        <v>0.004586202344</v>
      </c>
      <c r="Q176" s="4">
        <v>3484.428378</v>
      </c>
    </row>
    <row r="177">
      <c r="A177" s="2">
        <v>5.0</v>
      </c>
      <c r="B177" s="3" t="s">
        <v>258</v>
      </c>
      <c r="C177" s="2">
        <v>52.0</v>
      </c>
      <c r="D177" s="3" t="s">
        <v>267</v>
      </c>
      <c r="E177" s="2">
        <v>524.0</v>
      </c>
      <c r="F177" s="3" t="s">
        <v>275</v>
      </c>
      <c r="G177" s="2">
        <v>5241.0</v>
      </c>
      <c r="H177" s="3" t="s">
        <v>276</v>
      </c>
      <c r="I177" s="2">
        <v>2024.0</v>
      </c>
      <c r="J177" s="2">
        <v>20241.0</v>
      </c>
      <c r="K177" s="3" t="s">
        <v>21</v>
      </c>
      <c r="L177" s="4">
        <v>326.0</v>
      </c>
      <c r="M177" s="4">
        <v>8600.0</v>
      </c>
      <c r="N177" s="4">
        <v>0.3674819198</v>
      </c>
      <c r="O177" s="4">
        <v>2311.068588</v>
      </c>
      <c r="P177" s="4">
        <v>2.289589531E-4</v>
      </c>
      <c r="Q177" s="4">
        <v>6288.931412</v>
      </c>
    </row>
    <row r="178">
      <c r="A178" s="2">
        <v>5.0</v>
      </c>
      <c r="B178" s="3" t="s">
        <v>258</v>
      </c>
      <c r="C178" s="2">
        <v>52.0</v>
      </c>
      <c r="D178" s="3" t="s">
        <v>267</v>
      </c>
      <c r="E178" s="2">
        <v>524.0</v>
      </c>
      <c r="F178" s="3" t="s">
        <v>275</v>
      </c>
      <c r="G178" s="2">
        <v>5242.0</v>
      </c>
      <c r="H178" s="3" t="s">
        <v>277</v>
      </c>
      <c r="I178" s="2">
        <v>2024.0</v>
      </c>
      <c r="J178" s="2">
        <v>20241.0</v>
      </c>
      <c r="K178" s="3" t="s">
        <v>21</v>
      </c>
      <c r="L178" s="4">
        <v>1188.0</v>
      </c>
      <c r="M178" s="4">
        <v>6638.215488</v>
      </c>
      <c r="N178" s="4">
        <v>-0.1064755888</v>
      </c>
      <c r="O178" s="4">
        <v>-791.0336792</v>
      </c>
      <c r="P178" s="4">
        <v>8.343657556E-4</v>
      </c>
      <c r="Q178" s="4">
        <v>7429.249167</v>
      </c>
    </row>
    <row r="179">
      <c r="A179" s="2">
        <v>5.0</v>
      </c>
      <c r="B179" s="3" t="s">
        <v>258</v>
      </c>
      <c r="C179" s="2">
        <v>52.0</v>
      </c>
      <c r="D179" s="3" t="s">
        <v>267</v>
      </c>
      <c r="E179" s="2">
        <v>525.0</v>
      </c>
      <c r="F179" s="3" t="s">
        <v>278</v>
      </c>
      <c r="G179" s="2">
        <v>5251.0</v>
      </c>
      <c r="H179" s="3" t="s">
        <v>279</v>
      </c>
      <c r="I179" s="2">
        <v>2024.0</v>
      </c>
      <c r="J179" s="2">
        <v>20241.0</v>
      </c>
      <c r="K179" s="3" t="s">
        <v>21</v>
      </c>
      <c r="L179" s="4">
        <v>735.0</v>
      </c>
      <c r="M179" s="4">
        <v>0.0</v>
      </c>
      <c r="N179" s="4">
        <v>1.0</v>
      </c>
      <c r="O179" s="4">
        <v>0.0</v>
      </c>
      <c r="P179" s="4">
        <v>5.162111367E-4</v>
      </c>
      <c r="Q179" s="4">
        <v>0.0</v>
      </c>
    </row>
    <row r="180">
      <c r="A180" s="2">
        <v>5.0</v>
      </c>
      <c r="B180" s="3" t="s">
        <v>258</v>
      </c>
      <c r="C180" s="2">
        <v>52.0</v>
      </c>
      <c r="D180" s="3" t="s">
        <v>267</v>
      </c>
      <c r="E180" s="2">
        <v>525.0</v>
      </c>
      <c r="F180" s="3" t="s">
        <v>278</v>
      </c>
      <c r="G180" s="2">
        <v>5253.0</v>
      </c>
      <c r="H180" s="3" t="s">
        <v>280</v>
      </c>
      <c r="I180" s="2">
        <v>2024.0</v>
      </c>
      <c r="J180" s="2">
        <v>20241.0</v>
      </c>
      <c r="K180" s="3" t="s">
        <v>21</v>
      </c>
      <c r="L180" s="4">
        <v>674.0</v>
      </c>
      <c r="M180" s="4">
        <v>1231.454006</v>
      </c>
      <c r="N180" s="4">
        <v>-0.2378579399</v>
      </c>
      <c r="O180" s="4">
        <v>-384.3261359</v>
      </c>
      <c r="P180" s="4">
        <v>4.73369124E-4</v>
      </c>
      <c r="Q180" s="4">
        <v>1615.780142</v>
      </c>
    </row>
    <row r="181">
      <c r="A181" s="2">
        <v>5.0</v>
      </c>
      <c r="B181" s="3" t="s">
        <v>258</v>
      </c>
      <c r="C181" s="2">
        <v>52.0</v>
      </c>
      <c r="D181" s="3" t="s">
        <v>267</v>
      </c>
      <c r="E181" s="2">
        <v>525.0</v>
      </c>
      <c r="F181" s="3" t="s">
        <v>278</v>
      </c>
      <c r="G181" s="2">
        <v>5254.0</v>
      </c>
      <c r="H181" s="3" t="s">
        <v>281</v>
      </c>
      <c r="I181" s="2">
        <v>2024.0</v>
      </c>
      <c r="J181" s="2">
        <v>20241.0</v>
      </c>
      <c r="K181" s="3" t="s">
        <v>21</v>
      </c>
      <c r="L181" s="4">
        <v>3939.0</v>
      </c>
      <c r="M181" s="4">
        <v>1577.976644</v>
      </c>
      <c r="N181" s="4">
        <v>-0.4653274877</v>
      </c>
      <c r="O181" s="4">
        <v>-1373.318977</v>
      </c>
      <c r="P181" s="4">
        <v>0.002766470296</v>
      </c>
      <c r="Q181" s="4">
        <v>2951.29562</v>
      </c>
    </row>
    <row r="182">
      <c r="A182" s="2">
        <v>5.0</v>
      </c>
      <c r="B182" s="3" t="s">
        <v>258</v>
      </c>
      <c r="C182" s="2">
        <v>53.0</v>
      </c>
      <c r="D182" s="3" t="s">
        <v>282</v>
      </c>
      <c r="E182" s="2">
        <v>530.0</v>
      </c>
      <c r="F182" s="3" t="s">
        <v>283</v>
      </c>
      <c r="G182" s="2">
        <v>5301.0</v>
      </c>
      <c r="H182" s="3" t="s">
        <v>283</v>
      </c>
      <c r="I182" s="2">
        <v>2024.0</v>
      </c>
      <c r="J182" s="2">
        <v>20241.0</v>
      </c>
      <c r="K182" s="3" t="s">
        <v>21</v>
      </c>
      <c r="L182" s="4">
        <v>630.0</v>
      </c>
      <c r="M182" s="4">
        <v>5600.0</v>
      </c>
      <c r="N182" s="4">
        <v>-0.6</v>
      </c>
      <c r="O182" s="4">
        <v>-8400.0</v>
      </c>
      <c r="P182" s="4">
        <v>4.424666886E-4</v>
      </c>
      <c r="Q182" s="4">
        <v>14000.0</v>
      </c>
    </row>
    <row r="183">
      <c r="A183" s="2">
        <v>5.0</v>
      </c>
      <c r="B183" s="3" t="s">
        <v>258</v>
      </c>
      <c r="C183" s="2">
        <v>53.0</v>
      </c>
      <c r="D183" s="3" t="s">
        <v>282</v>
      </c>
      <c r="E183" s="2">
        <v>531.0</v>
      </c>
      <c r="F183" s="3" t="s">
        <v>282</v>
      </c>
      <c r="G183" s="2">
        <v>5312.0</v>
      </c>
      <c r="H183" s="3" t="s">
        <v>284</v>
      </c>
      <c r="I183" s="2">
        <v>2024.0</v>
      </c>
      <c r="J183" s="2">
        <v>20241.0</v>
      </c>
      <c r="K183" s="3" t="s">
        <v>21</v>
      </c>
      <c r="L183" s="4">
        <v>3929.0</v>
      </c>
      <c r="M183" s="4">
        <v>6954.23772</v>
      </c>
      <c r="N183" s="4">
        <v>-0.04317871586</v>
      </c>
      <c r="O183" s="4">
        <v>-313.8256428</v>
      </c>
      <c r="P183" s="4">
        <v>0.002759447015</v>
      </c>
      <c r="Q183" s="4">
        <v>7268.063362</v>
      </c>
    </row>
    <row r="184">
      <c r="A184" s="2">
        <v>5.0</v>
      </c>
      <c r="B184" s="3" t="s">
        <v>258</v>
      </c>
      <c r="C184" s="2">
        <v>53.0</v>
      </c>
      <c r="D184" s="3" t="s">
        <v>282</v>
      </c>
      <c r="E184" s="2">
        <v>531.0</v>
      </c>
      <c r="F184" s="3" t="s">
        <v>282</v>
      </c>
      <c r="G184" s="2">
        <v>5313.0</v>
      </c>
      <c r="H184" s="3" t="s">
        <v>285</v>
      </c>
      <c r="I184" s="2">
        <v>2024.0</v>
      </c>
      <c r="J184" s="2">
        <v>20241.0</v>
      </c>
      <c r="K184" s="3" t="s">
        <v>21</v>
      </c>
      <c r="L184" s="4">
        <v>11795.0</v>
      </c>
      <c r="M184" s="4">
        <v>5810.065706</v>
      </c>
      <c r="N184" s="4">
        <v>-0.04657115796</v>
      </c>
      <c r="O184" s="4">
        <v>-283.7983034</v>
      </c>
      <c r="P184" s="4">
        <v>0.00828395967</v>
      </c>
      <c r="Q184" s="4">
        <v>6093.864009</v>
      </c>
    </row>
    <row r="185">
      <c r="A185" s="2">
        <v>5.0</v>
      </c>
      <c r="B185" s="3" t="s">
        <v>258</v>
      </c>
      <c r="C185" s="2">
        <v>53.0</v>
      </c>
      <c r="D185" s="3" t="s">
        <v>282</v>
      </c>
      <c r="E185" s="2">
        <v>531.0</v>
      </c>
      <c r="F185" s="3" t="s">
        <v>282</v>
      </c>
      <c r="G185" s="2">
        <v>5314.0</v>
      </c>
      <c r="H185" s="3" t="s">
        <v>286</v>
      </c>
      <c r="I185" s="2">
        <v>2024.0</v>
      </c>
      <c r="J185" s="2">
        <v>20241.0</v>
      </c>
      <c r="K185" s="3" t="s">
        <v>21</v>
      </c>
      <c r="L185" s="4">
        <v>240.0</v>
      </c>
      <c r="M185" s="4">
        <v>1352.083333</v>
      </c>
      <c r="N185" s="4">
        <v>-0.790374677</v>
      </c>
      <c r="O185" s="4">
        <v>-5097.916667</v>
      </c>
      <c r="P185" s="4">
        <v>1.685587385E-4</v>
      </c>
      <c r="Q185" s="4">
        <v>6450.0</v>
      </c>
    </row>
    <row r="186">
      <c r="A186" s="2">
        <v>5.0</v>
      </c>
      <c r="B186" s="3" t="s">
        <v>258</v>
      </c>
      <c r="C186" s="2">
        <v>54.0</v>
      </c>
      <c r="D186" s="3" t="s">
        <v>287</v>
      </c>
      <c r="E186" s="2">
        <v>540.0</v>
      </c>
      <c r="F186" s="3" t="s">
        <v>288</v>
      </c>
      <c r="G186" s="2">
        <v>5401.0</v>
      </c>
      <c r="H186" s="3" t="s">
        <v>288</v>
      </c>
      <c r="I186" s="2">
        <v>2024.0</v>
      </c>
      <c r="J186" s="2">
        <v>20241.0</v>
      </c>
      <c r="K186" s="3" t="s">
        <v>21</v>
      </c>
      <c r="L186" s="4">
        <v>37.0</v>
      </c>
      <c r="M186" s="4">
        <v>30000.0</v>
      </c>
      <c r="N186" s="4">
        <v>1.0</v>
      </c>
      <c r="O186" s="4">
        <v>30000.0</v>
      </c>
      <c r="P186" s="4">
        <v>2.598613885E-5</v>
      </c>
      <c r="Q186" s="4">
        <v>0.0</v>
      </c>
    </row>
    <row r="187">
      <c r="A187" s="2">
        <v>5.0</v>
      </c>
      <c r="B187" s="3" t="s">
        <v>258</v>
      </c>
      <c r="C187" s="2">
        <v>54.0</v>
      </c>
      <c r="D187" s="3" t="s">
        <v>287</v>
      </c>
      <c r="E187" s="2">
        <v>541.0</v>
      </c>
      <c r="F187" s="3" t="s">
        <v>287</v>
      </c>
      <c r="G187" s="2">
        <v>5411.0</v>
      </c>
      <c r="H187" s="3" t="s">
        <v>289</v>
      </c>
      <c r="I187" s="2">
        <v>2024.0</v>
      </c>
      <c r="J187" s="2">
        <v>20241.0</v>
      </c>
      <c r="K187" s="3" t="s">
        <v>21</v>
      </c>
      <c r="L187" s="4">
        <v>83.0</v>
      </c>
      <c r="M187" s="4">
        <v>16000.0</v>
      </c>
      <c r="N187" s="4">
        <v>1.0</v>
      </c>
      <c r="O187" s="4">
        <v>16000.0</v>
      </c>
      <c r="P187" s="4">
        <v>5.82932304E-5</v>
      </c>
      <c r="Q187" s="4">
        <v>0.0</v>
      </c>
    </row>
    <row r="188">
      <c r="A188" s="2">
        <v>5.0</v>
      </c>
      <c r="B188" s="3" t="s">
        <v>258</v>
      </c>
      <c r="C188" s="2">
        <v>54.0</v>
      </c>
      <c r="D188" s="3" t="s">
        <v>287</v>
      </c>
      <c r="E188" s="2">
        <v>541.0</v>
      </c>
      <c r="F188" s="3" t="s">
        <v>287</v>
      </c>
      <c r="G188" s="2">
        <v>5413.0</v>
      </c>
      <c r="H188" s="3" t="s">
        <v>290</v>
      </c>
      <c r="I188" s="2">
        <v>2024.0</v>
      </c>
      <c r="J188" s="2">
        <v>20241.0</v>
      </c>
      <c r="K188" s="3" t="s">
        <v>21</v>
      </c>
      <c r="L188" s="4">
        <v>214.0</v>
      </c>
      <c r="M188" s="4">
        <v>0.0</v>
      </c>
      <c r="N188" s="4">
        <v>-1.0</v>
      </c>
      <c r="O188" s="4">
        <v>-10084.67742</v>
      </c>
      <c r="P188" s="4">
        <v>1.502982085E-4</v>
      </c>
      <c r="Q188" s="4">
        <v>10084.67742</v>
      </c>
    </row>
    <row r="189">
      <c r="A189" s="2">
        <v>6.0</v>
      </c>
      <c r="B189" s="3" t="s">
        <v>291</v>
      </c>
      <c r="C189" s="2">
        <v>61.0</v>
      </c>
      <c r="D189" s="3" t="s">
        <v>292</v>
      </c>
      <c r="E189" s="2">
        <v>611.0</v>
      </c>
      <c r="F189" s="3" t="s">
        <v>293</v>
      </c>
      <c r="G189" s="2">
        <v>6111.0</v>
      </c>
      <c r="H189" s="3" t="s">
        <v>294</v>
      </c>
      <c r="I189" s="2">
        <v>2024.0</v>
      </c>
      <c r="J189" s="2">
        <v>20241.0</v>
      </c>
      <c r="K189" s="3" t="s">
        <v>21</v>
      </c>
      <c r="L189" s="4">
        <v>62741.0</v>
      </c>
      <c r="M189" s="4">
        <v>1506.277713</v>
      </c>
      <c r="N189" s="4">
        <v>0.07192241276</v>
      </c>
      <c r="O189" s="4">
        <v>101.0662023</v>
      </c>
      <c r="P189" s="4">
        <v>0.04406476589</v>
      </c>
      <c r="Q189" s="4">
        <v>1405.211511</v>
      </c>
    </row>
    <row r="190">
      <c r="A190" s="2">
        <v>6.0</v>
      </c>
      <c r="B190" s="3" t="s">
        <v>291</v>
      </c>
      <c r="C190" s="2">
        <v>61.0</v>
      </c>
      <c r="D190" s="3" t="s">
        <v>292</v>
      </c>
      <c r="E190" s="2">
        <v>611.0</v>
      </c>
      <c r="F190" s="3" t="s">
        <v>293</v>
      </c>
      <c r="G190" s="2">
        <v>6112.0</v>
      </c>
      <c r="H190" s="3" t="s">
        <v>295</v>
      </c>
      <c r="I190" s="2">
        <v>2024.0</v>
      </c>
      <c r="J190" s="2">
        <v>20241.0</v>
      </c>
      <c r="K190" s="3" t="s">
        <v>21</v>
      </c>
      <c r="L190" s="4">
        <v>5013.0</v>
      </c>
      <c r="M190" s="4">
        <v>5276.610014</v>
      </c>
      <c r="N190" s="4">
        <v>0.4121645795</v>
      </c>
      <c r="O190" s="4">
        <v>1540.069606</v>
      </c>
      <c r="P190" s="4">
        <v>0.003520770651</v>
      </c>
      <c r="Q190" s="4">
        <v>3736.540408</v>
      </c>
    </row>
    <row r="191">
      <c r="A191" s="2">
        <v>6.0</v>
      </c>
      <c r="B191" s="3" t="s">
        <v>291</v>
      </c>
      <c r="C191" s="2">
        <v>61.0</v>
      </c>
      <c r="D191" s="3" t="s">
        <v>292</v>
      </c>
      <c r="E191" s="2">
        <v>611.0</v>
      </c>
      <c r="F191" s="3" t="s">
        <v>293</v>
      </c>
      <c r="G191" s="2">
        <v>6114.0</v>
      </c>
      <c r="H191" s="3" t="s">
        <v>296</v>
      </c>
      <c r="I191" s="2">
        <v>2024.0</v>
      </c>
      <c r="J191" s="2">
        <v>20241.0</v>
      </c>
      <c r="K191" s="3" t="s">
        <v>21</v>
      </c>
      <c r="L191" s="4">
        <v>4197.0</v>
      </c>
      <c r="M191" s="4">
        <v>5412.582797</v>
      </c>
      <c r="N191" s="4">
        <v>3.203099373</v>
      </c>
      <c r="O191" s="4">
        <v>4124.822905</v>
      </c>
      <c r="P191" s="4">
        <v>0.00294767094</v>
      </c>
      <c r="Q191" s="4">
        <v>1287.759893</v>
      </c>
    </row>
    <row r="192">
      <c r="A192" s="2">
        <v>6.0</v>
      </c>
      <c r="B192" s="3" t="s">
        <v>291</v>
      </c>
      <c r="C192" s="2">
        <v>61.0</v>
      </c>
      <c r="D192" s="3" t="s">
        <v>292</v>
      </c>
      <c r="E192" s="2">
        <v>611.0</v>
      </c>
      <c r="F192" s="3" t="s">
        <v>293</v>
      </c>
      <c r="G192" s="2">
        <v>6115.0</v>
      </c>
      <c r="H192" s="3" t="s">
        <v>297</v>
      </c>
      <c r="I192" s="2">
        <v>2024.0</v>
      </c>
      <c r="J192" s="2">
        <v>20241.0</v>
      </c>
      <c r="K192" s="3" t="s">
        <v>21</v>
      </c>
      <c r="L192" s="4">
        <v>1703.0</v>
      </c>
      <c r="M192" s="4">
        <v>8279.330593</v>
      </c>
      <c r="N192" s="4">
        <v>24.71220681</v>
      </c>
      <c r="O192" s="4">
        <v>7957.330593</v>
      </c>
      <c r="P192" s="4">
        <v>0.001196064715</v>
      </c>
      <c r="Q192" s="4">
        <v>322.0</v>
      </c>
    </row>
    <row r="193">
      <c r="A193" s="2">
        <v>6.0</v>
      </c>
      <c r="B193" s="3" t="s">
        <v>291</v>
      </c>
      <c r="C193" s="2">
        <v>61.0</v>
      </c>
      <c r="D193" s="3" t="s">
        <v>292</v>
      </c>
      <c r="E193" s="2">
        <v>611.0</v>
      </c>
      <c r="F193" s="3" t="s">
        <v>293</v>
      </c>
      <c r="G193" s="2">
        <v>6116.0</v>
      </c>
      <c r="H193" s="3" t="s">
        <v>298</v>
      </c>
      <c r="I193" s="2">
        <v>2024.0</v>
      </c>
      <c r="J193" s="2">
        <v>20241.0</v>
      </c>
      <c r="K193" s="3" t="s">
        <v>21</v>
      </c>
      <c r="L193" s="4">
        <v>6140.0</v>
      </c>
      <c r="M193" s="4">
        <v>2295.342182</v>
      </c>
      <c r="N193" s="4">
        <v>-0.1172758527</v>
      </c>
      <c r="O193" s="4">
        <v>-304.9516801</v>
      </c>
      <c r="P193" s="4">
        <v>0.004312294393</v>
      </c>
      <c r="Q193" s="4">
        <v>2600.293862</v>
      </c>
    </row>
    <row r="194">
      <c r="A194" s="2">
        <v>6.0</v>
      </c>
      <c r="B194" s="3" t="s">
        <v>291</v>
      </c>
      <c r="C194" s="2">
        <v>61.0</v>
      </c>
      <c r="D194" s="3" t="s">
        <v>292</v>
      </c>
      <c r="E194" s="2">
        <v>611.0</v>
      </c>
      <c r="F194" s="3" t="s">
        <v>293</v>
      </c>
      <c r="G194" s="2">
        <v>6117.0</v>
      </c>
      <c r="H194" s="3" t="s">
        <v>299</v>
      </c>
      <c r="I194" s="2">
        <v>2024.0</v>
      </c>
      <c r="J194" s="2">
        <v>20241.0</v>
      </c>
      <c r="K194" s="3" t="s">
        <v>21</v>
      </c>
      <c r="L194" s="4">
        <v>966.0</v>
      </c>
      <c r="M194" s="4">
        <v>860.0</v>
      </c>
      <c r="N194" s="4">
        <v>-0.6416666667</v>
      </c>
      <c r="O194" s="4">
        <v>-1540.0</v>
      </c>
      <c r="P194" s="4">
        <v>6.784489225E-4</v>
      </c>
      <c r="Q194" s="4">
        <v>2400.0</v>
      </c>
    </row>
    <row r="195">
      <c r="A195" s="2">
        <v>6.0</v>
      </c>
      <c r="B195" s="3" t="s">
        <v>291</v>
      </c>
      <c r="C195" s="2">
        <v>61.0</v>
      </c>
      <c r="D195" s="3" t="s">
        <v>292</v>
      </c>
      <c r="E195" s="2">
        <v>612.0</v>
      </c>
      <c r="F195" s="3" t="s">
        <v>300</v>
      </c>
      <c r="G195" s="2">
        <v>6121.0</v>
      </c>
      <c r="H195" s="3" t="s">
        <v>301</v>
      </c>
      <c r="I195" s="2">
        <v>2024.0</v>
      </c>
      <c r="J195" s="2">
        <v>20241.0</v>
      </c>
      <c r="K195" s="3" t="s">
        <v>21</v>
      </c>
      <c r="L195" s="4">
        <v>7725.0</v>
      </c>
      <c r="M195" s="4">
        <v>3571.027702</v>
      </c>
      <c r="N195" s="4">
        <v>-0.4951414944</v>
      </c>
      <c r="O195" s="4">
        <v>-3502.296135</v>
      </c>
      <c r="P195" s="4">
        <v>0.005425484396</v>
      </c>
      <c r="Q195" s="4">
        <v>7073.323837</v>
      </c>
    </row>
    <row r="196">
      <c r="A196" s="2">
        <v>6.0</v>
      </c>
      <c r="B196" s="3" t="s">
        <v>291</v>
      </c>
      <c r="C196" s="2">
        <v>61.0</v>
      </c>
      <c r="D196" s="3" t="s">
        <v>292</v>
      </c>
      <c r="E196" s="2">
        <v>612.0</v>
      </c>
      <c r="F196" s="3" t="s">
        <v>300</v>
      </c>
      <c r="G196" s="2">
        <v>6122.0</v>
      </c>
      <c r="H196" s="3" t="s">
        <v>302</v>
      </c>
      <c r="I196" s="2">
        <v>2024.0</v>
      </c>
      <c r="J196" s="2">
        <v>20241.0</v>
      </c>
      <c r="K196" s="3" t="s">
        <v>21</v>
      </c>
      <c r="L196" s="4">
        <v>4892.0</v>
      </c>
      <c r="M196" s="4">
        <v>3061.201962</v>
      </c>
      <c r="N196" s="4">
        <v>1.71056488</v>
      </c>
      <c r="O196" s="4">
        <v>1931.842549</v>
      </c>
      <c r="P196" s="4">
        <v>0.003435788953</v>
      </c>
      <c r="Q196" s="4">
        <v>1129.359413</v>
      </c>
    </row>
    <row r="197">
      <c r="A197" s="2">
        <v>6.0</v>
      </c>
      <c r="B197" s="3" t="s">
        <v>291</v>
      </c>
      <c r="C197" s="2">
        <v>61.0</v>
      </c>
      <c r="D197" s="3" t="s">
        <v>292</v>
      </c>
      <c r="E197" s="2">
        <v>612.0</v>
      </c>
      <c r="F197" s="3" t="s">
        <v>300</v>
      </c>
      <c r="G197" s="2">
        <v>6123.0</v>
      </c>
      <c r="H197" s="3" t="s">
        <v>303</v>
      </c>
      <c r="I197" s="2">
        <v>2024.0</v>
      </c>
      <c r="J197" s="2">
        <v>20241.0</v>
      </c>
      <c r="K197" s="3" t="s">
        <v>21</v>
      </c>
      <c r="L197" s="4">
        <v>3655.0</v>
      </c>
      <c r="M197" s="4">
        <v>113.0588235</v>
      </c>
      <c r="N197" s="4">
        <v>-0.9868800832</v>
      </c>
      <c r="O197" s="4">
        <v>-8504.284212</v>
      </c>
      <c r="P197" s="4">
        <v>0.002567009122</v>
      </c>
      <c r="Q197" s="4">
        <v>8617.343035</v>
      </c>
    </row>
    <row r="198">
      <c r="A198" s="2">
        <v>6.0</v>
      </c>
      <c r="B198" s="3" t="s">
        <v>291</v>
      </c>
      <c r="C198" s="2">
        <v>61.0</v>
      </c>
      <c r="D198" s="3" t="s">
        <v>292</v>
      </c>
      <c r="E198" s="2">
        <v>612.0</v>
      </c>
      <c r="F198" s="3" t="s">
        <v>300</v>
      </c>
      <c r="G198" s="2">
        <v>6124.0</v>
      </c>
      <c r="H198" s="3" t="s">
        <v>304</v>
      </c>
      <c r="I198" s="2">
        <v>2024.0</v>
      </c>
      <c r="J198" s="2">
        <v>20241.0</v>
      </c>
      <c r="K198" s="3" t="s">
        <v>21</v>
      </c>
      <c r="L198" s="4">
        <v>12418.0</v>
      </c>
      <c r="M198" s="4">
        <v>1273.595104</v>
      </c>
      <c r="N198" s="4">
        <v>-0.6485185524</v>
      </c>
      <c r="O198" s="4">
        <v>-2349.91081</v>
      </c>
      <c r="P198" s="4">
        <v>0.008721510062</v>
      </c>
      <c r="Q198" s="4">
        <v>3623.505914</v>
      </c>
    </row>
    <row r="199">
      <c r="A199" s="2">
        <v>6.0</v>
      </c>
      <c r="B199" s="3" t="s">
        <v>291</v>
      </c>
      <c r="C199" s="2">
        <v>61.0</v>
      </c>
      <c r="D199" s="3" t="s">
        <v>292</v>
      </c>
      <c r="E199" s="2">
        <v>612.0</v>
      </c>
      <c r="F199" s="3" t="s">
        <v>300</v>
      </c>
      <c r="G199" s="2">
        <v>6125.0</v>
      </c>
      <c r="H199" s="3" t="s">
        <v>305</v>
      </c>
      <c r="I199" s="2">
        <v>2024.0</v>
      </c>
      <c r="J199" s="2">
        <v>20241.0</v>
      </c>
      <c r="K199" s="3" t="s">
        <v>21</v>
      </c>
      <c r="L199" s="4">
        <v>484.0</v>
      </c>
      <c r="M199" s="4">
        <v>3000.0</v>
      </c>
      <c r="N199" s="4">
        <v>-0.6900799337</v>
      </c>
      <c r="O199" s="4">
        <v>-6679.915326</v>
      </c>
      <c r="P199" s="4">
        <v>3.399267893E-4</v>
      </c>
      <c r="Q199" s="4">
        <v>9679.915326</v>
      </c>
    </row>
    <row r="200">
      <c r="A200" s="2">
        <v>6.0</v>
      </c>
      <c r="B200" s="3" t="s">
        <v>291</v>
      </c>
      <c r="C200" s="2">
        <v>61.0</v>
      </c>
      <c r="D200" s="3" t="s">
        <v>292</v>
      </c>
      <c r="E200" s="2">
        <v>612.0</v>
      </c>
      <c r="F200" s="3" t="s">
        <v>300</v>
      </c>
      <c r="G200" s="2">
        <v>6126.0</v>
      </c>
      <c r="H200" s="3" t="s">
        <v>306</v>
      </c>
      <c r="I200" s="2">
        <v>2024.0</v>
      </c>
      <c r="J200" s="2">
        <v>20241.0</v>
      </c>
      <c r="K200" s="3" t="s">
        <v>21</v>
      </c>
      <c r="L200" s="4">
        <v>1311.0</v>
      </c>
      <c r="M200" s="4">
        <v>3347.704043</v>
      </c>
      <c r="N200" s="4">
        <v>-0.02895722146</v>
      </c>
      <c r="O200" s="4">
        <v>-99.8310368</v>
      </c>
      <c r="P200" s="4">
        <v>9.207521091E-4</v>
      </c>
      <c r="Q200" s="4">
        <v>3447.53508</v>
      </c>
    </row>
    <row r="201">
      <c r="A201" s="2">
        <v>6.0</v>
      </c>
      <c r="B201" s="3" t="s">
        <v>291</v>
      </c>
      <c r="C201" s="2">
        <v>61.0</v>
      </c>
      <c r="D201" s="3" t="s">
        <v>292</v>
      </c>
      <c r="E201" s="2">
        <v>612.0</v>
      </c>
      <c r="F201" s="3" t="s">
        <v>300</v>
      </c>
      <c r="G201" s="2">
        <v>6127.0</v>
      </c>
      <c r="H201" s="3" t="s">
        <v>307</v>
      </c>
      <c r="I201" s="2">
        <v>2024.0</v>
      </c>
      <c r="J201" s="2">
        <v>20241.0</v>
      </c>
      <c r="K201" s="3" t="s">
        <v>21</v>
      </c>
      <c r="L201" s="4">
        <v>70.0</v>
      </c>
      <c r="M201" s="4">
        <v>0.0</v>
      </c>
      <c r="N201" s="4">
        <v>1.0</v>
      </c>
      <c r="O201" s="4">
        <v>0.0</v>
      </c>
      <c r="P201" s="4">
        <v>4.91629654E-5</v>
      </c>
      <c r="Q201" s="4">
        <v>0.0</v>
      </c>
    </row>
    <row r="202">
      <c r="A202" s="2">
        <v>6.0</v>
      </c>
      <c r="B202" s="3" t="s">
        <v>291</v>
      </c>
      <c r="C202" s="2">
        <v>61.0</v>
      </c>
      <c r="D202" s="3" t="s">
        <v>292</v>
      </c>
      <c r="E202" s="2">
        <v>613.0</v>
      </c>
      <c r="F202" s="3" t="s">
        <v>308</v>
      </c>
      <c r="G202" s="2">
        <v>6131.0</v>
      </c>
      <c r="H202" s="3" t="s">
        <v>308</v>
      </c>
      <c r="I202" s="2">
        <v>2024.0</v>
      </c>
      <c r="J202" s="2">
        <v>20241.0</v>
      </c>
      <c r="K202" s="3" t="s">
        <v>21</v>
      </c>
      <c r="L202" s="4">
        <v>6227.0</v>
      </c>
      <c r="M202" s="4">
        <v>1390.900112</v>
      </c>
      <c r="N202" s="4">
        <v>0.6502582533</v>
      </c>
      <c r="O202" s="4">
        <v>548.0622659</v>
      </c>
      <c r="P202" s="4">
        <v>0.004373396936</v>
      </c>
      <c r="Q202" s="4">
        <v>842.8378465</v>
      </c>
    </row>
    <row r="203">
      <c r="A203" s="2">
        <v>6.0</v>
      </c>
      <c r="B203" s="3" t="s">
        <v>291</v>
      </c>
      <c r="C203" s="2">
        <v>62.0</v>
      </c>
      <c r="D203" s="3" t="s">
        <v>309</v>
      </c>
      <c r="E203" s="2">
        <v>620.0</v>
      </c>
      <c r="F203" s="3" t="s">
        <v>310</v>
      </c>
      <c r="G203" s="2">
        <v>6201.0</v>
      </c>
      <c r="H203" s="3" t="s">
        <v>310</v>
      </c>
      <c r="I203" s="2">
        <v>2024.0</v>
      </c>
      <c r="J203" s="2">
        <v>20241.0</v>
      </c>
      <c r="K203" s="3" t="s">
        <v>21</v>
      </c>
      <c r="L203" s="4">
        <v>322.0</v>
      </c>
      <c r="M203" s="4">
        <v>0.0</v>
      </c>
      <c r="N203" s="4">
        <v>-1.0</v>
      </c>
      <c r="O203" s="4">
        <v>-10000.0</v>
      </c>
      <c r="P203" s="4">
        <v>2.261496408E-4</v>
      </c>
      <c r="Q203" s="4">
        <v>10000.0</v>
      </c>
    </row>
    <row r="204">
      <c r="A204" s="2">
        <v>6.0</v>
      </c>
      <c r="B204" s="3" t="s">
        <v>291</v>
      </c>
      <c r="C204" s="2">
        <v>62.0</v>
      </c>
      <c r="D204" s="3" t="s">
        <v>309</v>
      </c>
      <c r="E204" s="2">
        <v>622.0</v>
      </c>
      <c r="F204" s="3" t="s">
        <v>311</v>
      </c>
      <c r="G204" s="2">
        <v>6223.0</v>
      </c>
      <c r="H204" s="3" t="s">
        <v>312</v>
      </c>
      <c r="I204" s="2">
        <v>2024.0</v>
      </c>
      <c r="J204" s="2">
        <v>20241.0</v>
      </c>
      <c r="K204" s="3" t="s">
        <v>21</v>
      </c>
      <c r="L204" s="4">
        <v>250.0</v>
      </c>
      <c r="M204" s="4">
        <v>8703.84</v>
      </c>
      <c r="N204" s="4">
        <v>1.0</v>
      </c>
      <c r="O204" s="4">
        <v>8703.84</v>
      </c>
      <c r="P204" s="4">
        <v>1.755820193E-4</v>
      </c>
      <c r="Q204" s="4">
        <v>0.0</v>
      </c>
    </row>
    <row r="205">
      <c r="A205" s="2">
        <v>6.0</v>
      </c>
      <c r="B205" s="3" t="s">
        <v>291</v>
      </c>
      <c r="C205" s="2">
        <v>62.0</v>
      </c>
      <c r="D205" s="3" t="s">
        <v>309</v>
      </c>
      <c r="E205" s="2">
        <v>622.0</v>
      </c>
      <c r="F205" s="3" t="s">
        <v>311</v>
      </c>
      <c r="G205" s="2">
        <v>6225.0</v>
      </c>
      <c r="H205" s="3" t="s">
        <v>313</v>
      </c>
      <c r="I205" s="2">
        <v>2024.0</v>
      </c>
      <c r="J205" s="2">
        <v>20241.0</v>
      </c>
      <c r="K205" s="3" t="s">
        <v>21</v>
      </c>
      <c r="L205" s="4">
        <v>181.0</v>
      </c>
      <c r="M205" s="4">
        <v>3440.0</v>
      </c>
      <c r="N205" s="4">
        <v>3.0</v>
      </c>
      <c r="O205" s="4">
        <v>2580.0</v>
      </c>
      <c r="P205" s="4">
        <v>1.27121382E-4</v>
      </c>
      <c r="Q205" s="4">
        <v>860.0</v>
      </c>
    </row>
    <row r="206">
      <c r="A206" s="2">
        <v>6.0</v>
      </c>
      <c r="B206" s="3" t="s">
        <v>291</v>
      </c>
      <c r="C206" s="2">
        <v>62.0</v>
      </c>
      <c r="D206" s="3" t="s">
        <v>309</v>
      </c>
      <c r="E206" s="2">
        <v>622.0</v>
      </c>
      <c r="F206" s="3" t="s">
        <v>311</v>
      </c>
      <c r="G206" s="2">
        <v>6226.0</v>
      </c>
      <c r="H206" s="3" t="s">
        <v>314</v>
      </c>
      <c r="I206" s="2">
        <v>2024.0</v>
      </c>
      <c r="J206" s="2">
        <v>20241.0</v>
      </c>
      <c r="K206" s="3" t="s">
        <v>21</v>
      </c>
      <c r="L206" s="4">
        <v>573.0</v>
      </c>
      <c r="M206" s="4">
        <v>3010.0</v>
      </c>
      <c r="N206" s="4">
        <v>-0.3797555348</v>
      </c>
      <c r="O206" s="4">
        <v>-1842.925208</v>
      </c>
      <c r="P206" s="4">
        <v>4.024339882E-4</v>
      </c>
      <c r="Q206" s="4">
        <v>4852.925208</v>
      </c>
    </row>
    <row r="207">
      <c r="A207" s="2">
        <v>6.0</v>
      </c>
      <c r="B207" s="3" t="s">
        <v>291</v>
      </c>
      <c r="C207" s="2">
        <v>63.0</v>
      </c>
      <c r="D207" s="3" t="s">
        <v>315</v>
      </c>
      <c r="E207" s="2">
        <v>631.0</v>
      </c>
      <c r="F207" s="3" t="s">
        <v>315</v>
      </c>
      <c r="G207" s="2">
        <v>6311.0</v>
      </c>
      <c r="H207" s="3" t="s">
        <v>315</v>
      </c>
      <c r="I207" s="2">
        <v>2024.0</v>
      </c>
      <c r="J207" s="2">
        <v>20241.0</v>
      </c>
      <c r="K207" s="3" t="s">
        <v>21</v>
      </c>
      <c r="L207" s="4">
        <v>51.0</v>
      </c>
      <c r="M207" s="4">
        <v>43000.0</v>
      </c>
      <c r="N207" s="4">
        <v>9.680473373</v>
      </c>
      <c r="O207" s="4">
        <v>38973.96122</v>
      </c>
      <c r="P207" s="4">
        <v>3.581873193E-5</v>
      </c>
      <c r="Q207" s="4">
        <v>4026.038781</v>
      </c>
    </row>
    <row r="208">
      <c r="A208" s="2">
        <v>7.0</v>
      </c>
      <c r="B208" s="3" t="s">
        <v>316</v>
      </c>
      <c r="C208" s="2">
        <v>71.0</v>
      </c>
      <c r="D208" s="3" t="s">
        <v>317</v>
      </c>
      <c r="E208" s="2">
        <v>710.0</v>
      </c>
      <c r="F208" s="3" t="s">
        <v>318</v>
      </c>
      <c r="G208" s="2">
        <v>7101.0</v>
      </c>
      <c r="H208" s="3" t="s">
        <v>318</v>
      </c>
      <c r="I208" s="2">
        <v>2024.0</v>
      </c>
      <c r="J208" s="2">
        <v>20241.0</v>
      </c>
      <c r="K208" s="3" t="s">
        <v>21</v>
      </c>
      <c r="L208" s="4">
        <v>2700.0</v>
      </c>
      <c r="M208" s="4">
        <v>7232.444444</v>
      </c>
      <c r="N208" s="4">
        <v>-0.2455725545</v>
      </c>
      <c r="O208" s="4">
        <v>-2354.222222</v>
      </c>
      <c r="P208" s="4">
        <v>0.001896285808</v>
      </c>
      <c r="Q208" s="4">
        <v>9586.666667</v>
      </c>
    </row>
    <row r="209">
      <c r="A209" s="2">
        <v>7.0</v>
      </c>
      <c r="B209" s="3" t="s">
        <v>316</v>
      </c>
      <c r="C209" s="2">
        <v>71.0</v>
      </c>
      <c r="D209" s="3" t="s">
        <v>317</v>
      </c>
      <c r="E209" s="2">
        <v>711.0</v>
      </c>
      <c r="F209" s="3" t="s">
        <v>319</v>
      </c>
      <c r="G209" s="2">
        <v>7111.0</v>
      </c>
      <c r="H209" s="3" t="s">
        <v>320</v>
      </c>
      <c r="I209" s="2">
        <v>2024.0</v>
      </c>
      <c r="J209" s="2">
        <v>20241.0</v>
      </c>
      <c r="K209" s="3" t="s">
        <v>21</v>
      </c>
      <c r="L209" s="4">
        <v>773.0</v>
      </c>
      <c r="M209" s="4">
        <v>28075.03234</v>
      </c>
      <c r="N209" s="4">
        <v>-0.3053377147</v>
      </c>
      <c r="O209" s="4">
        <v>-12340.3363</v>
      </c>
      <c r="P209" s="4">
        <v>5.428996036E-4</v>
      </c>
      <c r="Q209" s="4">
        <v>40415.36864</v>
      </c>
    </row>
    <row r="210">
      <c r="A210" s="2">
        <v>7.0</v>
      </c>
      <c r="B210" s="3" t="s">
        <v>316</v>
      </c>
      <c r="C210" s="2">
        <v>71.0</v>
      </c>
      <c r="D210" s="3" t="s">
        <v>317</v>
      </c>
      <c r="E210" s="2">
        <v>711.0</v>
      </c>
      <c r="F210" s="3" t="s">
        <v>319</v>
      </c>
      <c r="G210" s="2">
        <v>7112.0</v>
      </c>
      <c r="H210" s="3" t="s">
        <v>321</v>
      </c>
      <c r="I210" s="2">
        <v>2024.0</v>
      </c>
      <c r="J210" s="2">
        <v>20241.0</v>
      </c>
      <c r="K210" s="3" t="s">
        <v>21</v>
      </c>
      <c r="L210" s="4">
        <v>1586.0</v>
      </c>
      <c r="M210" s="4">
        <v>8294.716267</v>
      </c>
      <c r="N210" s="4">
        <v>1.0</v>
      </c>
      <c r="O210" s="4">
        <v>8294.716267</v>
      </c>
      <c r="P210" s="4">
        <v>0.00111389233</v>
      </c>
      <c r="Q210" s="4">
        <v>0.0</v>
      </c>
    </row>
    <row r="211">
      <c r="A211" s="2">
        <v>7.0</v>
      </c>
      <c r="B211" s="3" t="s">
        <v>316</v>
      </c>
      <c r="C211" s="2">
        <v>71.0</v>
      </c>
      <c r="D211" s="3" t="s">
        <v>317</v>
      </c>
      <c r="E211" s="2">
        <v>712.0</v>
      </c>
      <c r="F211" s="3" t="s">
        <v>322</v>
      </c>
      <c r="G211" s="2">
        <v>7121.0</v>
      </c>
      <c r="H211" s="3" t="s">
        <v>323</v>
      </c>
      <c r="I211" s="2">
        <v>2024.0</v>
      </c>
      <c r="J211" s="2">
        <v>20241.0</v>
      </c>
      <c r="K211" s="3" t="s">
        <v>21</v>
      </c>
      <c r="L211" s="4">
        <v>36278.0</v>
      </c>
      <c r="M211" s="4">
        <v>7408.174376</v>
      </c>
      <c r="N211" s="4">
        <v>-0.008766508692</v>
      </c>
      <c r="O211" s="4">
        <v>-65.51819085</v>
      </c>
      <c r="P211" s="4">
        <v>0.02547905798</v>
      </c>
      <c r="Q211" s="4">
        <v>7473.692567</v>
      </c>
    </row>
    <row r="212">
      <c r="A212" s="2">
        <v>7.0</v>
      </c>
      <c r="B212" s="3" t="s">
        <v>316</v>
      </c>
      <c r="C212" s="2">
        <v>71.0</v>
      </c>
      <c r="D212" s="3" t="s">
        <v>317</v>
      </c>
      <c r="E212" s="2">
        <v>712.0</v>
      </c>
      <c r="F212" s="3" t="s">
        <v>322</v>
      </c>
      <c r="G212" s="2">
        <v>7122.0</v>
      </c>
      <c r="H212" s="3" t="s">
        <v>324</v>
      </c>
      <c r="I212" s="2">
        <v>2024.0</v>
      </c>
      <c r="J212" s="2">
        <v>20241.0</v>
      </c>
      <c r="K212" s="3" t="s">
        <v>21</v>
      </c>
      <c r="L212" s="4">
        <v>67.0</v>
      </c>
      <c r="M212" s="4">
        <v>5160.0</v>
      </c>
      <c r="N212" s="4">
        <v>1.0</v>
      </c>
      <c r="O212" s="4">
        <v>5160.0</v>
      </c>
      <c r="P212" s="4">
        <v>4.705598117E-5</v>
      </c>
      <c r="Q212" s="4">
        <v>0.0</v>
      </c>
    </row>
    <row r="213">
      <c r="A213" s="2">
        <v>7.0</v>
      </c>
      <c r="B213" s="3" t="s">
        <v>316</v>
      </c>
      <c r="C213" s="2">
        <v>71.0</v>
      </c>
      <c r="D213" s="3" t="s">
        <v>317</v>
      </c>
      <c r="E213" s="2">
        <v>713.0</v>
      </c>
      <c r="F213" s="3" t="s">
        <v>325</v>
      </c>
      <c r="G213" s="2">
        <v>7131.0</v>
      </c>
      <c r="H213" s="3" t="s">
        <v>326</v>
      </c>
      <c r="I213" s="2">
        <v>2024.0</v>
      </c>
      <c r="J213" s="2">
        <v>20241.0</v>
      </c>
      <c r="K213" s="3" t="s">
        <v>21</v>
      </c>
      <c r="L213" s="4">
        <v>68.0</v>
      </c>
      <c r="M213" s="4">
        <v>860.0</v>
      </c>
      <c r="N213" s="4">
        <v>1.0</v>
      </c>
      <c r="O213" s="4">
        <v>860.0</v>
      </c>
      <c r="P213" s="4">
        <v>4.775830924E-5</v>
      </c>
      <c r="Q213" s="4">
        <v>0.0</v>
      </c>
    </row>
    <row r="214">
      <c r="A214" s="2">
        <v>7.0</v>
      </c>
      <c r="B214" s="3" t="s">
        <v>316</v>
      </c>
      <c r="C214" s="2">
        <v>71.0</v>
      </c>
      <c r="D214" s="3" t="s">
        <v>317</v>
      </c>
      <c r="E214" s="2">
        <v>713.0</v>
      </c>
      <c r="F214" s="3" t="s">
        <v>325</v>
      </c>
      <c r="G214" s="2">
        <v>7132.0</v>
      </c>
      <c r="H214" s="3" t="s">
        <v>327</v>
      </c>
      <c r="I214" s="2">
        <v>2024.0</v>
      </c>
      <c r="J214" s="2">
        <v>20241.0</v>
      </c>
      <c r="K214" s="3" t="s">
        <v>21</v>
      </c>
      <c r="L214" s="4">
        <v>1681.0</v>
      </c>
      <c r="M214" s="4">
        <v>9850.862582</v>
      </c>
      <c r="N214" s="4">
        <v>0.5272655166</v>
      </c>
      <c r="O214" s="4">
        <v>3400.862582</v>
      </c>
      <c r="P214" s="4">
        <v>0.001180613498</v>
      </c>
      <c r="Q214" s="4">
        <v>6450.0</v>
      </c>
    </row>
    <row r="215">
      <c r="A215" s="2">
        <v>7.0</v>
      </c>
      <c r="B215" s="3" t="s">
        <v>316</v>
      </c>
      <c r="C215" s="2">
        <v>71.0</v>
      </c>
      <c r="D215" s="3" t="s">
        <v>317</v>
      </c>
      <c r="E215" s="2">
        <v>713.0</v>
      </c>
      <c r="F215" s="3" t="s">
        <v>325</v>
      </c>
      <c r="G215" s="2">
        <v>7133.0</v>
      </c>
      <c r="H215" s="3" t="s">
        <v>328</v>
      </c>
      <c r="I215" s="2">
        <v>2024.0</v>
      </c>
      <c r="J215" s="2">
        <v>20241.0</v>
      </c>
      <c r="K215" s="3" t="s">
        <v>21</v>
      </c>
      <c r="L215" s="4">
        <v>272.0</v>
      </c>
      <c r="M215" s="4">
        <v>5577.352941</v>
      </c>
      <c r="N215" s="4">
        <v>-0.2417775494</v>
      </c>
      <c r="O215" s="4">
        <v>-1778.473752</v>
      </c>
      <c r="P215" s="4">
        <v>1.91033237E-4</v>
      </c>
      <c r="Q215" s="4">
        <v>7355.826693</v>
      </c>
    </row>
    <row r="216">
      <c r="A216" s="2">
        <v>7.0</v>
      </c>
      <c r="B216" s="3" t="s">
        <v>316</v>
      </c>
      <c r="C216" s="2">
        <v>71.0</v>
      </c>
      <c r="D216" s="3" t="s">
        <v>317</v>
      </c>
      <c r="E216" s="2">
        <v>713.0</v>
      </c>
      <c r="F216" s="3" t="s">
        <v>325</v>
      </c>
      <c r="G216" s="2">
        <v>7134.0</v>
      </c>
      <c r="H216" s="3" t="s">
        <v>329</v>
      </c>
      <c r="I216" s="2">
        <v>2024.0</v>
      </c>
      <c r="J216" s="2">
        <v>20241.0</v>
      </c>
      <c r="K216" s="3" t="s">
        <v>21</v>
      </c>
      <c r="L216" s="4">
        <v>2111.0</v>
      </c>
      <c r="M216" s="4">
        <v>2749.372335</v>
      </c>
      <c r="N216" s="4">
        <v>0.1521974755</v>
      </c>
      <c r="O216" s="4">
        <v>363.1734469</v>
      </c>
      <c r="P216" s="4">
        <v>0.001482614571</v>
      </c>
      <c r="Q216" s="4">
        <v>2386.198888</v>
      </c>
    </row>
    <row r="217">
      <c r="A217" s="2">
        <v>7.0</v>
      </c>
      <c r="B217" s="3" t="s">
        <v>316</v>
      </c>
      <c r="C217" s="2">
        <v>71.0</v>
      </c>
      <c r="D217" s="3" t="s">
        <v>317</v>
      </c>
      <c r="E217" s="2">
        <v>713.0</v>
      </c>
      <c r="F217" s="3" t="s">
        <v>325</v>
      </c>
      <c r="G217" s="2">
        <v>7135.0</v>
      </c>
      <c r="H217" s="3" t="s">
        <v>330</v>
      </c>
      <c r="I217" s="2">
        <v>2024.0</v>
      </c>
      <c r="J217" s="2">
        <v>20241.0</v>
      </c>
      <c r="K217" s="3" t="s">
        <v>21</v>
      </c>
      <c r="L217" s="4">
        <v>1218.0</v>
      </c>
      <c r="M217" s="4">
        <v>6302.438424</v>
      </c>
      <c r="N217" s="4">
        <v>-0.1326537562</v>
      </c>
      <c r="O217" s="4">
        <v>-963.9081691</v>
      </c>
      <c r="P217" s="4">
        <v>8.554355979E-4</v>
      </c>
      <c r="Q217" s="4">
        <v>7266.346593</v>
      </c>
    </row>
    <row r="218">
      <c r="A218" s="2">
        <v>7.0</v>
      </c>
      <c r="B218" s="3" t="s">
        <v>316</v>
      </c>
      <c r="C218" s="2">
        <v>72.0</v>
      </c>
      <c r="D218" s="3" t="s">
        <v>331</v>
      </c>
      <c r="E218" s="2">
        <v>720.0</v>
      </c>
      <c r="F218" s="3" t="s">
        <v>332</v>
      </c>
      <c r="G218" s="2">
        <v>7201.0</v>
      </c>
      <c r="H218" s="3" t="s">
        <v>332</v>
      </c>
      <c r="I218" s="2">
        <v>2024.0</v>
      </c>
      <c r="J218" s="2">
        <v>20241.0</v>
      </c>
      <c r="K218" s="3" t="s">
        <v>21</v>
      </c>
      <c r="L218" s="4">
        <v>80.0</v>
      </c>
      <c r="M218" s="4">
        <v>4000.0</v>
      </c>
      <c r="N218" s="4">
        <v>-0.8139534884</v>
      </c>
      <c r="O218" s="4">
        <v>-17500.0</v>
      </c>
      <c r="P218" s="4">
        <v>5.618624617E-5</v>
      </c>
      <c r="Q218" s="4">
        <v>21500.0</v>
      </c>
    </row>
    <row r="219">
      <c r="A219" s="2">
        <v>7.0</v>
      </c>
      <c r="B219" s="3" t="s">
        <v>316</v>
      </c>
      <c r="C219" s="2">
        <v>72.0</v>
      </c>
      <c r="D219" s="3" t="s">
        <v>331</v>
      </c>
      <c r="E219" s="2">
        <v>721.0</v>
      </c>
      <c r="F219" s="3" t="s">
        <v>333</v>
      </c>
      <c r="G219" s="2">
        <v>7211.0</v>
      </c>
      <c r="H219" s="3" t="s">
        <v>334</v>
      </c>
      <c r="I219" s="2">
        <v>2024.0</v>
      </c>
      <c r="J219" s="2">
        <v>20241.0</v>
      </c>
      <c r="K219" s="3" t="s">
        <v>21</v>
      </c>
      <c r="L219" s="4">
        <v>1207.0</v>
      </c>
      <c r="M219" s="4">
        <v>7947.340514</v>
      </c>
      <c r="N219" s="4">
        <v>0.9535616884</v>
      </c>
      <c r="O219" s="4">
        <v>3879.211741</v>
      </c>
      <c r="P219" s="4">
        <v>8.477099891E-4</v>
      </c>
      <c r="Q219" s="4">
        <v>4068.128773</v>
      </c>
    </row>
    <row r="220">
      <c r="A220" s="2">
        <v>7.0</v>
      </c>
      <c r="B220" s="3" t="s">
        <v>316</v>
      </c>
      <c r="C220" s="2">
        <v>72.0</v>
      </c>
      <c r="D220" s="3" t="s">
        <v>331</v>
      </c>
      <c r="E220" s="2">
        <v>721.0</v>
      </c>
      <c r="F220" s="3" t="s">
        <v>333</v>
      </c>
      <c r="G220" s="2">
        <v>7212.0</v>
      </c>
      <c r="H220" s="3" t="s">
        <v>335</v>
      </c>
      <c r="I220" s="2">
        <v>2024.0</v>
      </c>
      <c r="J220" s="2">
        <v>20241.0</v>
      </c>
      <c r="K220" s="3" t="s">
        <v>21</v>
      </c>
      <c r="L220" s="4">
        <v>5877.0</v>
      </c>
      <c r="M220" s="4">
        <v>8540.712949</v>
      </c>
      <c r="N220" s="4">
        <v>0.1382698689</v>
      </c>
      <c r="O220" s="4">
        <v>1037.472125</v>
      </c>
      <c r="P220" s="4">
        <v>0.004127582109</v>
      </c>
      <c r="Q220" s="4">
        <v>7503.240824</v>
      </c>
    </row>
    <row r="221">
      <c r="A221" s="2">
        <v>7.0</v>
      </c>
      <c r="B221" s="3" t="s">
        <v>316</v>
      </c>
      <c r="C221" s="2">
        <v>72.0</v>
      </c>
      <c r="D221" s="3" t="s">
        <v>331</v>
      </c>
      <c r="E221" s="2">
        <v>721.0</v>
      </c>
      <c r="F221" s="3" t="s">
        <v>333</v>
      </c>
      <c r="G221" s="2">
        <v>7213.0</v>
      </c>
      <c r="H221" s="3" t="s">
        <v>336</v>
      </c>
      <c r="I221" s="2">
        <v>2024.0</v>
      </c>
      <c r="J221" s="2">
        <v>20241.0</v>
      </c>
      <c r="K221" s="3" t="s">
        <v>21</v>
      </c>
      <c r="L221" s="4">
        <v>5995.0</v>
      </c>
      <c r="M221" s="4">
        <v>9716.722269</v>
      </c>
      <c r="N221" s="4">
        <v>0.2684028772</v>
      </c>
      <c r="O221" s="4">
        <v>2056.126063</v>
      </c>
      <c r="P221" s="4">
        <v>0.004210456822</v>
      </c>
      <c r="Q221" s="4">
        <v>7660.596206</v>
      </c>
    </row>
    <row r="222">
      <c r="A222" s="2">
        <v>7.0</v>
      </c>
      <c r="B222" s="3" t="s">
        <v>316</v>
      </c>
      <c r="C222" s="2">
        <v>72.0</v>
      </c>
      <c r="D222" s="3" t="s">
        <v>331</v>
      </c>
      <c r="E222" s="2">
        <v>722.0</v>
      </c>
      <c r="F222" s="3" t="s">
        <v>337</v>
      </c>
      <c r="G222" s="2">
        <v>7221.0</v>
      </c>
      <c r="H222" s="3" t="s">
        <v>338</v>
      </c>
      <c r="I222" s="2">
        <v>2024.0</v>
      </c>
      <c r="J222" s="2">
        <v>20241.0</v>
      </c>
      <c r="K222" s="3" t="s">
        <v>21</v>
      </c>
      <c r="L222" s="4">
        <v>4750.0</v>
      </c>
      <c r="M222" s="4">
        <v>7493.633684</v>
      </c>
      <c r="N222" s="4">
        <v>0.5679733772</v>
      </c>
      <c r="O222" s="4">
        <v>2714.449424</v>
      </c>
      <c r="P222" s="4">
        <v>0.003336058366</v>
      </c>
      <c r="Q222" s="4">
        <v>4779.18426</v>
      </c>
    </row>
    <row r="223">
      <c r="A223" s="2">
        <v>7.0</v>
      </c>
      <c r="B223" s="3" t="s">
        <v>316</v>
      </c>
      <c r="C223" s="2">
        <v>72.0</v>
      </c>
      <c r="D223" s="3" t="s">
        <v>331</v>
      </c>
      <c r="E223" s="2">
        <v>722.0</v>
      </c>
      <c r="F223" s="3" t="s">
        <v>337</v>
      </c>
      <c r="G223" s="2">
        <v>7222.0</v>
      </c>
      <c r="H223" s="3" t="s">
        <v>339</v>
      </c>
      <c r="I223" s="2">
        <v>2024.0</v>
      </c>
      <c r="J223" s="2">
        <v>20241.0</v>
      </c>
      <c r="K223" s="3" t="s">
        <v>21</v>
      </c>
      <c r="L223" s="4">
        <v>113.0</v>
      </c>
      <c r="M223" s="4">
        <v>0.0</v>
      </c>
      <c r="N223" s="4">
        <v>-1.0</v>
      </c>
      <c r="O223" s="4">
        <v>-5425.75</v>
      </c>
      <c r="P223" s="4">
        <v>7.936307271E-5</v>
      </c>
      <c r="Q223" s="4">
        <v>5425.75</v>
      </c>
    </row>
    <row r="224">
      <c r="A224" s="2">
        <v>7.0</v>
      </c>
      <c r="B224" s="3" t="s">
        <v>316</v>
      </c>
      <c r="C224" s="2">
        <v>73.0</v>
      </c>
      <c r="D224" s="3" t="s">
        <v>340</v>
      </c>
      <c r="E224" s="2">
        <v>731.0</v>
      </c>
      <c r="F224" s="3" t="s">
        <v>341</v>
      </c>
      <c r="G224" s="2">
        <v>7311.0</v>
      </c>
      <c r="H224" s="3" t="s">
        <v>342</v>
      </c>
      <c r="I224" s="2">
        <v>2024.0</v>
      </c>
      <c r="J224" s="2">
        <v>20241.0</v>
      </c>
      <c r="K224" s="3" t="s">
        <v>21</v>
      </c>
      <c r="L224" s="4">
        <v>8516.0</v>
      </c>
      <c r="M224" s="4">
        <v>5113.686003</v>
      </c>
      <c r="N224" s="4">
        <v>-0.2078013317</v>
      </c>
      <c r="O224" s="4">
        <v>-1341.369032</v>
      </c>
      <c r="P224" s="4">
        <v>0.005981025905</v>
      </c>
      <c r="Q224" s="4">
        <v>6455.055035</v>
      </c>
    </row>
    <row r="225">
      <c r="A225" s="2">
        <v>7.0</v>
      </c>
      <c r="B225" s="3" t="s">
        <v>316</v>
      </c>
      <c r="C225" s="2">
        <v>73.0</v>
      </c>
      <c r="D225" s="3" t="s">
        <v>340</v>
      </c>
      <c r="E225" s="2">
        <v>731.0</v>
      </c>
      <c r="F225" s="3" t="s">
        <v>341</v>
      </c>
      <c r="G225" s="2">
        <v>7312.0</v>
      </c>
      <c r="H225" s="3" t="s">
        <v>343</v>
      </c>
      <c r="I225" s="2">
        <v>2024.0</v>
      </c>
      <c r="J225" s="2">
        <v>20241.0</v>
      </c>
      <c r="K225" s="3" t="s">
        <v>21</v>
      </c>
      <c r="L225" s="4">
        <v>588.0</v>
      </c>
      <c r="M225" s="4">
        <v>1032.0</v>
      </c>
      <c r="N225" s="4">
        <v>-0.7764768494</v>
      </c>
      <c r="O225" s="4">
        <v>-3584.971429</v>
      </c>
      <c r="P225" s="4">
        <v>4.129689093E-4</v>
      </c>
      <c r="Q225" s="4">
        <v>4616.971429</v>
      </c>
    </row>
    <row r="226">
      <c r="A226" s="2">
        <v>7.0</v>
      </c>
      <c r="B226" s="3" t="s">
        <v>316</v>
      </c>
      <c r="C226" s="2">
        <v>73.0</v>
      </c>
      <c r="D226" s="3" t="s">
        <v>340</v>
      </c>
      <c r="E226" s="2">
        <v>731.0</v>
      </c>
      <c r="F226" s="3" t="s">
        <v>341</v>
      </c>
      <c r="G226" s="2">
        <v>7313.0</v>
      </c>
      <c r="H226" s="3" t="s">
        <v>344</v>
      </c>
      <c r="I226" s="2">
        <v>2024.0</v>
      </c>
      <c r="J226" s="2">
        <v>20241.0</v>
      </c>
      <c r="K226" s="3" t="s">
        <v>21</v>
      </c>
      <c r="L226" s="4">
        <v>2788.0</v>
      </c>
      <c r="M226" s="4">
        <v>5706.151363</v>
      </c>
      <c r="N226" s="4">
        <v>0.1153020466</v>
      </c>
      <c r="O226" s="4">
        <v>589.9127796</v>
      </c>
      <c r="P226" s="4">
        <v>0.001958090679</v>
      </c>
      <c r="Q226" s="4">
        <v>5116.238583</v>
      </c>
    </row>
    <row r="227">
      <c r="A227" s="2">
        <v>7.0</v>
      </c>
      <c r="B227" s="3" t="s">
        <v>316</v>
      </c>
      <c r="C227" s="2">
        <v>73.0</v>
      </c>
      <c r="D227" s="3" t="s">
        <v>340</v>
      </c>
      <c r="E227" s="2">
        <v>732.0</v>
      </c>
      <c r="F227" s="3" t="s">
        <v>345</v>
      </c>
      <c r="G227" s="2">
        <v>7321.0</v>
      </c>
      <c r="H227" s="3" t="s">
        <v>346</v>
      </c>
      <c r="I227" s="2">
        <v>2024.0</v>
      </c>
      <c r="J227" s="2">
        <v>20241.0</v>
      </c>
      <c r="K227" s="3" t="s">
        <v>21</v>
      </c>
      <c r="L227" s="4">
        <v>439.0</v>
      </c>
      <c r="M227" s="4">
        <v>7535.535308</v>
      </c>
      <c r="N227" s="4">
        <v>1.444671691</v>
      </c>
      <c r="O227" s="4">
        <v>4453.102875</v>
      </c>
      <c r="P227" s="4">
        <v>3.083220259E-4</v>
      </c>
      <c r="Q227" s="4">
        <v>3082.432432</v>
      </c>
    </row>
    <row r="228">
      <c r="A228" s="2">
        <v>7.0</v>
      </c>
      <c r="B228" s="3" t="s">
        <v>316</v>
      </c>
      <c r="C228" s="2">
        <v>73.0</v>
      </c>
      <c r="D228" s="3" t="s">
        <v>340</v>
      </c>
      <c r="E228" s="2">
        <v>732.0</v>
      </c>
      <c r="F228" s="3" t="s">
        <v>345</v>
      </c>
      <c r="G228" s="2">
        <v>7322.0</v>
      </c>
      <c r="H228" s="3" t="s">
        <v>347</v>
      </c>
      <c r="I228" s="2">
        <v>2024.0</v>
      </c>
      <c r="J228" s="2">
        <v>20241.0</v>
      </c>
      <c r="K228" s="3" t="s">
        <v>21</v>
      </c>
      <c r="L228" s="4">
        <v>1127.0</v>
      </c>
      <c r="M228" s="4">
        <v>1963.425022</v>
      </c>
      <c r="N228" s="4">
        <v>-0.5884074634</v>
      </c>
      <c r="O228" s="4">
        <v>-2806.887478</v>
      </c>
      <c r="P228" s="4">
        <v>7.915237429E-4</v>
      </c>
      <c r="Q228" s="4">
        <v>4770.3125</v>
      </c>
    </row>
    <row r="229">
      <c r="A229" s="2">
        <v>7.0</v>
      </c>
      <c r="B229" s="3" t="s">
        <v>316</v>
      </c>
      <c r="C229" s="2">
        <v>73.0</v>
      </c>
      <c r="D229" s="3" t="s">
        <v>340</v>
      </c>
      <c r="E229" s="2">
        <v>733.0</v>
      </c>
      <c r="F229" s="3" t="s">
        <v>348</v>
      </c>
      <c r="G229" s="2">
        <v>7332.0</v>
      </c>
      <c r="H229" s="3" t="s">
        <v>349</v>
      </c>
      <c r="I229" s="2">
        <v>2024.0</v>
      </c>
      <c r="J229" s="2">
        <v>20241.0</v>
      </c>
      <c r="K229" s="3" t="s">
        <v>21</v>
      </c>
      <c r="L229" s="4">
        <v>1447.0</v>
      </c>
      <c r="M229" s="4">
        <v>1148.76434</v>
      </c>
      <c r="N229" s="4">
        <v>-0.3396514949</v>
      </c>
      <c r="O229" s="4">
        <v>-590.8690976</v>
      </c>
      <c r="P229" s="4">
        <v>0.001016268728</v>
      </c>
      <c r="Q229" s="4">
        <v>1739.633438</v>
      </c>
    </row>
    <row r="230">
      <c r="A230" s="2">
        <v>7.0</v>
      </c>
      <c r="B230" s="3" t="s">
        <v>316</v>
      </c>
      <c r="C230" s="2">
        <v>73.0</v>
      </c>
      <c r="D230" s="3" t="s">
        <v>340</v>
      </c>
      <c r="E230" s="2">
        <v>734.0</v>
      </c>
      <c r="F230" s="3" t="s">
        <v>350</v>
      </c>
      <c r="G230" s="2">
        <v>7341.0</v>
      </c>
      <c r="H230" s="3" t="s">
        <v>351</v>
      </c>
      <c r="I230" s="2">
        <v>2024.0</v>
      </c>
      <c r="J230" s="2">
        <v>20241.0</v>
      </c>
      <c r="K230" s="3" t="s">
        <v>21</v>
      </c>
      <c r="L230" s="4">
        <v>29796.0</v>
      </c>
      <c r="M230" s="4">
        <v>3641.089979</v>
      </c>
      <c r="N230" s="4">
        <v>-0.2125795053</v>
      </c>
      <c r="O230" s="4">
        <v>-982.9831859</v>
      </c>
      <c r="P230" s="4">
        <v>0.02092656739</v>
      </c>
      <c r="Q230" s="4">
        <v>4624.073164</v>
      </c>
    </row>
    <row r="231">
      <c r="A231" s="2">
        <v>7.0</v>
      </c>
      <c r="B231" s="3" t="s">
        <v>316</v>
      </c>
      <c r="C231" s="2">
        <v>73.0</v>
      </c>
      <c r="D231" s="3" t="s">
        <v>340</v>
      </c>
      <c r="E231" s="2">
        <v>734.0</v>
      </c>
      <c r="F231" s="3" t="s">
        <v>350</v>
      </c>
      <c r="G231" s="2">
        <v>7342.0</v>
      </c>
      <c r="H231" s="3" t="s">
        <v>352</v>
      </c>
      <c r="I231" s="2">
        <v>2024.0</v>
      </c>
      <c r="J231" s="2">
        <v>20241.0</v>
      </c>
      <c r="K231" s="3" t="s">
        <v>21</v>
      </c>
      <c r="L231" s="4">
        <v>146.0</v>
      </c>
      <c r="M231" s="4">
        <v>4933.219178</v>
      </c>
      <c r="N231" s="4">
        <v>0.1886952387</v>
      </c>
      <c r="O231" s="4">
        <v>783.106502</v>
      </c>
      <c r="P231" s="4">
        <v>1.025398993E-4</v>
      </c>
      <c r="Q231" s="4">
        <v>4150.112676</v>
      </c>
    </row>
    <row r="232">
      <c r="A232" s="2">
        <v>7.0</v>
      </c>
      <c r="B232" s="3" t="s">
        <v>316</v>
      </c>
      <c r="C232" s="2">
        <v>73.0</v>
      </c>
      <c r="D232" s="3" t="s">
        <v>340</v>
      </c>
      <c r="E232" s="2">
        <v>734.0</v>
      </c>
      <c r="F232" s="3" t="s">
        <v>350</v>
      </c>
      <c r="G232" s="2">
        <v>7343.0</v>
      </c>
      <c r="H232" s="3" t="s">
        <v>353</v>
      </c>
      <c r="I232" s="2">
        <v>2024.0</v>
      </c>
      <c r="J232" s="2">
        <v>20241.0</v>
      </c>
      <c r="K232" s="3" t="s">
        <v>21</v>
      </c>
      <c r="L232" s="4">
        <v>12432.0</v>
      </c>
      <c r="M232" s="4">
        <v>1102.184685</v>
      </c>
      <c r="N232" s="4">
        <v>0.1003103403</v>
      </c>
      <c r="O232" s="4">
        <v>100.4812159</v>
      </c>
      <c r="P232" s="4">
        <v>0.008731342655</v>
      </c>
      <c r="Q232" s="4">
        <v>1001.703469</v>
      </c>
    </row>
    <row r="233">
      <c r="A233" s="2">
        <v>7.0</v>
      </c>
      <c r="B233" s="3" t="s">
        <v>316</v>
      </c>
      <c r="C233" s="2">
        <v>73.0</v>
      </c>
      <c r="D233" s="3" t="s">
        <v>340</v>
      </c>
      <c r="E233" s="2">
        <v>734.0</v>
      </c>
      <c r="F233" s="3" t="s">
        <v>350</v>
      </c>
      <c r="G233" s="2">
        <v>7344.0</v>
      </c>
      <c r="H233" s="3" t="s">
        <v>354</v>
      </c>
      <c r="I233" s="2">
        <v>2024.0</v>
      </c>
      <c r="J233" s="2">
        <v>20241.0</v>
      </c>
      <c r="K233" s="3" t="s">
        <v>21</v>
      </c>
      <c r="L233" s="4">
        <v>1036.0</v>
      </c>
      <c r="M233" s="4">
        <v>7000.0</v>
      </c>
      <c r="N233" s="4">
        <v>1.0</v>
      </c>
      <c r="O233" s="4">
        <v>7000.0</v>
      </c>
      <c r="P233" s="4">
        <v>7.276118879E-4</v>
      </c>
      <c r="Q233" s="4">
        <v>0.0</v>
      </c>
    </row>
    <row r="234">
      <c r="A234" s="2">
        <v>7.0</v>
      </c>
      <c r="B234" s="3" t="s">
        <v>316</v>
      </c>
      <c r="C234" s="2">
        <v>73.0</v>
      </c>
      <c r="D234" s="3" t="s">
        <v>340</v>
      </c>
      <c r="E234" s="2">
        <v>735.0</v>
      </c>
      <c r="F234" s="3" t="s">
        <v>355</v>
      </c>
      <c r="G234" s="2">
        <v>7351.0</v>
      </c>
      <c r="H234" s="3" t="s">
        <v>356</v>
      </c>
      <c r="I234" s="2">
        <v>2024.0</v>
      </c>
      <c r="J234" s="2">
        <v>20241.0</v>
      </c>
      <c r="K234" s="3" t="s">
        <v>21</v>
      </c>
      <c r="L234" s="4">
        <v>273.0</v>
      </c>
      <c r="M234" s="4">
        <v>6694.43956</v>
      </c>
      <c r="N234" s="4">
        <v>-0.1197829916</v>
      </c>
      <c r="O234" s="4">
        <v>-911.0026164</v>
      </c>
      <c r="P234" s="4">
        <v>1.917355651E-4</v>
      </c>
      <c r="Q234" s="4">
        <v>7605.442177</v>
      </c>
    </row>
    <row r="235">
      <c r="A235" s="2">
        <v>7.0</v>
      </c>
      <c r="B235" s="3" t="s">
        <v>316</v>
      </c>
      <c r="C235" s="2">
        <v>73.0</v>
      </c>
      <c r="D235" s="3" t="s">
        <v>340</v>
      </c>
      <c r="E235" s="2">
        <v>735.0</v>
      </c>
      <c r="F235" s="3" t="s">
        <v>355</v>
      </c>
      <c r="G235" s="2">
        <v>7352.0</v>
      </c>
      <c r="H235" s="3" t="s">
        <v>357</v>
      </c>
      <c r="I235" s="2">
        <v>2024.0</v>
      </c>
      <c r="J235" s="2">
        <v>20241.0</v>
      </c>
      <c r="K235" s="3" t="s">
        <v>21</v>
      </c>
      <c r="L235" s="4">
        <v>40.0</v>
      </c>
      <c r="M235" s="4">
        <v>11180.0</v>
      </c>
      <c r="N235" s="4">
        <v>1.0</v>
      </c>
      <c r="O235" s="4">
        <v>11180.0</v>
      </c>
      <c r="P235" s="4">
        <v>2.809312308E-5</v>
      </c>
      <c r="Q235" s="4">
        <v>0.0</v>
      </c>
    </row>
    <row r="236">
      <c r="A236" s="2">
        <v>7.0</v>
      </c>
      <c r="B236" s="3" t="s">
        <v>316</v>
      </c>
      <c r="C236" s="2">
        <v>73.0</v>
      </c>
      <c r="D236" s="3" t="s">
        <v>340</v>
      </c>
      <c r="E236" s="2">
        <v>735.0</v>
      </c>
      <c r="F236" s="3" t="s">
        <v>355</v>
      </c>
      <c r="G236" s="2">
        <v>7353.0</v>
      </c>
      <c r="H236" s="3" t="s">
        <v>358</v>
      </c>
      <c r="I236" s="2">
        <v>2024.0</v>
      </c>
      <c r="J236" s="2">
        <v>20241.0</v>
      </c>
      <c r="K236" s="3" t="s">
        <v>21</v>
      </c>
      <c r="L236" s="4">
        <v>654.0</v>
      </c>
      <c r="M236" s="4">
        <v>0.0</v>
      </c>
      <c r="N236" s="4">
        <v>-1.0</v>
      </c>
      <c r="O236" s="4">
        <v>-5474.80735</v>
      </c>
      <c r="P236" s="4">
        <v>4.593225624E-4</v>
      </c>
      <c r="Q236" s="4">
        <v>5474.80735</v>
      </c>
    </row>
    <row r="237">
      <c r="A237" s="2">
        <v>7.0</v>
      </c>
      <c r="B237" s="3" t="s">
        <v>316</v>
      </c>
      <c r="C237" s="2">
        <v>74.0</v>
      </c>
      <c r="D237" s="3" t="s">
        <v>359</v>
      </c>
      <c r="E237" s="2">
        <v>741.0</v>
      </c>
      <c r="F237" s="3" t="s">
        <v>359</v>
      </c>
      <c r="G237" s="2">
        <v>7411.0</v>
      </c>
      <c r="H237" s="3" t="s">
        <v>360</v>
      </c>
      <c r="I237" s="2">
        <v>2024.0</v>
      </c>
      <c r="J237" s="2">
        <v>20241.0</v>
      </c>
      <c r="K237" s="3" t="s">
        <v>21</v>
      </c>
      <c r="L237" s="4">
        <v>660.0</v>
      </c>
      <c r="M237" s="4">
        <v>7593.333333</v>
      </c>
      <c r="N237" s="4">
        <v>-0.1854003232</v>
      </c>
      <c r="O237" s="4">
        <v>-1728.218773</v>
      </c>
      <c r="P237" s="4">
        <v>4.635365309E-4</v>
      </c>
      <c r="Q237" s="4">
        <v>9321.552106</v>
      </c>
    </row>
    <row r="238">
      <c r="A238" s="2">
        <v>7.0</v>
      </c>
      <c r="B238" s="3" t="s">
        <v>316</v>
      </c>
      <c r="C238" s="2">
        <v>74.0</v>
      </c>
      <c r="D238" s="3" t="s">
        <v>359</v>
      </c>
      <c r="E238" s="2">
        <v>741.0</v>
      </c>
      <c r="F238" s="3" t="s">
        <v>359</v>
      </c>
      <c r="G238" s="2">
        <v>7412.0</v>
      </c>
      <c r="H238" s="3" t="s">
        <v>361</v>
      </c>
      <c r="I238" s="2">
        <v>2024.0</v>
      </c>
      <c r="J238" s="2">
        <v>20241.0</v>
      </c>
      <c r="K238" s="3" t="s">
        <v>21</v>
      </c>
      <c r="L238" s="4">
        <v>857.0</v>
      </c>
      <c r="M238" s="4">
        <v>8391.271879</v>
      </c>
      <c r="N238" s="4">
        <v>0.9629057803</v>
      </c>
      <c r="O238" s="4">
        <v>4116.348465</v>
      </c>
      <c r="P238" s="4">
        <v>6.018951621E-4</v>
      </c>
      <c r="Q238" s="4">
        <v>4274.923414</v>
      </c>
    </row>
    <row r="239">
      <c r="A239" s="2">
        <v>7.0</v>
      </c>
      <c r="B239" s="3" t="s">
        <v>316</v>
      </c>
      <c r="C239" s="2">
        <v>75.0</v>
      </c>
      <c r="D239" s="3" t="s">
        <v>362</v>
      </c>
      <c r="E239" s="2">
        <v>750.0</v>
      </c>
      <c r="F239" s="3" t="s">
        <v>363</v>
      </c>
      <c r="G239" s="2">
        <v>7501.0</v>
      </c>
      <c r="H239" s="3" t="s">
        <v>363</v>
      </c>
      <c r="I239" s="2">
        <v>2024.0</v>
      </c>
      <c r="J239" s="2">
        <v>20241.0</v>
      </c>
      <c r="K239" s="3" t="s">
        <v>21</v>
      </c>
      <c r="L239" s="4">
        <v>291.0</v>
      </c>
      <c r="M239" s="4">
        <v>0.0</v>
      </c>
      <c r="N239" s="4">
        <v>-1.0</v>
      </c>
      <c r="O239" s="4">
        <v>-4970.568336</v>
      </c>
      <c r="P239" s="4">
        <v>2.043774704E-4</v>
      </c>
      <c r="Q239" s="4">
        <v>4970.568336</v>
      </c>
    </row>
    <row r="240">
      <c r="A240" s="2">
        <v>7.0</v>
      </c>
      <c r="B240" s="3" t="s">
        <v>316</v>
      </c>
      <c r="C240" s="2">
        <v>75.0</v>
      </c>
      <c r="D240" s="3" t="s">
        <v>362</v>
      </c>
      <c r="E240" s="2">
        <v>751.0</v>
      </c>
      <c r="F240" s="3" t="s">
        <v>362</v>
      </c>
      <c r="G240" s="2">
        <v>7511.0</v>
      </c>
      <c r="H240" s="3" t="s">
        <v>364</v>
      </c>
      <c r="I240" s="2">
        <v>2024.0</v>
      </c>
      <c r="J240" s="2">
        <v>20241.0</v>
      </c>
      <c r="K240" s="3" t="s">
        <v>21</v>
      </c>
      <c r="L240" s="4">
        <v>14817.0</v>
      </c>
      <c r="M240" s="4">
        <v>5535.514544</v>
      </c>
      <c r="N240" s="4">
        <v>0.1264081439</v>
      </c>
      <c r="O240" s="4">
        <v>621.2083275</v>
      </c>
      <c r="P240" s="4">
        <v>0.01040639512</v>
      </c>
      <c r="Q240" s="4">
        <v>4914.306217</v>
      </c>
    </row>
    <row r="241">
      <c r="A241" s="2">
        <v>7.0</v>
      </c>
      <c r="B241" s="3" t="s">
        <v>316</v>
      </c>
      <c r="C241" s="2">
        <v>75.0</v>
      </c>
      <c r="D241" s="3" t="s">
        <v>362</v>
      </c>
      <c r="E241" s="2">
        <v>751.0</v>
      </c>
      <c r="F241" s="3" t="s">
        <v>362</v>
      </c>
      <c r="G241" s="2">
        <v>7512.0</v>
      </c>
      <c r="H241" s="3" t="s">
        <v>365</v>
      </c>
      <c r="I241" s="2">
        <v>2024.0</v>
      </c>
      <c r="J241" s="2">
        <v>20241.0</v>
      </c>
      <c r="K241" s="3" t="s">
        <v>21</v>
      </c>
      <c r="L241" s="4">
        <v>923.0</v>
      </c>
      <c r="M241" s="4">
        <v>12900.0</v>
      </c>
      <c r="N241" s="4">
        <v>1.0</v>
      </c>
      <c r="O241" s="4">
        <v>12900.0</v>
      </c>
      <c r="P241" s="4">
        <v>6.482488152E-4</v>
      </c>
      <c r="Q241" s="4">
        <v>0.0</v>
      </c>
    </row>
    <row r="242">
      <c r="A242" s="2">
        <v>7.0</v>
      </c>
      <c r="B242" s="3" t="s">
        <v>316</v>
      </c>
      <c r="C242" s="2">
        <v>75.0</v>
      </c>
      <c r="D242" s="3" t="s">
        <v>362</v>
      </c>
      <c r="E242" s="2">
        <v>751.0</v>
      </c>
      <c r="F242" s="3" t="s">
        <v>362</v>
      </c>
      <c r="G242" s="2">
        <v>7513.0</v>
      </c>
      <c r="H242" s="3" t="s">
        <v>366</v>
      </c>
      <c r="I242" s="2">
        <v>2024.0</v>
      </c>
      <c r="J242" s="2">
        <v>20241.0</v>
      </c>
      <c r="K242" s="3" t="s">
        <v>21</v>
      </c>
      <c r="L242" s="4">
        <v>29044.0</v>
      </c>
      <c r="M242" s="4">
        <v>6073.59341</v>
      </c>
      <c r="N242" s="4">
        <v>0.4892287259</v>
      </c>
      <c r="O242" s="4">
        <v>1995.245132</v>
      </c>
      <c r="P242" s="4">
        <v>0.02039841667</v>
      </c>
      <c r="Q242" s="4">
        <v>4078.348278</v>
      </c>
    </row>
    <row r="243">
      <c r="A243" s="2">
        <v>7.0</v>
      </c>
      <c r="B243" s="3" t="s">
        <v>316</v>
      </c>
      <c r="C243" s="2">
        <v>75.0</v>
      </c>
      <c r="D243" s="3" t="s">
        <v>362</v>
      </c>
      <c r="E243" s="2">
        <v>751.0</v>
      </c>
      <c r="F243" s="3" t="s">
        <v>362</v>
      </c>
      <c r="G243" s="2">
        <v>7514.0</v>
      </c>
      <c r="H243" s="3" t="s">
        <v>367</v>
      </c>
      <c r="I243" s="2">
        <v>2024.0</v>
      </c>
      <c r="J243" s="2">
        <v>20241.0</v>
      </c>
      <c r="K243" s="3" t="s">
        <v>21</v>
      </c>
      <c r="L243" s="4">
        <v>483.0</v>
      </c>
      <c r="M243" s="4">
        <v>6000.0</v>
      </c>
      <c r="N243" s="4">
        <v>0.5581719494</v>
      </c>
      <c r="O243" s="4">
        <v>2149.333838</v>
      </c>
      <c r="P243" s="4">
        <v>3.392244612E-4</v>
      </c>
      <c r="Q243" s="4">
        <v>3850.666162</v>
      </c>
    </row>
    <row r="244">
      <c r="A244" s="2">
        <v>7.0</v>
      </c>
      <c r="B244" s="3" t="s">
        <v>316</v>
      </c>
      <c r="C244" s="2">
        <v>75.0</v>
      </c>
      <c r="D244" s="3" t="s">
        <v>362</v>
      </c>
      <c r="E244" s="2">
        <v>751.0</v>
      </c>
      <c r="F244" s="3" t="s">
        <v>362</v>
      </c>
      <c r="G244" s="2">
        <v>7515.0</v>
      </c>
      <c r="H244" s="3" t="s">
        <v>368</v>
      </c>
      <c r="I244" s="2">
        <v>2024.0</v>
      </c>
      <c r="J244" s="2">
        <v>20241.0</v>
      </c>
      <c r="K244" s="3" t="s">
        <v>21</v>
      </c>
      <c r="L244" s="4">
        <v>2152.0</v>
      </c>
      <c r="M244" s="4">
        <v>4985.861989</v>
      </c>
      <c r="N244" s="4">
        <v>-0.03191789463</v>
      </c>
      <c r="O244" s="4">
        <v>-164.385042</v>
      </c>
      <c r="P244" s="4">
        <v>0.001511410022</v>
      </c>
      <c r="Q244" s="4">
        <v>5150.247031</v>
      </c>
    </row>
    <row r="245">
      <c r="A245" s="2">
        <v>7.0</v>
      </c>
      <c r="B245" s="3" t="s">
        <v>316</v>
      </c>
      <c r="C245" s="2">
        <v>75.0</v>
      </c>
      <c r="D245" s="3" t="s">
        <v>362</v>
      </c>
      <c r="E245" s="2">
        <v>751.0</v>
      </c>
      <c r="F245" s="3" t="s">
        <v>362</v>
      </c>
      <c r="G245" s="2">
        <v>7517.0</v>
      </c>
      <c r="H245" s="3" t="s">
        <v>369</v>
      </c>
      <c r="I245" s="2">
        <v>2024.0</v>
      </c>
      <c r="J245" s="2">
        <v>20241.0</v>
      </c>
      <c r="K245" s="3" t="s">
        <v>21</v>
      </c>
      <c r="L245" s="4">
        <v>1459.0</v>
      </c>
      <c r="M245" s="4">
        <v>4187.416038</v>
      </c>
      <c r="N245" s="4">
        <v>1.0</v>
      </c>
      <c r="O245" s="4">
        <v>4187.416038</v>
      </c>
      <c r="P245" s="4">
        <v>0.001024696665</v>
      </c>
      <c r="Q245" s="4">
        <v>0.0</v>
      </c>
    </row>
    <row r="246">
      <c r="A246" s="2">
        <v>7.0</v>
      </c>
      <c r="B246" s="3" t="s">
        <v>316</v>
      </c>
      <c r="C246" s="2">
        <v>76.0</v>
      </c>
      <c r="D246" s="3" t="s">
        <v>370</v>
      </c>
      <c r="E246" s="2">
        <v>761.0</v>
      </c>
      <c r="F246" s="3" t="s">
        <v>370</v>
      </c>
      <c r="G246" s="2">
        <v>7611.0</v>
      </c>
      <c r="H246" s="3" t="s">
        <v>371</v>
      </c>
      <c r="I246" s="2">
        <v>2024.0</v>
      </c>
      <c r="J246" s="2">
        <v>20241.0</v>
      </c>
      <c r="K246" s="3" t="s">
        <v>21</v>
      </c>
      <c r="L246" s="4">
        <v>5017.0</v>
      </c>
      <c r="M246" s="4">
        <v>5232.107634</v>
      </c>
      <c r="N246" s="4">
        <v>0.7063174812</v>
      </c>
      <c r="O246" s="4">
        <v>2165.792196</v>
      </c>
      <c r="P246" s="4">
        <v>0.003523579963</v>
      </c>
      <c r="Q246" s="4">
        <v>3066.315438</v>
      </c>
    </row>
    <row r="247">
      <c r="A247" s="2">
        <v>7.0</v>
      </c>
      <c r="B247" s="3" t="s">
        <v>316</v>
      </c>
      <c r="C247" s="2">
        <v>76.0</v>
      </c>
      <c r="D247" s="3" t="s">
        <v>370</v>
      </c>
      <c r="E247" s="2">
        <v>761.0</v>
      </c>
      <c r="F247" s="3" t="s">
        <v>370</v>
      </c>
      <c r="G247" s="2">
        <v>7612.0</v>
      </c>
      <c r="H247" s="3" t="s">
        <v>372</v>
      </c>
      <c r="I247" s="2">
        <v>2024.0</v>
      </c>
      <c r="J247" s="2">
        <v>20241.0</v>
      </c>
      <c r="K247" s="3" t="s">
        <v>21</v>
      </c>
      <c r="L247" s="4">
        <v>1821.0</v>
      </c>
      <c r="M247" s="4">
        <v>2385.557386</v>
      </c>
      <c r="N247" s="4">
        <v>-0.7592893518</v>
      </c>
      <c r="O247" s="4">
        <v>-7524.919792</v>
      </c>
      <c r="P247" s="4">
        <v>0.001278939428</v>
      </c>
      <c r="Q247" s="4">
        <v>9910.477178</v>
      </c>
    </row>
    <row r="248">
      <c r="A248" s="2">
        <v>8.0</v>
      </c>
      <c r="B248" s="3" t="s">
        <v>373</v>
      </c>
      <c r="C248" s="2">
        <v>81.0</v>
      </c>
      <c r="D248" s="3" t="s">
        <v>374</v>
      </c>
      <c r="E248" s="2">
        <v>810.0</v>
      </c>
      <c r="F248" s="3" t="s">
        <v>375</v>
      </c>
      <c r="G248" s="2">
        <v>8101.0</v>
      </c>
      <c r="H248" s="3" t="s">
        <v>375</v>
      </c>
      <c r="I248" s="2">
        <v>2024.0</v>
      </c>
      <c r="J248" s="2">
        <v>20241.0</v>
      </c>
      <c r="K248" s="3" t="s">
        <v>21</v>
      </c>
      <c r="L248" s="4">
        <v>5536.0</v>
      </c>
      <c r="M248" s="4">
        <v>7581.204841</v>
      </c>
      <c r="N248" s="4">
        <v>-0.009533083591</v>
      </c>
      <c r="O248" s="4">
        <v>-72.96786825</v>
      </c>
      <c r="P248" s="4">
        <v>0.003888088235</v>
      </c>
      <c r="Q248" s="4">
        <v>7654.172709</v>
      </c>
    </row>
    <row r="249">
      <c r="A249" s="2">
        <v>8.0</v>
      </c>
      <c r="B249" s="3" t="s">
        <v>373</v>
      </c>
      <c r="C249" s="2">
        <v>81.0</v>
      </c>
      <c r="D249" s="3" t="s">
        <v>374</v>
      </c>
      <c r="E249" s="2">
        <v>811.0</v>
      </c>
      <c r="F249" s="3" t="s">
        <v>376</v>
      </c>
      <c r="G249" s="2">
        <v>8111.0</v>
      </c>
      <c r="H249" s="3" t="s">
        <v>377</v>
      </c>
      <c r="I249" s="2">
        <v>2024.0</v>
      </c>
      <c r="J249" s="2">
        <v>20241.0</v>
      </c>
      <c r="K249" s="3" t="s">
        <v>21</v>
      </c>
      <c r="L249" s="4">
        <v>81.0</v>
      </c>
      <c r="M249" s="4">
        <v>5160.0</v>
      </c>
      <c r="N249" s="4">
        <v>-0.6071045301</v>
      </c>
      <c r="O249" s="4">
        <v>-7973.264177</v>
      </c>
      <c r="P249" s="4">
        <v>5.688857425E-5</v>
      </c>
      <c r="Q249" s="4">
        <v>13133.26418</v>
      </c>
    </row>
    <row r="250">
      <c r="A250" s="2">
        <v>8.0</v>
      </c>
      <c r="B250" s="3" t="s">
        <v>373</v>
      </c>
      <c r="C250" s="2">
        <v>81.0</v>
      </c>
      <c r="D250" s="3" t="s">
        <v>374</v>
      </c>
      <c r="E250" s="2">
        <v>812.0</v>
      </c>
      <c r="F250" s="3" t="s">
        <v>378</v>
      </c>
      <c r="G250" s="2">
        <v>8121.0</v>
      </c>
      <c r="H250" s="3" t="s">
        <v>379</v>
      </c>
      <c r="I250" s="2">
        <v>2024.0</v>
      </c>
      <c r="J250" s="2">
        <v>20241.0</v>
      </c>
      <c r="K250" s="3" t="s">
        <v>21</v>
      </c>
      <c r="L250" s="4">
        <v>666.0</v>
      </c>
      <c r="M250" s="4">
        <v>19207.95796</v>
      </c>
      <c r="N250" s="4">
        <v>2.080666874</v>
      </c>
      <c r="O250" s="4">
        <v>12972.95796</v>
      </c>
      <c r="P250" s="4">
        <v>4.677504994E-4</v>
      </c>
      <c r="Q250" s="4">
        <v>6235.0</v>
      </c>
    </row>
    <row r="251">
      <c r="A251" s="2">
        <v>8.0</v>
      </c>
      <c r="B251" s="3" t="s">
        <v>373</v>
      </c>
      <c r="C251" s="2">
        <v>81.0</v>
      </c>
      <c r="D251" s="3" t="s">
        <v>374</v>
      </c>
      <c r="E251" s="2">
        <v>812.0</v>
      </c>
      <c r="F251" s="3" t="s">
        <v>378</v>
      </c>
      <c r="G251" s="2">
        <v>8123.0</v>
      </c>
      <c r="H251" s="3" t="s">
        <v>380</v>
      </c>
      <c r="I251" s="2">
        <v>2024.0</v>
      </c>
      <c r="J251" s="2">
        <v>20241.0</v>
      </c>
      <c r="K251" s="3" t="s">
        <v>21</v>
      </c>
      <c r="L251" s="4">
        <v>3293.0</v>
      </c>
      <c r="M251" s="4">
        <v>6904.03887</v>
      </c>
      <c r="N251" s="4">
        <v>0.0577772251</v>
      </c>
      <c r="O251" s="4">
        <v>377.1079566</v>
      </c>
      <c r="P251" s="4">
        <v>0.002312766358</v>
      </c>
      <c r="Q251" s="4">
        <v>6526.930914</v>
      </c>
    </row>
    <row r="252">
      <c r="A252" s="2">
        <v>8.0</v>
      </c>
      <c r="B252" s="3" t="s">
        <v>373</v>
      </c>
      <c r="C252" s="2">
        <v>81.0</v>
      </c>
      <c r="D252" s="3" t="s">
        <v>374</v>
      </c>
      <c r="E252" s="2">
        <v>813.0</v>
      </c>
      <c r="F252" s="3" t="s">
        <v>381</v>
      </c>
      <c r="G252" s="2">
        <v>8131.0</v>
      </c>
      <c r="H252" s="3" t="s">
        <v>382</v>
      </c>
      <c r="I252" s="2">
        <v>2024.0</v>
      </c>
      <c r="J252" s="2">
        <v>20241.0</v>
      </c>
      <c r="K252" s="3" t="s">
        <v>21</v>
      </c>
      <c r="L252" s="4">
        <v>111.0</v>
      </c>
      <c r="M252" s="4">
        <v>7000.0</v>
      </c>
      <c r="N252" s="4">
        <v>1.0</v>
      </c>
      <c r="O252" s="4">
        <v>7000.0</v>
      </c>
      <c r="P252" s="4">
        <v>7.795841656E-5</v>
      </c>
      <c r="Q252" s="4">
        <v>0.0</v>
      </c>
    </row>
    <row r="253">
      <c r="A253" s="2">
        <v>8.0</v>
      </c>
      <c r="B253" s="3" t="s">
        <v>373</v>
      </c>
      <c r="C253" s="2">
        <v>81.0</v>
      </c>
      <c r="D253" s="3" t="s">
        <v>374</v>
      </c>
      <c r="E253" s="2">
        <v>813.0</v>
      </c>
      <c r="F253" s="3" t="s">
        <v>381</v>
      </c>
      <c r="G253" s="2">
        <v>8132.0</v>
      </c>
      <c r="H253" s="3" t="s">
        <v>383</v>
      </c>
      <c r="I253" s="2">
        <v>2024.0</v>
      </c>
      <c r="J253" s="2">
        <v>20241.0</v>
      </c>
      <c r="K253" s="3" t="s">
        <v>21</v>
      </c>
      <c r="L253" s="4">
        <v>595.0</v>
      </c>
      <c r="M253" s="4">
        <v>0.0</v>
      </c>
      <c r="N253" s="4">
        <v>1.0</v>
      </c>
      <c r="O253" s="4">
        <v>0.0</v>
      </c>
      <c r="P253" s="4">
        <v>4.178852059E-4</v>
      </c>
      <c r="Q253" s="4">
        <v>0.0</v>
      </c>
    </row>
    <row r="254">
      <c r="A254" s="2">
        <v>8.0</v>
      </c>
      <c r="B254" s="3" t="s">
        <v>373</v>
      </c>
      <c r="C254" s="2">
        <v>81.0</v>
      </c>
      <c r="D254" s="3" t="s">
        <v>374</v>
      </c>
      <c r="E254" s="2">
        <v>813.0</v>
      </c>
      <c r="F254" s="3" t="s">
        <v>381</v>
      </c>
      <c r="G254" s="2">
        <v>8133.0</v>
      </c>
      <c r="H254" s="3" t="s">
        <v>384</v>
      </c>
      <c r="I254" s="2">
        <v>2024.0</v>
      </c>
      <c r="J254" s="2">
        <v>20241.0</v>
      </c>
      <c r="K254" s="3" t="s">
        <v>21</v>
      </c>
      <c r="L254" s="4">
        <v>2050.0</v>
      </c>
      <c r="M254" s="4">
        <v>6224.512195</v>
      </c>
      <c r="N254" s="4">
        <v>-0.1306587351</v>
      </c>
      <c r="O254" s="4">
        <v>-935.5208627</v>
      </c>
      <c r="P254" s="4">
        <v>0.001439772558</v>
      </c>
      <c r="Q254" s="4">
        <v>7160.033058</v>
      </c>
    </row>
    <row r="255">
      <c r="A255" s="2">
        <v>8.0</v>
      </c>
      <c r="B255" s="3" t="s">
        <v>373</v>
      </c>
      <c r="C255" s="2">
        <v>81.0</v>
      </c>
      <c r="D255" s="3" t="s">
        <v>374</v>
      </c>
      <c r="E255" s="2">
        <v>813.0</v>
      </c>
      <c r="F255" s="3" t="s">
        <v>381</v>
      </c>
      <c r="G255" s="2">
        <v>8134.0</v>
      </c>
      <c r="H255" s="3" t="s">
        <v>385</v>
      </c>
      <c r="I255" s="2">
        <v>2024.0</v>
      </c>
      <c r="J255" s="2">
        <v>20241.0</v>
      </c>
      <c r="K255" s="3" t="s">
        <v>21</v>
      </c>
      <c r="L255" s="4">
        <v>735.0</v>
      </c>
      <c r="M255" s="4">
        <v>7000.0</v>
      </c>
      <c r="N255" s="4">
        <v>1.0</v>
      </c>
      <c r="O255" s="4">
        <v>7000.0</v>
      </c>
      <c r="P255" s="4">
        <v>5.162111367E-4</v>
      </c>
      <c r="Q255" s="4">
        <v>0.0</v>
      </c>
    </row>
    <row r="256">
      <c r="A256" s="2">
        <v>8.0</v>
      </c>
      <c r="B256" s="3" t="s">
        <v>373</v>
      </c>
      <c r="C256" s="2">
        <v>81.0</v>
      </c>
      <c r="D256" s="3" t="s">
        <v>374</v>
      </c>
      <c r="E256" s="2">
        <v>814.0</v>
      </c>
      <c r="F256" s="3" t="s">
        <v>386</v>
      </c>
      <c r="G256" s="2">
        <v>8141.0</v>
      </c>
      <c r="H256" s="3" t="s">
        <v>387</v>
      </c>
      <c r="I256" s="2">
        <v>2024.0</v>
      </c>
      <c r="J256" s="2">
        <v>20241.0</v>
      </c>
      <c r="K256" s="3" t="s">
        <v>21</v>
      </c>
      <c r="L256" s="4">
        <v>414.0</v>
      </c>
      <c r="M256" s="4">
        <v>6000.0</v>
      </c>
      <c r="N256" s="4">
        <v>1.0</v>
      </c>
      <c r="O256" s="4">
        <v>6000.0</v>
      </c>
      <c r="P256" s="4">
        <v>2.907638239E-4</v>
      </c>
      <c r="Q256" s="4">
        <v>0.0</v>
      </c>
    </row>
    <row r="257">
      <c r="A257" s="2">
        <v>8.0</v>
      </c>
      <c r="B257" s="3" t="s">
        <v>373</v>
      </c>
      <c r="C257" s="2">
        <v>81.0</v>
      </c>
      <c r="D257" s="3" t="s">
        <v>374</v>
      </c>
      <c r="E257" s="2">
        <v>814.0</v>
      </c>
      <c r="F257" s="3" t="s">
        <v>386</v>
      </c>
      <c r="G257" s="2">
        <v>8145.0</v>
      </c>
      <c r="H257" s="3" t="s">
        <v>388</v>
      </c>
      <c r="I257" s="2">
        <v>2024.0</v>
      </c>
      <c r="J257" s="2">
        <v>20241.0</v>
      </c>
      <c r="K257" s="3" t="s">
        <v>21</v>
      </c>
      <c r="L257" s="4">
        <v>339.0</v>
      </c>
      <c r="M257" s="4">
        <v>12900.0</v>
      </c>
      <c r="N257" s="4">
        <v>1.0</v>
      </c>
      <c r="O257" s="4">
        <v>12900.0</v>
      </c>
      <c r="P257" s="4">
        <v>2.380892181E-4</v>
      </c>
      <c r="Q257" s="4">
        <v>0.0</v>
      </c>
    </row>
    <row r="258">
      <c r="A258" s="2">
        <v>8.0</v>
      </c>
      <c r="B258" s="3" t="s">
        <v>373</v>
      </c>
      <c r="C258" s="2">
        <v>81.0</v>
      </c>
      <c r="D258" s="3" t="s">
        <v>374</v>
      </c>
      <c r="E258" s="2">
        <v>815.0</v>
      </c>
      <c r="F258" s="3" t="s">
        <v>389</v>
      </c>
      <c r="G258" s="2">
        <v>8151.0</v>
      </c>
      <c r="H258" s="3" t="s">
        <v>390</v>
      </c>
      <c r="I258" s="2">
        <v>2024.0</v>
      </c>
      <c r="J258" s="2">
        <v>20241.0</v>
      </c>
      <c r="K258" s="3" t="s">
        <v>21</v>
      </c>
      <c r="L258" s="4">
        <v>3198.0</v>
      </c>
      <c r="M258" s="4">
        <v>6670.916198</v>
      </c>
      <c r="N258" s="4">
        <v>0.4575584379</v>
      </c>
      <c r="O258" s="4">
        <v>2094.141762</v>
      </c>
      <c r="P258" s="4">
        <v>0.002246045191</v>
      </c>
      <c r="Q258" s="4">
        <v>4576.774436</v>
      </c>
    </row>
    <row r="259">
      <c r="A259" s="2">
        <v>8.0</v>
      </c>
      <c r="B259" s="3" t="s">
        <v>373</v>
      </c>
      <c r="C259" s="2">
        <v>81.0</v>
      </c>
      <c r="D259" s="3" t="s">
        <v>374</v>
      </c>
      <c r="E259" s="2">
        <v>815.0</v>
      </c>
      <c r="F259" s="3" t="s">
        <v>389</v>
      </c>
      <c r="G259" s="2">
        <v>8152.0</v>
      </c>
      <c r="H259" s="3" t="s">
        <v>391</v>
      </c>
      <c r="I259" s="2">
        <v>2024.0</v>
      </c>
      <c r="J259" s="2">
        <v>20241.0</v>
      </c>
      <c r="K259" s="3" t="s">
        <v>21</v>
      </c>
      <c r="L259" s="4">
        <v>5857.0</v>
      </c>
      <c r="M259" s="4">
        <v>3084.591088</v>
      </c>
      <c r="N259" s="4">
        <v>-0.5272148227</v>
      </c>
      <c r="O259" s="4">
        <v>-3439.70628</v>
      </c>
      <c r="P259" s="4">
        <v>0.004113535548</v>
      </c>
      <c r="Q259" s="4">
        <v>6524.297367</v>
      </c>
    </row>
    <row r="260">
      <c r="A260" s="2">
        <v>8.0</v>
      </c>
      <c r="B260" s="3" t="s">
        <v>373</v>
      </c>
      <c r="C260" s="2">
        <v>81.0</v>
      </c>
      <c r="D260" s="3" t="s">
        <v>374</v>
      </c>
      <c r="E260" s="2">
        <v>815.0</v>
      </c>
      <c r="F260" s="3" t="s">
        <v>389</v>
      </c>
      <c r="G260" s="2">
        <v>8153.0</v>
      </c>
      <c r="H260" s="3" t="s">
        <v>392</v>
      </c>
      <c r="I260" s="2">
        <v>2024.0</v>
      </c>
      <c r="J260" s="2">
        <v>20241.0</v>
      </c>
      <c r="K260" s="3" t="s">
        <v>21</v>
      </c>
      <c r="L260" s="4">
        <v>8372.0</v>
      </c>
      <c r="M260" s="4">
        <v>3887.308887</v>
      </c>
      <c r="N260" s="4">
        <v>-0.2153430733</v>
      </c>
      <c r="O260" s="4">
        <v>-1066.842099</v>
      </c>
      <c r="P260" s="4">
        <v>0.005879890662</v>
      </c>
      <c r="Q260" s="4">
        <v>4954.150985</v>
      </c>
    </row>
    <row r="261">
      <c r="A261" s="2">
        <v>8.0</v>
      </c>
      <c r="B261" s="3" t="s">
        <v>373</v>
      </c>
      <c r="C261" s="2">
        <v>81.0</v>
      </c>
      <c r="D261" s="3" t="s">
        <v>374</v>
      </c>
      <c r="E261" s="2">
        <v>815.0</v>
      </c>
      <c r="F261" s="3" t="s">
        <v>389</v>
      </c>
      <c r="G261" s="2">
        <v>8154.0</v>
      </c>
      <c r="H261" s="3" t="s">
        <v>393</v>
      </c>
      <c r="I261" s="2">
        <v>2024.0</v>
      </c>
      <c r="J261" s="2">
        <v>20241.0</v>
      </c>
      <c r="K261" s="3" t="s">
        <v>21</v>
      </c>
      <c r="L261" s="4">
        <v>287.0</v>
      </c>
      <c r="M261" s="4">
        <v>4000.0</v>
      </c>
      <c r="N261" s="4">
        <v>1.0</v>
      </c>
      <c r="O261" s="4">
        <v>4000.0</v>
      </c>
      <c r="P261" s="4">
        <v>2.015681581E-4</v>
      </c>
      <c r="Q261" s="4">
        <v>0.0</v>
      </c>
    </row>
    <row r="262">
      <c r="A262" s="2">
        <v>8.0</v>
      </c>
      <c r="B262" s="3" t="s">
        <v>373</v>
      </c>
      <c r="C262" s="2">
        <v>81.0</v>
      </c>
      <c r="D262" s="3" t="s">
        <v>374</v>
      </c>
      <c r="E262" s="2">
        <v>815.0</v>
      </c>
      <c r="F262" s="3" t="s">
        <v>389</v>
      </c>
      <c r="G262" s="2">
        <v>8155.0</v>
      </c>
      <c r="H262" s="3" t="s">
        <v>394</v>
      </c>
      <c r="I262" s="2">
        <v>2024.0</v>
      </c>
      <c r="J262" s="2">
        <v>20241.0</v>
      </c>
      <c r="K262" s="3" t="s">
        <v>21</v>
      </c>
      <c r="L262" s="4">
        <v>245.0</v>
      </c>
      <c r="M262" s="4">
        <v>12000.0</v>
      </c>
      <c r="N262" s="4">
        <v>0.5610727707</v>
      </c>
      <c r="O262" s="4">
        <v>4312.978469</v>
      </c>
      <c r="P262" s="4">
        <v>1.720703789E-4</v>
      </c>
      <c r="Q262" s="4">
        <v>7687.021531</v>
      </c>
    </row>
    <row r="263">
      <c r="A263" s="2">
        <v>8.0</v>
      </c>
      <c r="B263" s="3" t="s">
        <v>373</v>
      </c>
      <c r="C263" s="2">
        <v>81.0</v>
      </c>
      <c r="D263" s="3" t="s">
        <v>374</v>
      </c>
      <c r="E263" s="2">
        <v>816.0</v>
      </c>
      <c r="F263" s="3" t="s">
        <v>395</v>
      </c>
      <c r="G263" s="2">
        <v>8161.0</v>
      </c>
      <c r="H263" s="3" t="s">
        <v>396</v>
      </c>
      <c r="I263" s="2">
        <v>2024.0</v>
      </c>
      <c r="J263" s="2">
        <v>20241.0</v>
      </c>
      <c r="K263" s="3" t="s">
        <v>21</v>
      </c>
      <c r="L263" s="4">
        <v>845.0</v>
      </c>
      <c r="M263" s="4">
        <v>7841.266272</v>
      </c>
      <c r="N263" s="4">
        <v>0.002357584726</v>
      </c>
      <c r="O263" s="4">
        <v>18.44296873</v>
      </c>
      <c r="P263" s="4">
        <v>5.934672252E-4</v>
      </c>
      <c r="Q263" s="4">
        <v>7822.823303</v>
      </c>
    </row>
    <row r="264">
      <c r="A264" s="2">
        <v>8.0</v>
      </c>
      <c r="B264" s="3" t="s">
        <v>373</v>
      </c>
      <c r="C264" s="2">
        <v>81.0</v>
      </c>
      <c r="D264" s="3" t="s">
        <v>374</v>
      </c>
      <c r="E264" s="2">
        <v>816.0</v>
      </c>
      <c r="F264" s="3" t="s">
        <v>395</v>
      </c>
      <c r="G264" s="2">
        <v>8162.0</v>
      </c>
      <c r="H264" s="3" t="s">
        <v>397</v>
      </c>
      <c r="I264" s="2">
        <v>2024.0</v>
      </c>
      <c r="J264" s="2">
        <v>20241.0</v>
      </c>
      <c r="K264" s="3" t="s">
        <v>21</v>
      </c>
      <c r="L264" s="4">
        <v>56.0</v>
      </c>
      <c r="M264" s="4">
        <v>6300.0</v>
      </c>
      <c r="N264" s="4">
        <v>1.0</v>
      </c>
      <c r="O264" s="4">
        <v>6300.0</v>
      </c>
      <c r="P264" s="4">
        <v>3.933037232E-5</v>
      </c>
      <c r="Q264" s="4">
        <v>0.0</v>
      </c>
    </row>
    <row r="265">
      <c r="A265" s="2">
        <v>8.0</v>
      </c>
      <c r="B265" s="3" t="s">
        <v>373</v>
      </c>
      <c r="C265" s="2">
        <v>81.0</v>
      </c>
      <c r="D265" s="3" t="s">
        <v>374</v>
      </c>
      <c r="E265" s="2">
        <v>816.0</v>
      </c>
      <c r="F265" s="3" t="s">
        <v>395</v>
      </c>
      <c r="G265" s="2">
        <v>8163.0</v>
      </c>
      <c r="H265" s="3" t="s">
        <v>398</v>
      </c>
      <c r="I265" s="2">
        <v>2024.0</v>
      </c>
      <c r="J265" s="2">
        <v>20241.0</v>
      </c>
      <c r="K265" s="3" t="s">
        <v>21</v>
      </c>
      <c r="L265" s="4">
        <v>161.0</v>
      </c>
      <c r="M265" s="4">
        <v>1575.776398</v>
      </c>
      <c r="N265" s="4">
        <v>-0.8644076453</v>
      </c>
      <c r="O265" s="4">
        <v>-10045.64872</v>
      </c>
      <c r="P265" s="4">
        <v>1.130748204E-4</v>
      </c>
      <c r="Q265" s="4">
        <v>11621.42512</v>
      </c>
    </row>
    <row r="266">
      <c r="A266" s="2">
        <v>8.0</v>
      </c>
      <c r="B266" s="3" t="s">
        <v>373</v>
      </c>
      <c r="C266" s="2">
        <v>81.0</v>
      </c>
      <c r="D266" s="3" t="s">
        <v>374</v>
      </c>
      <c r="E266" s="2">
        <v>817.0</v>
      </c>
      <c r="F266" s="3" t="s">
        <v>399</v>
      </c>
      <c r="G266" s="2">
        <v>8171.0</v>
      </c>
      <c r="H266" s="3" t="s">
        <v>400</v>
      </c>
      <c r="I266" s="2">
        <v>2024.0</v>
      </c>
      <c r="J266" s="2">
        <v>20241.0</v>
      </c>
      <c r="K266" s="3" t="s">
        <v>21</v>
      </c>
      <c r="L266" s="4">
        <v>443.0</v>
      </c>
      <c r="M266" s="4">
        <v>10426.77201</v>
      </c>
      <c r="N266" s="4">
        <v>1.0</v>
      </c>
      <c r="O266" s="4">
        <v>10426.77201</v>
      </c>
      <c r="P266" s="4">
        <v>3.111313382E-4</v>
      </c>
      <c r="Q266" s="4">
        <v>0.0</v>
      </c>
    </row>
    <row r="267">
      <c r="A267" s="2">
        <v>8.0</v>
      </c>
      <c r="B267" s="3" t="s">
        <v>373</v>
      </c>
      <c r="C267" s="2">
        <v>81.0</v>
      </c>
      <c r="D267" s="3" t="s">
        <v>374</v>
      </c>
      <c r="E267" s="2">
        <v>818.0</v>
      </c>
      <c r="F267" s="3" t="s">
        <v>401</v>
      </c>
      <c r="G267" s="2">
        <v>8181.0</v>
      </c>
      <c r="H267" s="3" t="s">
        <v>402</v>
      </c>
      <c r="I267" s="2">
        <v>2024.0</v>
      </c>
      <c r="J267" s="2">
        <v>20241.0</v>
      </c>
      <c r="K267" s="3" t="s">
        <v>21</v>
      </c>
      <c r="L267" s="4">
        <v>245.0</v>
      </c>
      <c r="M267" s="4">
        <v>14000.0</v>
      </c>
      <c r="N267" s="4">
        <v>1.0</v>
      </c>
      <c r="O267" s="4">
        <v>14000.0</v>
      </c>
      <c r="P267" s="4">
        <v>1.720703789E-4</v>
      </c>
      <c r="Q267" s="4">
        <v>0.0</v>
      </c>
    </row>
    <row r="268">
      <c r="A268" s="2">
        <v>8.0</v>
      </c>
      <c r="B268" s="3" t="s">
        <v>373</v>
      </c>
      <c r="C268" s="2">
        <v>82.0</v>
      </c>
      <c r="D268" s="3" t="s">
        <v>403</v>
      </c>
      <c r="E268" s="2">
        <v>820.0</v>
      </c>
      <c r="F268" s="3" t="s">
        <v>404</v>
      </c>
      <c r="G268" s="2">
        <v>8201.0</v>
      </c>
      <c r="H268" s="3" t="s">
        <v>404</v>
      </c>
      <c r="I268" s="2">
        <v>2024.0</v>
      </c>
      <c r="J268" s="2">
        <v>20241.0</v>
      </c>
      <c r="K268" s="3" t="s">
        <v>21</v>
      </c>
      <c r="L268" s="4">
        <v>339.0</v>
      </c>
      <c r="M268" s="4">
        <v>6450.0</v>
      </c>
      <c r="N268" s="4">
        <v>-0.48701211</v>
      </c>
      <c r="O268" s="4">
        <v>-6123.396226</v>
      </c>
      <c r="P268" s="4">
        <v>2.380892181E-4</v>
      </c>
      <c r="Q268" s="4">
        <v>12573.39623</v>
      </c>
    </row>
    <row r="269">
      <c r="A269" s="2">
        <v>8.0</v>
      </c>
      <c r="B269" s="3" t="s">
        <v>373</v>
      </c>
      <c r="C269" s="2">
        <v>82.0</v>
      </c>
      <c r="D269" s="3" t="s">
        <v>403</v>
      </c>
      <c r="E269" s="2">
        <v>821.0</v>
      </c>
      <c r="F269" s="3" t="s">
        <v>403</v>
      </c>
      <c r="G269" s="2">
        <v>8211.0</v>
      </c>
      <c r="H269" s="3" t="s">
        <v>405</v>
      </c>
      <c r="I269" s="2">
        <v>2024.0</v>
      </c>
      <c r="J269" s="2">
        <v>20241.0</v>
      </c>
      <c r="K269" s="3" t="s">
        <v>21</v>
      </c>
      <c r="L269" s="4">
        <v>68.0</v>
      </c>
      <c r="M269" s="4">
        <v>0.0</v>
      </c>
      <c r="N269" s="4">
        <v>-1.0</v>
      </c>
      <c r="O269" s="4">
        <v>-464.9446494</v>
      </c>
      <c r="P269" s="4">
        <v>4.775830924E-5</v>
      </c>
      <c r="Q269" s="4">
        <v>464.9446494</v>
      </c>
    </row>
    <row r="270">
      <c r="A270" s="2">
        <v>8.0</v>
      </c>
      <c r="B270" s="3" t="s">
        <v>373</v>
      </c>
      <c r="C270" s="2">
        <v>83.0</v>
      </c>
      <c r="D270" s="3" t="s">
        <v>406</v>
      </c>
      <c r="E270" s="2">
        <v>830.0</v>
      </c>
      <c r="F270" s="3" t="s">
        <v>407</v>
      </c>
      <c r="G270" s="2">
        <v>8301.0</v>
      </c>
      <c r="H270" s="3" t="s">
        <v>407</v>
      </c>
      <c r="I270" s="2">
        <v>2024.0</v>
      </c>
      <c r="J270" s="2">
        <v>20241.0</v>
      </c>
      <c r="K270" s="3" t="s">
        <v>21</v>
      </c>
      <c r="L270" s="4">
        <v>907.0</v>
      </c>
      <c r="M270" s="4">
        <v>661.5214994</v>
      </c>
      <c r="N270" s="4">
        <v>1.0</v>
      </c>
      <c r="O270" s="4">
        <v>661.5214994</v>
      </c>
      <c r="P270" s="4">
        <v>6.370115659E-4</v>
      </c>
      <c r="Q270" s="4">
        <v>0.0</v>
      </c>
    </row>
    <row r="271">
      <c r="A271" s="2">
        <v>8.0</v>
      </c>
      <c r="B271" s="3" t="s">
        <v>373</v>
      </c>
      <c r="C271" s="2">
        <v>83.0</v>
      </c>
      <c r="D271" s="3" t="s">
        <v>406</v>
      </c>
      <c r="E271" s="2">
        <v>834.0</v>
      </c>
      <c r="F271" s="3" t="s">
        <v>408</v>
      </c>
      <c r="G271" s="2">
        <v>8341.0</v>
      </c>
      <c r="H271" s="3" t="s">
        <v>409</v>
      </c>
      <c r="I271" s="2">
        <v>2024.0</v>
      </c>
      <c r="J271" s="2">
        <v>20241.0</v>
      </c>
      <c r="K271" s="3" t="s">
        <v>21</v>
      </c>
      <c r="L271" s="4">
        <v>26716.0</v>
      </c>
      <c r="M271" s="4">
        <v>8376.350502</v>
      </c>
      <c r="N271" s="4">
        <v>0.1675131645</v>
      </c>
      <c r="O271" s="4">
        <v>1201.827116</v>
      </c>
      <c r="P271" s="4">
        <v>0.01876339691</v>
      </c>
      <c r="Q271" s="4">
        <v>7174.523385</v>
      </c>
    </row>
    <row r="272">
      <c r="A272" s="2">
        <v>8.0</v>
      </c>
      <c r="B272" s="3" t="s">
        <v>373</v>
      </c>
      <c r="C272" s="2">
        <v>83.0</v>
      </c>
      <c r="D272" s="3" t="s">
        <v>406</v>
      </c>
      <c r="E272" s="2">
        <v>834.0</v>
      </c>
      <c r="F272" s="3" t="s">
        <v>408</v>
      </c>
      <c r="G272" s="2">
        <v>8342.0</v>
      </c>
      <c r="H272" s="3" t="s">
        <v>410</v>
      </c>
      <c r="I272" s="2">
        <v>2024.0</v>
      </c>
      <c r="J272" s="2">
        <v>20241.0</v>
      </c>
      <c r="K272" s="3" t="s">
        <v>21</v>
      </c>
      <c r="L272" s="4">
        <v>24473.0</v>
      </c>
      <c r="M272" s="4">
        <v>5502.008989</v>
      </c>
      <c r="N272" s="4">
        <v>-0.2428651109</v>
      </c>
      <c r="O272" s="4">
        <v>-1764.871812</v>
      </c>
      <c r="P272" s="4">
        <v>0.01718807503</v>
      </c>
      <c r="Q272" s="4">
        <v>7266.880801</v>
      </c>
    </row>
    <row r="273">
      <c r="A273" s="2">
        <v>8.0</v>
      </c>
      <c r="B273" s="3" t="s">
        <v>373</v>
      </c>
      <c r="C273" s="2">
        <v>83.0</v>
      </c>
      <c r="D273" s="3" t="s">
        <v>406</v>
      </c>
      <c r="E273" s="2">
        <v>834.0</v>
      </c>
      <c r="F273" s="3" t="s">
        <v>408</v>
      </c>
      <c r="G273" s="2">
        <v>8343.0</v>
      </c>
      <c r="H273" s="3" t="s">
        <v>411</v>
      </c>
      <c r="I273" s="2">
        <v>2024.0</v>
      </c>
      <c r="J273" s="2">
        <v>20241.0</v>
      </c>
      <c r="K273" s="3" t="s">
        <v>21</v>
      </c>
      <c r="L273" s="4">
        <v>1680.0</v>
      </c>
      <c r="M273" s="4">
        <v>3156.011905</v>
      </c>
      <c r="N273" s="4">
        <v>-0.3714285449</v>
      </c>
      <c r="O273" s="4">
        <v>-1864.915914</v>
      </c>
      <c r="P273" s="4">
        <v>0.00117991117</v>
      </c>
      <c r="Q273" s="4">
        <v>5020.927819</v>
      </c>
    </row>
    <row r="274">
      <c r="A274" s="2">
        <v>8.0</v>
      </c>
      <c r="B274" s="3" t="s">
        <v>373</v>
      </c>
      <c r="C274" s="2">
        <v>83.0</v>
      </c>
      <c r="D274" s="3" t="s">
        <v>406</v>
      </c>
      <c r="E274" s="2">
        <v>834.0</v>
      </c>
      <c r="F274" s="3" t="s">
        <v>408</v>
      </c>
      <c r="G274" s="2">
        <v>8344.0</v>
      </c>
      <c r="H274" s="3" t="s">
        <v>412</v>
      </c>
      <c r="I274" s="2">
        <v>2024.0</v>
      </c>
      <c r="J274" s="2">
        <v>20241.0</v>
      </c>
      <c r="K274" s="3" t="s">
        <v>21</v>
      </c>
      <c r="L274" s="4">
        <v>5345.0</v>
      </c>
      <c r="M274" s="4">
        <v>2980.716558</v>
      </c>
      <c r="N274" s="4">
        <v>-0.4992518905</v>
      </c>
      <c r="O274" s="4">
        <v>-2971.810274</v>
      </c>
      <c r="P274" s="4">
        <v>0.003753943572</v>
      </c>
      <c r="Q274" s="4">
        <v>5952.526832</v>
      </c>
    </row>
    <row r="275">
      <c r="A275" s="2">
        <v>8.0</v>
      </c>
      <c r="B275" s="3" t="s">
        <v>373</v>
      </c>
      <c r="C275" s="2">
        <v>83.0</v>
      </c>
      <c r="D275" s="3" t="s">
        <v>406</v>
      </c>
      <c r="E275" s="2">
        <v>835.0</v>
      </c>
      <c r="F275" s="3" t="s">
        <v>413</v>
      </c>
      <c r="G275" s="2">
        <v>8351.0</v>
      </c>
      <c r="H275" s="3" t="s">
        <v>414</v>
      </c>
      <c r="I275" s="2">
        <v>2024.0</v>
      </c>
      <c r="J275" s="2">
        <v>20241.0</v>
      </c>
      <c r="K275" s="3" t="s">
        <v>21</v>
      </c>
      <c r="L275" s="4">
        <v>1488.0</v>
      </c>
      <c r="M275" s="4">
        <v>9599.462366</v>
      </c>
      <c r="N275" s="4">
        <v>0.04145642594</v>
      </c>
      <c r="O275" s="4">
        <v>382.1181479</v>
      </c>
      <c r="P275" s="4">
        <v>0.001045064179</v>
      </c>
      <c r="Q275" s="4">
        <v>9217.344218</v>
      </c>
    </row>
    <row r="276">
      <c r="A276" s="2">
        <v>8.0</v>
      </c>
      <c r="B276" s="3" t="s">
        <v>373</v>
      </c>
      <c r="C276" s="2">
        <v>83.0</v>
      </c>
      <c r="D276" s="3" t="s">
        <v>406</v>
      </c>
      <c r="E276" s="2">
        <v>835.0</v>
      </c>
      <c r="F276" s="3" t="s">
        <v>413</v>
      </c>
      <c r="G276" s="2">
        <v>8352.0</v>
      </c>
      <c r="H276" s="3" t="s">
        <v>415</v>
      </c>
      <c r="I276" s="2">
        <v>2024.0</v>
      </c>
      <c r="J276" s="2">
        <v>20241.0</v>
      </c>
      <c r="K276" s="3" t="s">
        <v>21</v>
      </c>
      <c r="L276" s="4">
        <v>4170.0</v>
      </c>
      <c r="M276" s="4">
        <v>6153.273381</v>
      </c>
      <c r="N276" s="4">
        <v>-0.35303653</v>
      </c>
      <c r="O276" s="4">
        <v>-3357.73252</v>
      </c>
      <c r="P276" s="4">
        <v>0.002928708082</v>
      </c>
      <c r="Q276" s="4">
        <v>9511.005901</v>
      </c>
    </row>
    <row r="277">
      <c r="A277" s="2">
        <v>9.0</v>
      </c>
      <c r="B277" s="3" t="s">
        <v>416</v>
      </c>
      <c r="C277" s="2">
        <v>91.0</v>
      </c>
      <c r="D277" s="3" t="s">
        <v>417</v>
      </c>
      <c r="E277" s="2">
        <v>911.0</v>
      </c>
      <c r="F277" s="3" t="s">
        <v>418</v>
      </c>
      <c r="G277" s="2">
        <v>9111.0</v>
      </c>
      <c r="H277" s="3" t="s">
        <v>419</v>
      </c>
      <c r="I277" s="2">
        <v>2024.0</v>
      </c>
      <c r="J277" s="2">
        <v>20241.0</v>
      </c>
      <c r="K277" s="3" t="s">
        <v>21</v>
      </c>
      <c r="L277" s="4">
        <v>105451.0</v>
      </c>
      <c r="M277" s="4">
        <v>3541.369432</v>
      </c>
      <c r="N277" s="4">
        <v>-0.01954086439</v>
      </c>
      <c r="O277" s="4">
        <v>-70.58062627</v>
      </c>
      <c r="P277" s="4">
        <v>0.07406119806</v>
      </c>
      <c r="Q277" s="4">
        <v>3611.950059</v>
      </c>
    </row>
    <row r="278">
      <c r="A278" s="2">
        <v>9.0</v>
      </c>
      <c r="B278" s="3" t="s">
        <v>416</v>
      </c>
      <c r="C278" s="2">
        <v>91.0</v>
      </c>
      <c r="D278" s="3" t="s">
        <v>417</v>
      </c>
      <c r="E278" s="2">
        <v>911.0</v>
      </c>
      <c r="F278" s="3" t="s">
        <v>418</v>
      </c>
      <c r="G278" s="2">
        <v>9112.0</v>
      </c>
      <c r="H278" s="3" t="s">
        <v>420</v>
      </c>
      <c r="I278" s="2">
        <v>2024.0</v>
      </c>
      <c r="J278" s="2">
        <v>20241.0</v>
      </c>
      <c r="K278" s="3" t="s">
        <v>21</v>
      </c>
      <c r="L278" s="4">
        <v>9670.0</v>
      </c>
      <c r="M278" s="4">
        <v>3686.574767</v>
      </c>
      <c r="N278" s="4">
        <v>0.7087668316</v>
      </c>
      <c r="O278" s="4">
        <v>1529.127245</v>
      </c>
      <c r="P278" s="4">
        <v>0.006791512506</v>
      </c>
      <c r="Q278" s="4">
        <v>2157.447523</v>
      </c>
    </row>
    <row r="279">
      <c r="A279" s="2">
        <v>9.0</v>
      </c>
      <c r="B279" s="3" t="s">
        <v>416</v>
      </c>
      <c r="C279" s="2">
        <v>91.0</v>
      </c>
      <c r="D279" s="3" t="s">
        <v>417</v>
      </c>
      <c r="E279" s="2">
        <v>911.0</v>
      </c>
      <c r="F279" s="3" t="s">
        <v>418</v>
      </c>
      <c r="G279" s="2">
        <v>9113.0</v>
      </c>
      <c r="H279" s="3" t="s">
        <v>421</v>
      </c>
      <c r="I279" s="2">
        <v>2024.0</v>
      </c>
      <c r="J279" s="2">
        <v>20241.0</v>
      </c>
      <c r="K279" s="3" t="s">
        <v>21</v>
      </c>
      <c r="L279" s="4">
        <v>275.0</v>
      </c>
      <c r="M279" s="4">
        <v>0.0</v>
      </c>
      <c r="N279" s="4">
        <v>1.0</v>
      </c>
      <c r="O279" s="4">
        <v>0.0</v>
      </c>
      <c r="P279" s="4">
        <v>1.931402212E-4</v>
      </c>
      <c r="Q279" s="4">
        <v>0.0</v>
      </c>
    </row>
    <row r="280">
      <c r="A280" s="2">
        <v>9.0</v>
      </c>
      <c r="B280" s="3" t="s">
        <v>416</v>
      </c>
      <c r="C280" s="2">
        <v>91.0</v>
      </c>
      <c r="D280" s="3" t="s">
        <v>417</v>
      </c>
      <c r="E280" s="2">
        <v>912.0</v>
      </c>
      <c r="F280" s="3" t="s">
        <v>422</v>
      </c>
      <c r="G280" s="2">
        <v>9121.0</v>
      </c>
      <c r="H280" s="3" t="s">
        <v>423</v>
      </c>
      <c r="I280" s="2">
        <v>2024.0</v>
      </c>
      <c r="J280" s="2">
        <v>20241.0</v>
      </c>
      <c r="K280" s="3" t="s">
        <v>21</v>
      </c>
      <c r="L280" s="4">
        <v>625.0</v>
      </c>
      <c r="M280" s="4">
        <v>1505.0</v>
      </c>
      <c r="N280" s="4">
        <v>-0.5291724377</v>
      </c>
      <c r="O280" s="4">
        <v>-1691.499356</v>
      </c>
      <c r="P280" s="4">
        <v>4.389550482E-4</v>
      </c>
      <c r="Q280" s="4">
        <v>3196.499356</v>
      </c>
    </row>
    <row r="281">
      <c r="A281" s="2">
        <v>9.0</v>
      </c>
      <c r="B281" s="3" t="s">
        <v>416</v>
      </c>
      <c r="C281" s="2">
        <v>91.0</v>
      </c>
      <c r="D281" s="3" t="s">
        <v>417</v>
      </c>
      <c r="E281" s="2">
        <v>912.0</v>
      </c>
      <c r="F281" s="3" t="s">
        <v>422</v>
      </c>
      <c r="G281" s="2">
        <v>9124.0</v>
      </c>
      <c r="H281" s="3" t="s">
        <v>424</v>
      </c>
      <c r="I281" s="2">
        <v>2024.0</v>
      </c>
      <c r="J281" s="2">
        <v>20241.0</v>
      </c>
      <c r="K281" s="3" t="s">
        <v>21</v>
      </c>
      <c r="L281" s="4">
        <v>268.0</v>
      </c>
      <c r="M281" s="4">
        <v>100.0</v>
      </c>
      <c r="N281" s="4">
        <v>1.0</v>
      </c>
      <c r="O281" s="4">
        <v>100.0</v>
      </c>
      <c r="P281" s="4">
        <v>1.882239247E-4</v>
      </c>
      <c r="Q281" s="4">
        <v>0.0</v>
      </c>
    </row>
    <row r="282">
      <c r="A282" s="2">
        <v>9.0</v>
      </c>
      <c r="B282" s="3" t="s">
        <v>416</v>
      </c>
      <c r="C282" s="2">
        <v>92.0</v>
      </c>
      <c r="D282" s="3" t="s">
        <v>425</v>
      </c>
      <c r="E282" s="2">
        <v>922.0</v>
      </c>
      <c r="F282" s="3" t="s">
        <v>426</v>
      </c>
      <c r="G282" s="2">
        <v>9221.0</v>
      </c>
      <c r="H282" s="3" t="s">
        <v>427</v>
      </c>
      <c r="I282" s="2">
        <v>2024.0</v>
      </c>
      <c r="J282" s="2">
        <v>20241.0</v>
      </c>
      <c r="K282" s="3" t="s">
        <v>21</v>
      </c>
      <c r="L282" s="4">
        <v>51038.0</v>
      </c>
      <c r="M282" s="4">
        <v>4676.703731</v>
      </c>
      <c r="N282" s="4">
        <v>-0.1368952326</v>
      </c>
      <c r="O282" s="4">
        <v>-741.7621466</v>
      </c>
      <c r="P282" s="4">
        <v>0.0358454204</v>
      </c>
      <c r="Q282" s="4">
        <v>5418.465877</v>
      </c>
    </row>
    <row r="283">
      <c r="A283" s="2">
        <v>9.0</v>
      </c>
      <c r="B283" s="3" t="s">
        <v>416</v>
      </c>
      <c r="C283" s="2">
        <v>92.0</v>
      </c>
      <c r="D283" s="3" t="s">
        <v>425</v>
      </c>
      <c r="E283" s="2">
        <v>922.0</v>
      </c>
      <c r="F283" s="3" t="s">
        <v>426</v>
      </c>
      <c r="G283" s="2">
        <v>9222.0</v>
      </c>
      <c r="H283" s="3" t="s">
        <v>428</v>
      </c>
      <c r="I283" s="2">
        <v>2024.0</v>
      </c>
      <c r="J283" s="2">
        <v>20241.0</v>
      </c>
      <c r="K283" s="3" t="s">
        <v>21</v>
      </c>
      <c r="L283" s="4">
        <v>309.0</v>
      </c>
      <c r="M283" s="4">
        <v>5130.080906</v>
      </c>
      <c r="N283" s="4">
        <v>-0.2041001669</v>
      </c>
      <c r="O283" s="4">
        <v>-1315.555457</v>
      </c>
      <c r="P283" s="4">
        <v>2.170193758E-4</v>
      </c>
      <c r="Q283" s="4">
        <v>6445.636364</v>
      </c>
    </row>
    <row r="284">
      <c r="A284" s="2">
        <v>9.0</v>
      </c>
      <c r="B284" s="3" t="s">
        <v>416</v>
      </c>
      <c r="C284" s="2">
        <v>92.0</v>
      </c>
      <c r="D284" s="3" t="s">
        <v>425</v>
      </c>
      <c r="E284" s="2">
        <v>923.0</v>
      </c>
      <c r="F284" s="3" t="s">
        <v>429</v>
      </c>
      <c r="G284" s="2">
        <v>9231.0</v>
      </c>
      <c r="H284" s="3" t="s">
        <v>430</v>
      </c>
      <c r="I284" s="2">
        <v>2024.0</v>
      </c>
      <c r="J284" s="2">
        <v>20241.0</v>
      </c>
      <c r="K284" s="3" t="s">
        <v>21</v>
      </c>
      <c r="L284" s="4">
        <v>21652.0</v>
      </c>
      <c r="M284" s="4">
        <v>4544.754064</v>
      </c>
      <c r="N284" s="4">
        <v>-0.2344875447</v>
      </c>
      <c r="O284" s="4">
        <v>-1392.123949</v>
      </c>
      <c r="P284" s="4">
        <v>0.01520680753</v>
      </c>
      <c r="Q284" s="4">
        <v>5936.878013</v>
      </c>
    </row>
    <row r="285">
      <c r="A285" s="2">
        <v>9.0</v>
      </c>
      <c r="B285" s="3" t="s">
        <v>416</v>
      </c>
      <c r="C285" s="2">
        <v>92.0</v>
      </c>
      <c r="D285" s="3" t="s">
        <v>425</v>
      </c>
      <c r="E285" s="2">
        <v>923.0</v>
      </c>
      <c r="F285" s="3" t="s">
        <v>429</v>
      </c>
      <c r="G285" s="2">
        <v>9232.0</v>
      </c>
      <c r="H285" s="3" t="s">
        <v>431</v>
      </c>
      <c r="I285" s="2">
        <v>2024.0</v>
      </c>
      <c r="J285" s="2">
        <v>20241.0</v>
      </c>
      <c r="K285" s="3" t="s">
        <v>21</v>
      </c>
      <c r="L285" s="4">
        <v>2298.0</v>
      </c>
      <c r="M285" s="4">
        <v>5347.288947</v>
      </c>
      <c r="N285" s="4">
        <v>0.107749034</v>
      </c>
      <c r="O285" s="4">
        <v>520.1225194</v>
      </c>
      <c r="P285" s="4">
        <v>0.001613949921</v>
      </c>
      <c r="Q285" s="4">
        <v>4827.166428</v>
      </c>
    </row>
    <row r="286">
      <c r="A286" s="2">
        <v>9.0</v>
      </c>
      <c r="B286" s="3" t="s">
        <v>416</v>
      </c>
      <c r="C286" s="2">
        <v>92.0</v>
      </c>
      <c r="D286" s="3" t="s">
        <v>425</v>
      </c>
      <c r="E286" s="2">
        <v>923.0</v>
      </c>
      <c r="F286" s="3" t="s">
        <v>429</v>
      </c>
      <c r="G286" s="2">
        <v>9233.0</v>
      </c>
      <c r="H286" s="3" t="s">
        <v>432</v>
      </c>
      <c r="I286" s="2">
        <v>2024.0</v>
      </c>
      <c r="J286" s="2">
        <v>20241.0</v>
      </c>
      <c r="K286" s="3" t="s">
        <v>21</v>
      </c>
      <c r="L286" s="4">
        <v>3898.0</v>
      </c>
      <c r="M286" s="4">
        <v>7148.388917</v>
      </c>
      <c r="N286" s="4">
        <v>0.9173609743</v>
      </c>
      <c r="O286" s="4">
        <v>3420.145247</v>
      </c>
      <c r="P286" s="4">
        <v>0.002737674845</v>
      </c>
      <c r="Q286" s="4">
        <v>3728.243671</v>
      </c>
    </row>
    <row r="287">
      <c r="A287" s="2">
        <v>9.0</v>
      </c>
      <c r="B287" s="3" t="s">
        <v>416</v>
      </c>
      <c r="C287" s="2">
        <v>92.0</v>
      </c>
      <c r="D287" s="3" t="s">
        <v>425</v>
      </c>
      <c r="E287" s="2">
        <v>923.0</v>
      </c>
      <c r="F287" s="3" t="s">
        <v>429</v>
      </c>
      <c r="G287" s="2">
        <v>9234.0</v>
      </c>
      <c r="H287" s="3" t="s">
        <v>433</v>
      </c>
      <c r="I287" s="2">
        <v>2024.0</v>
      </c>
      <c r="J287" s="2">
        <v>20241.0</v>
      </c>
      <c r="K287" s="3" t="s">
        <v>21</v>
      </c>
      <c r="L287" s="4">
        <v>4145.0</v>
      </c>
      <c r="M287" s="4">
        <v>4781.869723</v>
      </c>
      <c r="N287" s="4">
        <v>0.5819245575</v>
      </c>
      <c r="O287" s="4">
        <v>1759.051915</v>
      </c>
      <c r="P287" s="4">
        <v>0.00291114988</v>
      </c>
      <c r="Q287" s="4">
        <v>3022.817808</v>
      </c>
    </row>
    <row r="288">
      <c r="A288" s="2">
        <v>9.0</v>
      </c>
      <c r="B288" s="3" t="s">
        <v>416</v>
      </c>
      <c r="C288" s="2">
        <v>92.0</v>
      </c>
      <c r="D288" s="3" t="s">
        <v>425</v>
      </c>
      <c r="E288" s="2">
        <v>923.0</v>
      </c>
      <c r="F288" s="3" t="s">
        <v>429</v>
      </c>
      <c r="G288" s="2">
        <v>9235.0</v>
      </c>
      <c r="H288" s="3" t="s">
        <v>434</v>
      </c>
      <c r="I288" s="2">
        <v>2024.0</v>
      </c>
      <c r="J288" s="2">
        <v>20241.0</v>
      </c>
      <c r="K288" s="3" t="s">
        <v>21</v>
      </c>
      <c r="L288" s="4">
        <v>6385.0</v>
      </c>
      <c r="M288" s="4">
        <v>4481.939702</v>
      </c>
      <c r="N288" s="4">
        <v>0.05736778327</v>
      </c>
      <c r="O288" s="4">
        <v>243.1688855</v>
      </c>
      <c r="P288" s="4">
        <v>0.004484364772</v>
      </c>
      <c r="Q288" s="4">
        <v>4238.770817</v>
      </c>
    </row>
    <row r="289">
      <c r="A289" s="2">
        <v>9.0</v>
      </c>
      <c r="B289" s="3" t="s">
        <v>416</v>
      </c>
      <c r="C289" s="2">
        <v>92.0</v>
      </c>
      <c r="D289" s="3" t="s">
        <v>425</v>
      </c>
      <c r="E289" s="2">
        <v>923.0</v>
      </c>
      <c r="F289" s="3" t="s">
        <v>429</v>
      </c>
      <c r="G289" s="2">
        <v>9236.0</v>
      </c>
      <c r="H289" s="3" t="s">
        <v>435</v>
      </c>
      <c r="I289" s="2">
        <v>2024.0</v>
      </c>
      <c r="J289" s="2">
        <v>20241.0</v>
      </c>
      <c r="K289" s="3" t="s">
        <v>21</v>
      </c>
      <c r="L289" s="4">
        <v>22945.0</v>
      </c>
      <c r="M289" s="4">
        <v>3005.569623</v>
      </c>
      <c r="N289" s="4">
        <v>-0.2362483016</v>
      </c>
      <c r="O289" s="4">
        <v>-929.7010015</v>
      </c>
      <c r="P289" s="4">
        <v>0.01611491773</v>
      </c>
      <c r="Q289" s="4">
        <v>3935.270625</v>
      </c>
    </row>
    <row r="290">
      <c r="A290" s="2">
        <v>9.0</v>
      </c>
      <c r="B290" s="3" t="s">
        <v>416</v>
      </c>
      <c r="C290" s="2">
        <v>92.0</v>
      </c>
      <c r="D290" s="3" t="s">
        <v>425</v>
      </c>
      <c r="E290" s="2">
        <v>923.0</v>
      </c>
      <c r="F290" s="3" t="s">
        <v>429</v>
      </c>
      <c r="G290" s="2">
        <v>9237.0</v>
      </c>
      <c r="H290" s="3" t="s">
        <v>436</v>
      </c>
      <c r="I290" s="2">
        <v>2024.0</v>
      </c>
      <c r="J290" s="2">
        <v>20241.0</v>
      </c>
      <c r="K290" s="3" t="s">
        <v>21</v>
      </c>
      <c r="L290" s="4">
        <v>3114.0</v>
      </c>
      <c r="M290" s="4">
        <v>3579.052665</v>
      </c>
      <c r="N290" s="4">
        <v>0.6185969169</v>
      </c>
      <c r="O290" s="4">
        <v>1367.845769</v>
      </c>
      <c r="P290" s="4">
        <v>0.002187049632</v>
      </c>
      <c r="Q290" s="4">
        <v>2211.206897</v>
      </c>
    </row>
    <row r="291">
      <c r="A291" s="2">
        <v>9.0</v>
      </c>
      <c r="B291" s="3" t="s">
        <v>416</v>
      </c>
      <c r="C291" s="2">
        <v>93.0</v>
      </c>
      <c r="D291" s="3" t="s">
        <v>437</v>
      </c>
      <c r="E291" s="2">
        <v>931.0</v>
      </c>
      <c r="F291" s="3" t="s">
        <v>438</v>
      </c>
      <c r="G291" s="2">
        <v>9311.0</v>
      </c>
      <c r="H291" s="3" t="s">
        <v>439</v>
      </c>
      <c r="I291" s="2">
        <v>2024.0</v>
      </c>
      <c r="J291" s="2">
        <v>20241.0</v>
      </c>
      <c r="K291" s="3" t="s">
        <v>21</v>
      </c>
      <c r="L291" s="4">
        <v>63.0</v>
      </c>
      <c r="M291" s="4">
        <v>6800.0</v>
      </c>
      <c r="N291" s="4">
        <v>-0.1903516033</v>
      </c>
      <c r="O291" s="4">
        <v>-1598.707424</v>
      </c>
      <c r="P291" s="4">
        <v>4.424666886E-5</v>
      </c>
      <c r="Q291" s="4">
        <v>8398.707424</v>
      </c>
    </row>
    <row r="292">
      <c r="A292" s="2">
        <v>9.0</v>
      </c>
      <c r="B292" s="3" t="s">
        <v>416</v>
      </c>
      <c r="C292" s="2">
        <v>93.0</v>
      </c>
      <c r="D292" s="3" t="s">
        <v>437</v>
      </c>
      <c r="E292" s="2">
        <v>933.0</v>
      </c>
      <c r="F292" s="3" t="s">
        <v>440</v>
      </c>
      <c r="G292" s="2">
        <v>9331.0</v>
      </c>
      <c r="H292" s="3" t="s">
        <v>440</v>
      </c>
      <c r="I292" s="2">
        <v>2024.0</v>
      </c>
      <c r="J292" s="2">
        <v>20241.0</v>
      </c>
      <c r="K292" s="3" t="s">
        <v>21</v>
      </c>
      <c r="L292" s="4">
        <v>6469.0</v>
      </c>
      <c r="M292" s="4">
        <v>3238.288762</v>
      </c>
      <c r="N292" s="4">
        <v>-0.3231329759</v>
      </c>
      <c r="O292" s="4">
        <v>-1545.943069</v>
      </c>
      <c r="P292" s="4">
        <v>0.004543360331</v>
      </c>
      <c r="Q292" s="4">
        <v>4784.231831</v>
      </c>
    </row>
    <row r="293">
      <c r="A293" s="2">
        <v>9.0</v>
      </c>
      <c r="B293" s="3" t="s">
        <v>416</v>
      </c>
      <c r="C293" s="2">
        <v>94.0</v>
      </c>
      <c r="D293" s="3" t="s">
        <v>441</v>
      </c>
      <c r="E293" s="2">
        <v>941.0</v>
      </c>
      <c r="F293" s="3" t="s">
        <v>441</v>
      </c>
      <c r="G293" s="2">
        <v>9411.0</v>
      </c>
      <c r="H293" s="3" t="s">
        <v>441</v>
      </c>
      <c r="I293" s="2">
        <v>2024.0</v>
      </c>
      <c r="J293" s="2">
        <v>20241.0</v>
      </c>
      <c r="K293" s="3" t="s">
        <v>21</v>
      </c>
      <c r="L293" s="4">
        <v>16173.0</v>
      </c>
      <c r="M293" s="4">
        <v>2607.803747</v>
      </c>
      <c r="N293" s="4">
        <v>-0.1899691535</v>
      </c>
      <c r="O293" s="4">
        <v>-611.5844506</v>
      </c>
      <c r="P293" s="4">
        <v>0.01135875199</v>
      </c>
      <c r="Q293" s="4">
        <v>3219.388198</v>
      </c>
    </row>
    <row r="294">
      <c r="A294" s="2">
        <v>9.0</v>
      </c>
      <c r="B294" s="3" t="s">
        <v>416</v>
      </c>
      <c r="C294" s="2">
        <v>95.0</v>
      </c>
      <c r="D294" s="3" t="s">
        <v>442</v>
      </c>
      <c r="E294" s="2">
        <v>951.0</v>
      </c>
      <c r="F294" s="3" t="s">
        <v>443</v>
      </c>
      <c r="G294" s="2">
        <v>9512.0</v>
      </c>
      <c r="H294" s="3" t="s">
        <v>444</v>
      </c>
      <c r="I294" s="2">
        <v>2024.0</v>
      </c>
      <c r="J294" s="2">
        <v>20241.0</v>
      </c>
      <c r="K294" s="3" t="s">
        <v>21</v>
      </c>
      <c r="L294" s="4">
        <v>22840.0</v>
      </c>
      <c r="M294" s="4">
        <v>3919.140412</v>
      </c>
      <c r="N294" s="4">
        <v>0.004273752809</v>
      </c>
      <c r="O294" s="4">
        <v>16.67815901</v>
      </c>
      <c r="P294" s="4">
        <v>0.01604117328</v>
      </c>
      <c r="Q294" s="4">
        <v>3902.462253</v>
      </c>
    </row>
    <row r="295">
      <c r="A295" s="2">
        <v>9.0</v>
      </c>
      <c r="B295" s="3" t="s">
        <v>416</v>
      </c>
      <c r="C295" s="2">
        <v>95.0</v>
      </c>
      <c r="D295" s="3" t="s">
        <v>442</v>
      </c>
      <c r="E295" s="2">
        <v>952.0</v>
      </c>
      <c r="F295" s="3" t="s">
        <v>445</v>
      </c>
      <c r="G295" s="2">
        <v>9521.0</v>
      </c>
      <c r="H295" s="3" t="s">
        <v>446</v>
      </c>
      <c r="I295" s="2">
        <v>2024.0</v>
      </c>
      <c r="J295" s="2">
        <v>20241.0</v>
      </c>
      <c r="K295" s="3" t="s">
        <v>21</v>
      </c>
      <c r="L295" s="4">
        <v>19366.0</v>
      </c>
      <c r="M295" s="4">
        <v>2755.11484</v>
      </c>
      <c r="N295" s="4">
        <v>-0.3343235454</v>
      </c>
      <c r="O295" s="4">
        <v>-1383.704884</v>
      </c>
      <c r="P295" s="4">
        <v>0.01360128554</v>
      </c>
      <c r="Q295" s="4">
        <v>4138.819725</v>
      </c>
    </row>
    <row r="296">
      <c r="A296" s="2">
        <v>9.0</v>
      </c>
      <c r="B296" s="3" t="s">
        <v>416</v>
      </c>
      <c r="C296" s="2">
        <v>96.0</v>
      </c>
      <c r="D296" s="3" t="s">
        <v>447</v>
      </c>
      <c r="E296" s="2">
        <v>960.0</v>
      </c>
      <c r="F296" s="3" t="s">
        <v>448</v>
      </c>
      <c r="G296" s="2">
        <v>9601.0</v>
      </c>
      <c r="H296" s="3" t="s">
        <v>448</v>
      </c>
      <c r="I296" s="2">
        <v>2024.0</v>
      </c>
      <c r="J296" s="2">
        <v>20241.0</v>
      </c>
      <c r="K296" s="3" t="s">
        <v>21</v>
      </c>
      <c r="L296" s="4">
        <v>301.0</v>
      </c>
      <c r="M296" s="4">
        <v>3052.491694</v>
      </c>
      <c r="N296" s="4">
        <v>-0.3963640488</v>
      </c>
      <c r="O296" s="4">
        <v>-2004.350411</v>
      </c>
      <c r="P296" s="4">
        <v>2.114007512E-4</v>
      </c>
      <c r="Q296" s="4">
        <v>5056.842105</v>
      </c>
    </row>
    <row r="297">
      <c r="A297" s="2">
        <v>9.0</v>
      </c>
      <c r="B297" s="3" t="s">
        <v>416</v>
      </c>
      <c r="C297" s="2">
        <v>96.0</v>
      </c>
      <c r="D297" s="3" t="s">
        <v>447</v>
      </c>
      <c r="E297" s="2">
        <v>961.0</v>
      </c>
      <c r="F297" s="3" t="s">
        <v>449</v>
      </c>
      <c r="G297" s="2">
        <v>9611.0</v>
      </c>
      <c r="H297" s="3" t="s">
        <v>449</v>
      </c>
      <c r="I297" s="2">
        <v>2024.0</v>
      </c>
      <c r="J297" s="2">
        <v>20241.0</v>
      </c>
      <c r="K297" s="3" t="s">
        <v>21</v>
      </c>
      <c r="L297" s="4">
        <v>54846.0</v>
      </c>
      <c r="M297" s="4">
        <v>3671.076414</v>
      </c>
      <c r="N297" s="4">
        <v>0.005667493289</v>
      </c>
      <c r="O297" s="4">
        <v>20.68854873</v>
      </c>
      <c r="P297" s="4">
        <v>0.03851988572</v>
      </c>
      <c r="Q297" s="4">
        <v>3650.387865</v>
      </c>
    </row>
    <row r="298">
      <c r="A298" s="2">
        <v>9.0</v>
      </c>
      <c r="B298" s="3" t="s">
        <v>416</v>
      </c>
      <c r="C298" s="2">
        <v>96.0</v>
      </c>
      <c r="D298" s="3" t="s">
        <v>447</v>
      </c>
      <c r="E298" s="2">
        <v>962.0</v>
      </c>
      <c r="F298" s="3" t="s">
        <v>450</v>
      </c>
      <c r="G298" s="2">
        <v>9621.0</v>
      </c>
      <c r="H298" s="3" t="s">
        <v>451</v>
      </c>
      <c r="I298" s="2">
        <v>2024.0</v>
      </c>
      <c r="J298" s="2">
        <v>20241.0</v>
      </c>
      <c r="K298" s="3" t="s">
        <v>21</v>
      </c>
      <c r="L298" s="4">
        <v>17233.0</v>
      </c>
      <c r="M298" s="4">
        <v>5831.674694</v>
      </c>
      <c r="N298" s="4">
        <v>0.1965177419</v>
      </c>
      <c r="O298" s="4">
        <v>957.8023812</v>
      </c>
      <c r="P298" s="4">
        <v>0.01210321975</v>
      </c>
      <c r="Q298" s="4">
        <v>4873.872313</v>
      </c>
    </row>
    <row r="299">
      <c r="A299" s="2">
        <v>9.0</v>
      </c>
      <c r="B299" s="3" t="s">
        <v>416</v>
      </c>
      <c r="C299" s="2">
        <v>96.0</v>
      </c>
      <c r="D299" s="3" t="s">
        <v>447</v>
      </c>
      <c r="E299" s="2">
        <v>962.0</v>
      </c>
      <c r="F299" s="3" t="s">
        <v>450</v>
      </c>
      <c r="G299" s="2">
        <v>9622.0</v>
      </c>
      <c r="H299" s="3" t="s">
        <v>452</v>
      </c>
      <c r="I299" s="2">
        <v>2024.0</v>
      </c>
      <c r="J299" s="2">
        <v>20241.0</v>
      </c>
      <c r="K299" s="3" t="s">
        <v>21</v>
      </c>
      <c r="L299" s="4">
        <v>2248.0</v>
      </c>
      <c r="M299" s="4">
        <v>7494.66637</v>
      </c>
      <c r="N299" s="4">
        <v>0.1662644508</v>
      </c>
      <c r="O299" s="4">
        <v>1068.451145</v>
      </c>
      <c r="P299" s="4">
        <v>0.001578833517</v>
      </c>
      <c r="Q299" s="4">
        <v>6426.215225</v>
      </c>
    </row>
    <row r="300">
      <c r="A300" s="2">
        <v>9.0</v>
      </c>
      <c r="B300" s="3" t="s">
        <v>416</v>
      </c>
      <c r="C300" s="2">
        <v>96.0</v>
      </c>
      <c r="D300" s="3" t="s">
        <v>447</v>
      </c>
      <c r="E300" s="2">
        <v>962.0</v>
      </c>
      <c r="F300" s="3" t="s">
        <v>450</v>
      </c>
      <c r="G300" s="2">
        <v>9623.0</v>
      </c>
      <c r="H300" s="3" t="s">
        <v>453</v>
      </c>
      <c r="I300" s="2">
        <v>2024.0</v>
      </c>
      <c r="J300" s="2">
        <v>20241.0</v>
      </c>
      <c r="K300" s="3" t="s">
        <v>21</v>
      </c>
      <c r="L300" s="4">
        <v>2053.0</v>
      </c>
      <c r="M300" s="4">
        <v>876.1617146</v>
      </c>
      <c r="N300" s="4">
        <v>-0.83397554</v>
      </c>
      <c r="O300" s="4">
        <v>-4401.143295</v>
      </c>
      <c r="P300" s="4">
        <v>0.001441879542</v>
      </c>
      <c r="Q300" s="4">
        <v>5277.30501</v>
      </c>
    </row>
    <row r="301">
      <c r="A301" s="2">
        <v>9.0</v>
      </c>
      <c r="B301" s="3" t="s">
        <v>416</v>
      </c>
      <c r="C301" s="2">
        <v>96.0</v>
      </c>
      <c r="D301" s="3" t="s">
        <v>447</v>
      </c>
      <c r="E301" s="2">
        <v>962.0</v>
      </c>
      <c r="F301" s="3" t="s">
        <v>450</v>
      </c>
      <c r="G301" s="2">
        <v>9624.0</v>
      </c>
      <c r="H301" s="3" t="s">
        <v>454</v>
      </c>
      <c r="I301" s="2">
        <v>2024.0</v>
      </c>
      <c r="J301" s="2">
        <v>20241.0</v>
      </c>
      <c r="K301" s="3" t="s">
        <v>21</v>
      </c>
      <c r="L301" s="4">
        <v>227.0</v>
      </c>
      <c r="M301" s="4">
        <v>7190.660793</v>
      </c>
      <c r="N301" s="4">
        <v>2.838605048</v>
      </c>
      <c r="O301" s="4">
        <v>5317.412385</v>
      </c>
      <c r="P301" s="4">
        <v>1.594284735E-4</v>
      </c>
      <c r="Q301" s="4">
        <v>1873.248408</v>
      </c>
    </row>
    <row r="302">
      <c r="A302" s="2">
        <v>9.0</v>
      </c>
      <c r="B302" s="3" t="s">
        <v>416</v>
      </c>
      <c r="C302" s="2">
        <v>96.0</v>
      </c>
      <c r="D302" s="3" t="s">
        <v>447</v>
      </c>
      <c r="E302" s="2">
        <v>963.0</v>
      </c>
      <c r="F302" s="3" t="s">
        <v>455</v>
      </c>
      <c r="G302" s="2">
        <v>9631.0</v>
      </c>
      <c r="H302" s="3" t="s">
        <v>456</v>
      </c>
      <c r="I302" s="2">
        <v>2024.0</v>
      </c>
      <c r="J302" s="2">
        <v>20241.0</v>
      </c>
      <c r="K302" s="3" t="s">
        <v>21</v>
      </c>
      <c r="L302" s="4">
        <v>2804.0</v>
      </c>
      <c r="M302" s="4">
        <v>3036.462197</v>
      </c>
      <c r="N302" s="4">
        <v>-0.2471341528</v>
      </c>
      <c r="O302" s="4">
        <v>-996.7426669</v>
      </c>
      <c r="P302" s="4">
        <v>0.001969327928</v>
      </c>
      <c r="Q302" s="4">
        <v>4033.204864</v>
      </c>
    </row>
    <row r="303">
      <c r="A303" s="2">
        <v>9.0</v>
      </c>
      <c r="B303" s="3" t="s">
        <v>416</v>
      </c>
      <c r="C303" s="2">
        <v>96.0</v>
      </c>
      <c r="D303" s="3" t="s">
        <v>447</v>
      </c>
      <c r="E303" s="2">
        <v>963.0</v>
      </c>
      <c r="F303" s="3" t="s">
        <v>455</v>
      </c>
      <c r="G303" s="2">
        <v>9632.0</v>
      </c>
      <c r="H303" s="3" t="s">
        <v>457</v>
      </c>
      <c r="I303" s="2">
        <v>2024.0</v>
      </c>
      <c r="J303" s="2">
        <v>20241.0</v>
      </c>
      <c r="K303" s="3" t="s">
        <v>21</v>
      </c>
      <c r="L303" s="4">
        <v>93.0</v>
      </c>
      <c r="M303" s="4">
        <v>2150.0</v>
      </c>
      <c r="N303" s="4">
        <v>1.0</v>
      </c>
      <c r="O303" s="4">
        <v>2150.0</v>
      </c>
      <c r="P303" s="4">
        <v>6.531651117E-5</v>
      </c>
      <c r="Q303" s="4">
        <v>0.0</v>
      </c>
    </row>
    <row r="304">
      <c r="A304" s="2">
        <v>9.0</v>
      </c>
      <c r="B304" s="3" t="s">
        <v>416</v>
      </c>
      <c r="C304" s="2">
        <v>96.0</v>
      </c>
      <c r="D304" s="3" t="s">
        <v>447</v>
      </c>
      <c r="E304" s="2">
        <v>963.0</v>
      </c>
      <c r="F304" s="3" t="s">
        <v>455</v>
      </c>
      <c r="G304" s="2">
        <v>9633.0</v>
      </c>
      <c r="H304" s="3" t="s">
        <v>458</v>
      </c>
      <c r="I304" s="2">
        <v>2024.0</v>
      </c>
      <c r="J304" s="2">
        <v>20241.0</v>
      </c>
      <c r="K304" s="3" t="s">
        <v>21</v>
      </c>
      <c r="L304" s="4">
        <v>69.0</v>
      </c>
      <c r="M304" s="4">
        <v>6450.0</v>
      </c>
      <c r="N304" s="4">
        <v>-0.2986832835</v>
      </c>
      <c r="O304" s="4">
        <v>-2746.985967</v>
      </c>
      <c r="P304" s="4">
        <v>4.846063732E-5</v>
      </c>
      <c r="Q304" s="4">
        <v>9196.985967</v>
      </c>
    </row>
    <row r="305">
      <c r="A305" s="2">
        <v>9.0</v>
      </c>
      <c r="B305" s="3" t="s">
        <v>416</v>
      </c>
      <c r="C305" s="2">
        <v>96.0</v>
      </c>
      <c r="D305" s="3" t="s">
        <v>447</v>
      </c>
      <c r="E305" s="2">
        <v>964.0</v>
      </c>
      <c r="F305" s="3" t="s">
        <v>459</v>
      </c>
      <c r="G305" s="2">
        <v>9641.0</v>
      </c>
      <c r="H305" s="3" t="s">
        <v>460</v>
      </c>
      <c r="I305" s="2">
        <v>2024.0</v>
      </c>
      <c r="J305" s="2">
        <v>20241.0</v>
      </c>
      <c r="K305" s="3" t="s">
        <v>21</v>
      </c>
      <c r="L305" s="4">
        <v>1888.0</v>
      </c>
      <c r="M305" s="4">
        <v>5146.790254</v>
      </c>
      <c r="N305" s="4">
        <v>0.5824096721</v>
      </c>
      <c r="O305" s="4">
        <v>1894.288487</v>
      </c>
      <c r="P305" s="4">
        <v>0.00132599541</v>
      </c>
      <c r="Q305" s="4">
        <v>3252.501767</v>
      </c>
    </row>
    <row r="306">
      <c r="A306" s="2">
        <v>9.0</v>
      </c>
      <c r="B306" s="3" t="s">
        <v>416</v>
      </c>
      <c r="C306" s="2">
        <v>96.0</v>
      </c>
      <c r="D306" s="3" t="s">
        <v>447</v>
      </c>
      <c r="E306" s="2">
        <v>964.0</v>
      </c>
      <c r="F306" s="3" t="s">
        <v>459</v>
      </c>
      <c r="G306" s="2">
        <v>9642.0</v>
      </c>
      <c r="H306" s="3" t="s">
        <v>461</v>
      </c>
      <c r="I306" s="2">
        <v>2024.0</v>
      </c>
      <c r="J306" s="2">
        <v>20241.0</v>
      </c>
      <c r="K306" s="3" t="s">
        <v>21</v>
      </c>
      <c r="L306" s="4">
        <v>1621.0</v>
      </c>
      <c r="M306" s="4">
        <v>5076.705737</v>
      </c>
      <c r="N306" s="4">
        <v>-0.2681867437</v>
      </c>
      <c r="O306" s="4">
        <v>-1860.454384</v>
      </c>
      <c r="P306" s="4">
        <v>0.001138473813</v>
      </c>
      <c r="Q306" s="4">
        <v>6937.160121</v>
      </c>
    </row>
    <row r="307">
      <c r="A307" s="2">
        <v>9.0</v>
      </c>
      <c r="B307" s="3" t="s">
        <v>416</v>
      </c>
      <c r="C307" s="2">
        <v>96.0</v>
      </c>
      <c r="D307" s="3" t="s">
        <v>447</v>
      </c>
      <c r="E307" s="2">
        <v>964.0</v>
      </c>
      <c r="F307" s="3" t="s">
        <v>459</v>
      </c>
      <c r="G307" s="2">
        <v>9643.0</v>
      </c>
      <c r="H307" s="3" t="s">
        <v>462</v>
      </c>
      <c r="I307" s="2">
        <v>2024.0</v>
      </c>
      <c r="J307" s="2">
        <v>20241.0</v>
      </c>
      <c r="K307" s="3" t="s">
        <v>21</v>
      </c>
      <c r="L307" s="4">
        <v>971.0</v>
      </c>
      <c r="M307" s="4">
        <v>949.454171</v>
      </c>
      <c r="N307" s="4">
        <v>-0.4130406691</v>
      </c>
      <c r="O307" s="4">
        <v>-668.1266748</v>
      </c>
      <c r="P307" s="4">
        <v>6.819605629E-4</v>
      </c>
      <c r="Q307" s="4">
        <v>1617.580846</v>
      </c>
    </row>
    <row r="308">
      <c r="A308" s="2">
        <v>9.0</v>
      </c>
      <c r="B308" s="3" t="s">
        <v>416</v>
      </c>
      <c r="C308" s="2">
        <v>96.0</v>
      </c>
      <c r="D308" s="3" t="s">
        <v>447</v>
      </c>
      <c r="E308" s="2">
        <v>965.0</v>
      </c>
      <c r="F308" s="3" t="s">
        <v>463</v>
      </c>
      <c r="G308" s="2">
        <v>9651.0</v>
      </c>
      <c r="H308" s="3" t="s">
        <v>463</v>
      </c>
      <c r="I308" s="2">
        <v>2024.0</v>
      </c>
      <c r="J308" s="2">
        <v>20241.0</v>
      </c>
      <c r="K308" s="3" t="s">
        <v>21</v>
      </c>
      <c r="L308" s="4">
        <v>727.0</v>
      </c>
      <c r="M308" s="4">
        <v>0.0</v>
      </c>
      <c r="N308" s="4">
        <v>1.0</v>
      </c>
      <c r="O308" s="4">
        <v>0.0</v>
      </c>
      <c r="P308" s="4">
        <v>5.105925121E-4</v>
      </c>
      <c r="Q308" s="4">
        <v>0.0</v>
      </c>
    </row>
    <row r="309">
      <c r="A309" s="2">
        <v>9.0</v>
      </c>
      <c r="B309" s="3" t="s">
        <v>416</v>
      </c>
      <c r="C309" s="2">
        <v>96.0</v>
      </c>
      <c r="D309" s="3" t="s">
        <v>447</v>
      </c>
      <c r="E309" s="2">
        <v>966.0</v>
      </c>
      <c r="F309" s="3" t="s">
        <v>464</v>
      </c>
      <c r="G309" s="2">
        <v>9661.0</v>
      </c>
      <c r="H309" s="3" t="s">
        <v>465</v>
      </c>
      <c r="I309" s="2">
        <v>2024.0</v>
      </c>
      <c r="J309" s="2">
        <v>20241.0</v>
      </c>
      <c r="K309" s="3" t="s">
        <v>21</v>
      </c>
      <c r="L309" s="4">
        <v>4013.0</v>
      </c>
      <c r="M309" s="4">
        <v>4254.286319</v>
      </c>
      <c r="N309" s="4">
        <v>-0.3990825698</v>
      </c>
      <c r="O309" s="4">
        <v>-2825.365736</v>
      </c>
      <c r="P309" s="4">
        <v>0.002818442573</v>
      </c>
      <c r="Q309" s="4">
        <v>7079.652055</v>
      </c>
    </row>
    <row r="310">
      <c r="A310" s="2">
        <v>9.0</v>
      </c>
      <c r="B310" s="3" t="s">
        <v>416</v>
      </c>
      <c r="C310" s="2">
        <v>96.0</v>
      </c>
      <c r="D310" s="3" t="s">
        <v>447</v>
      </c>
      <c r="E310" s="2">
        <v>966.0</v>
      </c>
      <c r="F310" s="3" t="s">
        <v>464</v>
      </c>
      <c r="G310" s="2">
        <v>9662.0</v>
      </c>
      <c r="H310" s="3" t="s">
        <v>466</v>
      </c>
      <c r="I310" s="2">
        <v>2024.0</v>
      </c>
      <c r="J310" s="2">
        <v>20241.0</v>
      </c>
      <c r="K310" s="3" t="s">
        <v>21</v>
      </c>
      <c r="L310" s="4">
        <v>2072.0</v>
      </c>
      <c r="M310" s="4">
        <v>7955.0</v>
      </c>
      <c r="N310" s="4">
        <v>1.0</v>
      </c>
      <c r="O310" s="4">
        <v>7955.0</v>
      </c>
      <c r="P310" s="4">
        <v>0.001455223776</v>
      </c>
      <c r="Q310" s="4">
        <v>0.0</v>
      </c>
    </row>
    <row r="311">
      <c r="A311" s="2">
        <v>9.0</v>
      </c>
      <c r="B311" s="3" t="s">
        <v>416</v>
      </c>
      <c r="C311" s="2">
        <v>97.0</v>
      </c>
      <c r="D311" s="3" t="s">
        <v>467</v>
      </c>
      <c r="E311" s="2">
        <v>971.0</v>
      </c>
      <c r="F311" s="3" t="s">
        <v>468</v>
      </c>
      <c r="G311" s="2">
        <v>9711.0</v>
      </c>
      <c r="H311" s="3" t="s">
        <v>469</v>
      </c>
      <c r="I311" s="2">
        <v>2024.0</v>
      </c>
      <c r="J311" s="2">
        <v>20241.0</v>
      </c>
      <c r="K311" s="3" t="s">
        <v>21</v>
      </c>
      <c r="L311" s="4">
        <v>40.0</v>
      </c>
      <c r="M311" s="4">
        <v>70000.0</v>
      </c>
      <c r="N311" s="4">
        <v>7.272160224</v>
      </c>
      <c r="O311" s="4">
        <v>61537.88151</v>
      </c>
      <c r="P311" s="4">
        <v>2.809312308E-5</v>
      </c>
      <c r="Q311" s="4">
        <v>8462.118492</v>
      </c>
    </row>
    <row r="312">
      <c r="A312" s="2">
        <v>9.0</v>
      </c>
      <c r="B312" s="3" t="s">
        <v>416</v>
      </c>
      <c r="C312" s="2">
        <v>97.0</v>
      </c>
      <c r="D312" s="3" t="s">
        <v>467</v>
      </c>
      <c r="E312" s="2">
        <v>971.0</v>
      </c>
      <c r="F312" s="3" t="s">
        <v>468</v>
      </c>
      <c r="G312" s="2">
        <v>9712.0</v>
      </c>
      <c r="H312" s="3" t="s">
        <v>470</v>
      </c>
      <c r="I312" s="2">
        <v>2024.0</v>
      </c>
      <c r="J312" s="2">
        <v>20241.0</v>
      </c>
      <c r="K312" s="3" t="s">
        <v>21</v>
      </c>
      <c r="L312" s="4">
        <v>1008.0</v>
      </c>
      <c r="M312" s="4">
        <v>7150.505952</v>
      </c>
      <c r="N312" s="4">
        <v>0.5117348737</v>
      </c>
      <c r="O312" s="4">
        <v>2420.505952</v>
      </c>
      <c r="P312" s="4">
        <v>7.079467017E-4</v>
      </c>
      <c r="Q312" s="4">
        <v>4730.0</v>
      </c>
    </row>
    <row r="313">
      <c r="A313" s="2">
        <v>9.0</v>
      </c>
      <c r="B313" s="3" t="s">
        <v>416</v>
      </c>
      <c r="C313" s="2">
        <v>97.0</v>
      </c>
      <c r="D313" s="3" t="s">
        <v>467</v>
      </c>
      <c r="E313" s="2">
        <v>972.0</v>
      </c>
      <c r="F313" s="3" t="s">
        <v>471</v>
      </c>
      <c r="G313" s="2">
        <v>9722.0</v>
      </c>
      <c r="H313" s="3" t="s">
        <v>472</v>
      </c>
      <c r="I313" s="2">
        <v>2024.0</v>
      </c>
      <c r="J313" s="2">
        <v>20241.0</v>
      </c>
      <c r="K313" s="3" t="s">
        <v>21</v>
      </c>
      <c r="L313" s="4">
        <v>180.0</v>
      </c>
      <c r="M313" s="4">
        <v>6499.333333</v>
      </c>
      <c r="N313" s="4">
        <v>1.0</v>
      </c>
      <c r="O313" s="4">
        <v>6499.333333</v>
      </c>
      <c r="P313" s="4">
        <v>1.264190539E-4</v>
      </c>
      <c r="Q313" s="4">
        <v>0.0</v>
      </c>
    </row>
    <row r="314">
      <c r="A314" s="5"/>
      <c r="B314" s="1"/>
      <c r="C314" s="5"/>
      <c r="D314" s="1"/>
      <c r="E314" s="5"/>
      <c r="F314" s="1"/>
      <c r="G314" s="5"/>
      <c r="H314" s="1"/>
      <c r="I314" s="5"/>
      <c r="J314" s="5"/>
      <c r="K314" s="1"/>
      <c r="L314" s="5"/>
      <c r="M314" s="5"/>
      <c r="N314" s="5"/>
      <c r="O314" s="5"/>
      <c r="P314" s="5"/>
      <c r="Q314" s="5"/>
    </row>
    <row r="315">
      <c r="A315" s="5"/>
      <c r="B315" s="1"/>
      <c r="C315" s="5"/>
      <c r="D315" s="1"/>
      <c r="E315" s="5"/>
      <c r="F315" s="1"/>
      <c r="G315" s="5"/>
      <c r="H315" s="1"/>
      <c r="I315" s="5"/>
      <c r="J315" s="5"/>
      <c r="K315" s="1"/>
      <c r="L315" s="5"/>
      <c r="M315" s="5"/>
      <c r="N315" s="5"/>
      <c r="O315" s="5"/>
      <c r="P315" s="5"/>
      <c r="Q315" s="5"/>
    </row>
    <row r="316">
      <c r="A316" s="5"/>
      <c r="B316" s="1"/>
      <c r="C316" s="5"/>
      <c r="D316" s="1"/>
      <c r="E316" s="5"/>
      <c r="F316" s="1"/>
      <c r="G316" s="5"/>
      <c r="H316" s="1"/>
      <c r="I316" s="5"/>
      <c r="J316" s="5"/>
      <c r="K316" s="1"/>
      <c r="L316" s="5"/>
      <c r="M316" s="5"/>
      <c r="N316" s="5"/>
      <c r="O316" s="5"/>
      <c r="P316" s="5"/>
      <c r="Q316" s="5"/>
    </row>
    <row r="317">
      <c r="L317" s="6">
        <f>SUM(L2:L316)</f>
        <v>1423836</v>
      </c>
    </row>
  </sheetData>
  <autoFilter ref="$A$1:$Z$31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7" t="s">
        <v>550</v>
      </c>
      <c r="D2" s="7">
        <v>8000000.0</v>
      </c>
    </row>
    <row r="3">
      <c r="C3" s="83" t="s">
        <v>551</v>
      </c>
      <c r="D3" s="84" t="s">
        <v>552</v>
      </c>
      <c r="E3" s="83" t="s">
        <v>553</v>
      </c>
      <c r="F3" s="83" t="s">
        <v>554</v>
      </c>
      <c r="G3" s="83" t="s">
        <v>555</v>
      </c>
      <c r="H3" s="83" t="s">
        <v>556</v>
      </c>
      <c r="I3" s="83" t="s">
        <v>557</v>
      </c>
      <c r="J3" s="83" t="s">
        <v>558</v>
      </c>
      <c r="K3" s="84" t="s">
        <v>559</v>
      </c>
    </row>
    <row r="4">
      <c r="C4" s="85" t="s">
        <v>560</v>
      </c>
      <c r="D4" s="86"/>
      <c r="E4" s="87">
        <v>3027840.0</v>
      </c>
      <c r="F4" s="88">
        <v>7370.0</v>
      </c>
      <c r="G4" s="87">
        <v>21057.14</v>
      </c>
      <c r="H4" s="87">
        <v>6477960.0</v>
      </c>
      <c r="I4" s="85" t="s">
        <v>576</v>
      </c>
      <c r="J4" s="89">
        <v>0.008</v>
      </c>
      <c r="K4" s="90" t="s">
        <v>562</v>
      </c>
    </row>
    <row r="5">
      <c r="C5" s="91" t="s">
        <v>560</v>
      </c>
      <c r="D5" s="92"/>
      <c r="E5" s="93">
        <v>3078800.0</v>
      </c>
      <c r="F5" s="88">
        <v>53698.0</v>
      </c>
      <c r="G5" s="93">
        <v>176059.02</v>
      </c>
      <c r="H5" s="93">
        <v>1.5115003E7</v>
      </c>
      <c r="I5" s="91" t="s">
        <v>561</v>
      </c>
      <c r="J5" s="94">
        <v>0.124</v>
      </c>
      <c r="K5" s="90" t="s">
        <v>562</v>
      </c>
    </row>
    <row r="6">
      <c r="C6" s="85" t="s">
        <v>560</v>
      </c>
      <c r="D6" s="86"/>
      <c r="E6" s="87">
        <v>3078800.0</v>
      </c>
      <c r="F6" s="88">
        <v>60095.0</v>
      </c>
      <c r="G6" s="87">
        <v>184907.69</v>
      </c>
      <c r="H6" s="87">
        <v>1.4225696E7</v>
      </c>
      <c r="I6" s="85" t="s">
        <v>561</v>
      </c>
      <c r="J6" s="89">
        <v>0.125</v>
      </c>
      <c r="K6" s="90" t="s">
        <v>562</v>
      </c>
    </row>
    <row r="7">
      <c r="C7" s="91" t="s">
        <v>560</v>
      </c>
      <c r="D7" s="92"/>
      <c r="E7" s="93">
        <v>3074160.0</v>
      </c>
      <c r="F7" s="88">
        <v>60310.2</v>
      </c>
      <c r="G7" s="93">
        <v>62455.1</v>
      </c>
      <c r="H7" s="93">
        <v>1.445473449E7</v>
      </c>
      <c r="I7" s="91" t="s">
        <v>566</v>
      </c>
      <c r="J7" s="94">
        <v>0.126</v>
      </c>
      <c r="K7" s="90" t="s">
        <v>562</v>
      </c>
    </row>
    <row r="8">
      <c r="C8" s="85" t="s">
        <v>560</v>
      </c>
      <c r="D8" s="86"/>
      <c r="E8" s="87">
        <v>3022130.0</v>
      </c>
      <c r="F8" s="88">
        <v>61376.93</v>
      </c>
      <c r="G8" s="87">
        <v>184130.79</v>
      </c>
      <c r="H8" s="87">
        <v>1.446102158E7</v>
      </c>
      <c r="I8" s="85" t="s">
        <v>577</v>
      </c>
      <c r="J8" s="89">
        <v>0.126</v>
      </c>
      <c r="K8" s="90" t="s">
        <v>562</v>
      </c>
    </row>
    <row r="9">
      <c r="C9" s="91" t="s">
        <v>560</v>
      </c>
      <c r="D9" s="92"/>
      <c r="E9" s="93">
        <v>3074160.0</v>
      </c>
      <c r="F9" s="88">
        <v>61807.44</v>
      </c>
      <c r="G9" s="93">
        <v>152744.49</v>
      </c>
      <c r="H9" s="93">
        <v>1.483378637E7</v>
      </c>
      <c r="I9" s="91" t="s">
        <v>563</v>
      </c>
      <c r="J9" s="94">
        <v>0.131</v>
      </c>
      <c r="K9" s="90" t="s">
        <v>562</v>
      </c>
    </row>
    <row r="10">
      <c r="C10" s="85" t="s">
        <v>560</v>
      </c>
      <c r="D10" s="86"/>
      <c r="E10" s="87">
        <v>2830100.0</v>
      </c>
      <c r="F10" s="88">
        <v>62550.97</v>
      </c>
      <c r="G10" s="87">
        <v>208503.23</v>
      </c>
      <c r="H10" s="87">
        <v>1.472498711E7</v>
      </c>
      <c r="I10" s="85" t="s">
        <v>567</v>
      </c>
      <c r="J10" s="89">
        <v>0.131</v>
      </c>
      <c r="K10" s="90" t="s">
        <v>562</v>
      </c>
    </row>
    <row r="11">
      <c r="C11" s="91" t="s">
        <v>560</v>
      </c>
      <c r="D11" s="92"/>
      <c r="E11" s="93">
        <v>3004190.0</v>
      </c>
      <c r="F11" s="88">
        <v>63947.58</v>
      </c>
      <c r="G11" s="93">
        <v>127902.6</v>
      </c>
      <c r="H11" s="93">
        <v>1.507188977E7</v>
      </c>
      <c r="I11" s="91" t="s">
        <v>568</v>
      </c>
      <c r="J11" s="94">
        <v>0.135</v>
      </c>
      <c r="K11" s="90" t="s">
        <v>562</v>
      </c>
    </row>
    <row r="12">
      <c r="C12" s="85" t="s">
        <v>560</v>
      </c>
      <c r="D12" s="86"/>
      <c r="E12" s="87">
        <v>2933900.0</v>
      </c>
      <c r="F12" s="88">
        <v>65049.55</v>
      </c>
      <c r="G12" s="87">
        <v>185855.87</v>
      </c>
      <c r="H12" s="87">
        <v>1.541027057E7</v>
      </c>
      <c r="I12" s="85" t="s">
        <v>565</v>
      </c>
      <c r="J12" s="89">
        <v>0.14</v>
      </c>
      <c r="K12" s="90" t="s">
        <v>562</v>
      </c>
    </row>
    <row r="13">
      <c r="C13" s="95" t="s">
        <v>560</v>
      </c>
      <c r="D13" s="96"/>
      <c r="E13" s="97">
        <v>3072400.0</v>
      </c>
      <c r="F13" s="98">
        <v>65791.77</v>
      </c>
      <c r="G13" s="97">
        <v>191172.8</v>
      </c>
      <c r="H13" s="97">
        <v>1.553004869E7</v>
      </c>
      <c r="I13" s="95" t="s">
        <v>573</v>
      </c>
      <c r="J13" s="99">
        <v>0.138</v>
      </c>
      <c r="K13" s="90" t="s">
        <v>562</v>
      </c>
    </row>
    <row r="16">
      <c r="F16" s="7" t="s">
        <v>507</v>
      </c>
      <c r="G16" s="21">
        <f>AVERAGE(G4:G13)</f>
        <v>149478.873</v>
      </c>
    </row>
    <row r="17">
      <c r="F17" s="7" t="s">
        <v>571</v>
      </c>
      <c r="G17" s="21">
        <f>MEDIAN(G4:G13)</f>
        <v>180094.905</v>
      </c>
    </row>
    <row r="18">
      <c r="F18" s="7" t="s">
        <v>572</v>
      </c>
      <c r="G18" s="21">
        <f>MAX(G4:G13)</f>
        <v>208503.23</v>
      </c>
      <c r="K18" s="90"/>
    </row>
    <row r="19">
      <c r="F19" s="7" t="s">
        <v>490</v>
      </c>
      <c r="G19" s="21">
        <f>MIN(G4:G13)</f>
        <v>21057.14</v>
      </c>
      <c r="K19" s="90"/>
    </row>
    <row r="20">
      <c r="K20" s="90"/>
    </row>
    <row r="21">
      <c r="K21" s="90"/>
    </row>
    <row r="22">
      <c r="K22" s="90"/>
    </row>
    <row r="23">
      <c r="K23" s="90"/>
    </row>
    <row r="24">
      <c r="K24" s="90"/>
    </row>
    <row r="25">
      <c r="K25" s="90"/>
    </row>
    <row r="26">
      <c r="K26" s="90"/>
    </row>
    <row r="27">
      <c r="K27" s="90"/>
    </row>
  </sheetData>
  <hyperlinks>
    <hyperlink r:id="rId1" ref="K4"/>
    <hyperlink r:id="rId2" ref="K5"/>
    <hyperlink r:id="rId3" ref="K6"/>
    <hyperlink r:id="rId4" ref="K7"/>
    <hyperlink r:id="rId5" ref="K8"/>
    <hyperlink r:id="rId6" ref="K9"/>
    <hyperlink r:id="rId7" ref="K10"/>
    <hyperlink r:id="rId8" ref="K11"/>
    <hyperlink r:id="rId9" ref="K12"/>
    <hyperlink r:id="rId10" ref="K13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  <c r="B1" s="1" t="s">
        <v>11</v>
      </c>
      <c r="C1" s="1" t="s">
        <v>12</v>
      </c>
      <c r="D1" s="1" t="s">
        <v>16</v>
      </c>
      <c r="E1" s="7" t="s">
        <v>473</v>
      </c>
      <c r="F1" s="7" t="s">
        <v>473</v>
      </c>
      <c r="G1" s="7" t="s">
        <v>474</v>
      </c>
      <c r="H1" s="7" t="s">
        <v>475</v>
      </c>
      <c r="I1" s="7" t="s">
        <v>476</v>
      </c>
      <c r="J1" s="7" t="s">
        <v>477</v>
      </c>
      <c r="K1" s="7" t="s">
        <v>478</v>
      </c>
    </row>
    <row r="2">
      <c r="A2" s="8" t="s">
        <v>235</v>
      </c>
      <c r="B2" s="9">
        <v>911.0</v>
      </c>
      <c r="C2" s="9">
        <v>3333.0406147091107</v>
      </c>
      <c r="D2" s="10">
        <v>3333.0</v>
      </c>
      <c r="E2" s="9">
        <f t="shared" ref="E2:E313" si="1">D2-C2</f>
        <v>-0.04061470911</v>
      </c>
      <c r="F2" s="9">
        <f t="shared" ref="F2:F313" si="2">D2/C2</f>
        <v>0.9999878145</v>
      </c>
      <c r="G2" s="11">
        <f t="shared" ref="G2:G313" si="3">MAX(C2,D2)</f>
        <v>3333.040615</v>
      </c>
      <c r="H2" s="11">
        <f t="shared" ref="H2:H313" si="4">G2*B2</f>
        <v>3036400</v>
      </c>
      <c r="I2" s="12" t="str">
        <f t="shared" ref="I2:I313" si="5">IF(AND(G2&gt;=10, G2&lt;5000), "G", IF(AND(G2&gt;=5000, G2&lt;8000), "F", IF(AND(G2&gt;=8000, G2&lt;12000), "F1",IF(AND(G2&gt;=12000, G2&lt;16000), "E", IF(AND(G2&gt;=16000, G2&lt;20000), "E1", IF(AND(G2&gt;=20000, G2&lt;25000), "D", IF(AND(G2&gt;=25000, G2&lt;30000), "D1",IF(AND(G2&gt;=30000, G2&lt;35000), "C", IF(AND(G2&gt;=35000, G2&lt;40000),  "C1", IF(AND(G2&gt;=40000, G2&lt;45000), "B", IF(AND(G2&gt;=45000, G2&lt;50000), "B1",IF(AND(G2&gt;=50000, G2&lt;55000), "A", IF(AND(G2&gt;=55000, G2&lt;60000),  "A1",IF(AND(G2&gt;60000), "S"))))))))))))))</f>
        <v>G</v>
      </c>
      <c r="J2" s="11">
        <f t="shared" ref="J2:J313" si="6">PRODUCT(G2,1.69)</f>
        <v>5632.838639</v>
      </c>
      <c r="K2" s="12" t="str">
        <f t="shared" ref="K2:K313" si="7">IF(AND(J2&gt;=10, J2&lt;5000), "G", IF(AND(J2&gt;=5000, J2&lt;8000), "F", IF(AND(J2&gt;=8000, J2&lt;12000), "F1",IF(AND(J2&gt;=12000, J2&lt;16000), "E", IF(AND(J2&gt;=16000, J2&lt;20000), "E1", IF(AND(J2&gt;=20000, J2&lt;25000), "D", IF(AND(J2&gt;=25000, J2&lt;30000), "D1",IF(AND(J2&gt;=30000, J2&lt;35000), "C", IF(AND(J2&gt;=35000, J2&lt;40000),  "C1", IF(AND(J2&gt;=40000, J2&lt;45000), "B", IF(AND(J2&gt;=45000, J2&lt;50000), "B1",IF(AND(J2&gt;=50000, J2&lt;55000), "A", IF(AND(J2&gt;=55000, J2&lt;60000),  "A1",IF(AND(J2&gt;60000), "S"))))))))))))))</f>
        <v>F</v>
      </c>
    </row>
    <row r="3">
      <c r="A3" s="8" t="s">
        <v>297</v>
      </c>
      <c r="B3" s="9">
        <v>1703.0</v>
      </c>
      <c r="C3" s="9">
        <v>8279.33059307105</v>
      </c>
      <c r="D3" s="10">
        <v>8279.0</v>
      </c>
      <c r="E3" s="9">
        <f t="shared" si="1"/>
        <v>-0.3305930711</v>
      </c>
      <c r="F3" s="9">
        <f t="shared" si="2"/>
        <v>0.9999600701</v>
      </c>
      <c r="G3" s="11">
        <f t="shared" si="3"/>
        <v>8279.330593</v>
      </c>
      <c r="H3" s="11">
        <f t="shared" si="4"/>
        <v>14099700</v>
      </c>
      <c r="I3" s="12" t="str">
        <f t="shared" si="5"/>
        <v>F1</v>
      </c>
      <c r="J3" s="11">
        <f t="shared" si="6"/>
        <v>13992.0687</v>
      </c>
      <c r="K3" s="12" t="str">
        <f t="shared" si="7"/>
        <v>E</v>
      </c>
    </row>
    <row r="4">
      <c r="A4" s="8" t="s">
        <v>405</v>
      </c>
      <c r="B4" s="9">
        <v>68.0</v>
      </c>
      <c r="C4" s="10">
        <v>6480.0</v>
      </c>
      <c r="D4" s="10">
        <v>6480.0</v>
      </c>
      <c r="E4" s="9">
        <f t="shared" si="1"/>
        <v>0</v>
      </c>
      <c r="F4" s="9">
        <f t="shared" si="2"/>
        <v>1</v>
      </c>
      <c r="G4" s="11">
        <f t="shared" si="3"/>
        <v>6480</v>
      </c>
      <c r="H4" s="11">
        <f t="shared" si="4"/>
        <v>440640</v>
      </c>
      <c r="I4" s="12" t="str">
        <f t="shared" si="5"/>
        <v>F</v>
      </c>
      <c r="J4" s="11">
        <f t="shared" si="6"/>
        <v>10951.2</v>
      </c>
      <c r="K4" s="12" t="str">
        <f t="shared" si="7"/>
        <v>F1</v>
      </c>
    </row>
    <row r="5">
      <c r="A5" s="8" t="s">
        <v>82</v>
      </c>
      <c r="B5" s="9">
        <v>1797.0</v>
      </c>
      <c r="C5" s="9">
        <v>6449.805230940457</v>
      </c>
      <c r="D5" s="10">
        <v>6449.0</v>
      </c>
      <c r="E5" s="9">
        <f t="shared" si="1"/>
        <v>-0.8052309405</v>
      </c>
      <c r="F5" s="9">
        <f t="shared" si="2"/>
        <v>0.9998751542</v>
      </c>
      <c r="G5" s="11">
        <f t="shared" si="3"/>
        <v>6449.805231</v>
      </c>
      <c r="H5" s="11">
        <f t="shared" si="4"/>
        <v>11590300</v>
      </c>
      <c r="I5" s="12" t="str">
        <f t="shared" si="5"/>
        <v>F</v>
      </c>
      <c r="J5" s="11">
        <f t="shared" si="6"/>
        <v>10900.17084</v>
      </c>
      <c r="K5" s="12" t="str">
        <f t="shared" si="7"/>
        <v>F1</v>
      </c>
    </row>
    <row r="6">
      <c r="A6" s="8" t="s">
        <v>190</v>
      </c>
      <c r="B6" s="9">
        <v>2944.0</v>
      </c>
      <c r="C6" s="9">
        <v>2786.0835597826085</v>
      </c>
      <c r="D6" s="10">
        <v>2786.0</v>
      </c>
      <c r="E6" s="9">
        <f t="shared" si="1"/>
        <v>-0.08355978261</v>
      </c>
      <c r="F6" s="9">
        <f t="shared" si="2"/>
        <v>0.9999700082</v>
      </c>
      <c r="G6" s="11">
        <f t="shared" si="3"/>
        <v>2786.08356</v>
      </c>
      <c r="H6" s="11">
        <f t="shared" si="4"/>
        <v>8202230</v>
      </c>
      <c r="I6" s="12" t="str">
        <f t="shared" si="5"/>
        <v>G</v>
      </c>
      <c r="J6" s="11">
        <f t="shared" si="6"/>
        <v>4708.481216</v>
      </c>
      <c r="K6" s="12" t="str">
        <f t="shared" si="7"/>
        <v>G</v>
      </c>
    </row>
    <row r="7">
      <c r="A7" s="8" t="s">
        <v>308</v>
      </c>
      <c r="B7" s="9">
        <v>6227.0</v>
      </c>
      <c r="C7" s="9">
        <v>1390.9001124136823</v>
      </c>
      <c r="D7" s="10">
        <v>1390.0</v>
      </c>
      <c r="E7" s="9">
        <f t="shared" si="1"/>
        <v>-0.9001124137</v>
      </c>
      <c r="F7" s="9">
        <f t="shared" si="2"/>
        <v>0.9993528562</v>
      </c>
      <c r="G7" s="11">
        <f t="shared" si="3"/>
        <v>1390.900112</v>
      </c>
      <c r="H7" s="11">
        <f t="shared" si="4"/>
        <v>8661135</v>
      </c>
      <c r="I7" s="12" t="str">
        <f t="shared" si="5"/>
        <v>G</v>
      </c>
      <c r="J7" s="11">
        <f t="shared" si="6"/>
        <v>2350.62119</v>
      </c>
      <c r="K7" s="12" t="str">
        <f t="shared" si="7"/>
        <v>G</v>
      </c>
    </row>
    <row r="8">
      <c r="A8" s="8" t="s">
        <v>100</v>
      </c>
      <c r="B8" s="9">
        <v>547.0</v>
      </c>
      <c r="C8" s="9">
        <v>860.0</v>
      </c>
      <c r="D8" s="9">
        <v>860.0</v>
      </c>
      <c r="E8" s="9">
        <f t="shared" si="1"/>
        <v>0</v>
      </c>
      <c r="F8" s="9">
        <f t="shared" si="2"/>
        <v>1</v>
      </c>
      <c r="G8" s="11">
        <f t="shared" si="3"/>
        <v>860</v>
      </c>
      <c r="H8" s="11">
        <f t="shared" si="4"/>
        <v>470420</v>
      </c>
      <c r="I8" s="12" t="str">
        <f t="shared" si="5"/>
        <v>G</v>
      </c>
      <c r="J8" s="11">
        <f t="shared" si="6"/>
        <v>1453.4</v>
      </c>
      <c r="K8" s="12" t="str">
        <f t="shared" si="7"/>
        <v>G</v>
      </c>
    </row>
    <row r="9">
      <c r="A9" s="8" t="s">
        <v>313</v>
      </c>
      <c r="B9" s="9">
        <v>181.0</v>
      </c>
      <c r="C9" s="9">
        <v>3440.0</v>
      </c>
      <c r="D9" s="10">
        <v>3440.0</v>
      </c>
      <c r="E9" s="9">
        <f t="shared" si="1"/>
        <v>0</v>
      </c>
      <c r="F9" s="9">
        <f t="shared" si="2"/>
        <v>1</v>
      </c>
      <c r="G9" s="11">
        <f t="shared" si="3"/>
        <v>3440</v>
      </c>
      <c r="H9" s="11">
        <f t="shared" si="4"/>
        <v>622640</v>
      </c>
      <c r="I9" s="12" t="str">
        <f t="shared" si="5"/>
        <v>G</v>
      </c>
      <c r="J9" s="11">
        <f t="shared" si="6"/>
        <v>5813.6</v>
      </c>
      <c r="K9" s="12" t="str">
        <f t="shared" si="7"/>
        <v>F</v>
      </c>
    </row>
    <row r="10">
      <c r="A10" s="8" t="s">
        <v>326</v>
      </c>
      <c r="B10" s="9">
        <v>68.0</v>
      </c>
      <c r="C10" s="10">
        <v>7480.0</v>
      </c>
      <c r="D10" s="10">
        <v>7480.0</v>
      </c>
      <c r="E10" s="9">
        <f t="shared" si="1"/>
        <v>0</v>
      </c>
      <c r="F10" s="9">
        <f t="shared" si="2"/>
        <v>1</v>
      </c>
      <c r="G10" s="11">
        <f t="shared" si="3"/>
        <v>7480</v>
      </c>
      <c r="H10" s="11">
        <f t="shared" si="4"/>
        <v>508640</v>
      </c>
      <c r="I10" s="12" t="str">
        <f t="shared" si="5"/>
        <v>F</v>
      </c>
      <c r="J10" s="11">
        <f t="shared" si="6"/>
        <v>12641.2</v>
      </c>
      <c r="K10" s="12" t="str">
        <f t="shared" si="7"/>
        <v>E</v>
      </c>
    </row>
    <row r="11">
      <c r="A11" s="8" t="s">
        <v>98</v>
      </c>
      <c r="B11" s="9">
        <v>68.0</v>
      </c>
      <c r="C11" s="10">
        <v>6710.0</v>
      </c>
      <c r="D11" s="10">
        <v>6710.0</v>
      </c>
      <c r="E11" s="9">
        <f t="shared" si="1"/>
        <v>0</v>
      </c>
      <c r="F11" s="9">
        <f t="shared" si="2"/>
        <v>1</v>
      </c>
      <c r="G11" s="11">
        <f t="shared" si="3"/>
        <v>6710</v>
      </c>
      <c r="H11" s="11">
        <f t="shared" si="4"/>
        <v>456280</v>
      </c>
      <c r="I11" s="12" t="str">
        <f t="shared" si="5"/>
        <v>F</v>
      </c>
      <c r="J11" s="11">
        <f t="shared" si="6"/>
        <v>11339.9</v>
      </c>
      <c r="K11" s="12" t="str">
        <f t="shared" si="7"/>
        <v>F1</v>
      </c>
    </row>
    <row r="12">
      <c r="A12" s="8" t="s">
        <v>218</v>
      </c>
      <c r="B12" s="9">
        <v>3211.0</v>
      </c>
      <c r="C12" s="9">
        <v>5216.069760199315</v>
      </c>
      <c r="D12" s="10">
        <v>5200.0</v>
      </c>
      <c r="E12" s="9">
        <f t="shared" si="1"/>
        <v>-16.0697602</v>
      </c>
      <c r="F12" s="9">
        <f t="shared" si="2"/>
        <v>0.9969191823</v>
      </c>
      <c r="G12" s="11">
        <f t="shared" si="3"/>
        <v>5216.06976</v>
      </c>
      <c r="H12" s="11">
        <f t="shared" si="4"/>
        <v>16748800</v>
      </c>
      <c r="I12" s="12" t="str">
        <f t="shared" si="5"/>
        <v>F</v>
      </c>
      <c r="J12" s="11">
        <f t="shared" si="6"/>
        <v>8815.157895</v>
      </c>
      <c r="K12" s="12" t="str">
        <f t="shared" si="7"/>
        <v>F1</v>
      </c>
    </row>
    <row r="13">
      <c r="A13" s="8" t="s">
        <v>200</v>
      </c>
      <c r="B13" s="9">
        <v>227.0</v>
      </c>
      <c r="C13" s="9">
        <v>14007.665198237886</v>
      </c>
      <c r="D13" s="10">
        <v>14000.0</v>
      </c>
      <c r="E13" s="9">
        <f t="shared" si="1"/>
        <v>-7.665198238</v>
      </c>
      <c r="F13" s="9">
        <f t="shared" si="2"/>
        <v>0.9994527854</v>
      </c>
      <c r="G13" s="11">
        <f t="shared" si="3"/>
        <v>14007.6652</v>
      </c>
      <c r="H13" s="11">
        <f t="shared" si="4"/>
        <v>3179740</v>
      </c>
      <c r="I13" s="12" t="str">
        <f t="shared" si="5"/>
        <v>E</v>
      </c>
      <c r="J13" s="11">
        <f t="shared" si="6"/>
        <v>23672.95419</v>
      </c>
      <c r="K13" s="12" t="str">
        <f t="shared" si="7"/>
        <v>D</v>
      </c>
    </row>
    <row r="14">
      <c r="A14" s="8" t="s">
        <v>353</v>
      </c>
      <c r="B14" s="9">
        <v>12432.0</v>
      </c>
      <c r="C14" s="9">
        <v>1102.1846846846847</v>
      </c>
      <c r="D14" s="9">
        <v>1001.703468806627</v>
      </c>
      <c r="E14" s="9">
        <f t="shared" si="1"/>
        <v>-100.4812159</v>
      </c>
      <c r="F14" s="9">
        <f t="shared" si="2"/>
        <v>0.9088345018</v>
      </c>
      <c r="G14" s="11">
        <f t="shared" si="3"/>
        <v>1102.184685</v>
      </c>
      <c r="H14" s="11">
        <f t="shared" si="4"/>
        <v>13702360</v>
      </c>
      <c r="I14" s="12" t="str">
        <f t="shared" si="5"/>
        <v>G</v>
      </c>
      <c r="J14" s="11">
        <f t="shared" si="6"/>
        <v>1862.692117</v>
      </c>
      <c r="K14" s="12" t="str">
        <f t="shared" si="7"/>
        <v>G</v>
      </c>
    </row>
    <row r="15">
      <c r="A15" s="8" t="s">
        <v>302</v>
      </c>
      <c r="B15" s="9">
        <v>4892.0</v>
      </c>
      <c r="C15" s="9">
        <v>3061.2019623875717</v>
      </c>
      <c r="D15" s="9">
        <v>1129.359413202934</v>
      </c>
      <c r="E15" s="9">
        <f t="shared" si="1"/>
        <v>-1931.842549</v>
      </c>
      <c r="F15" s="9">
        <f t="shared" si="2"/>
        <v>0.3689267899</v>
      </c>
      <c r="G15" s="11">
        <f t="shared" si="3"/>
        <v>3061.201962</v>
      </c>
      <c r="H15" s="11">
        <f t="shared" si="4"/>
        <v>14975400</v>
      </c>
      <c r="I15" s="12" t="str">
        <f t="shared" si="5"/>
        <v>G</v>
      </c>
      <c r="J15" s="11">
        <f t="shared" si="6"/>
        <v>5173.431316</v>
      </c>
      <c r="K15" s="12" t="str">
        <f t="shared" si="7"/>
        <v>F</v>
      </c>
    </row>
    <row r="16">
      <c r="A16" s="8" t="s">
        <v>296</v>
      </c>
      <c r="B16" s="9">
        <v>4197.0</v>
      </c>
      <c r="C16" s="9">
        <v>5412.582797236121</v>
      </c>
      <c r="D16" s="9">
        <v>1287.7598926894707</v>
      </c>
      <c r="E16" s="9">
        <f t="shared" si="1"/>
        <v>-4124.822905</v>
      </c>
      <c r="F16" s="9">
        <f t="shared" si="2"/>
        <v>0.2379196663</v>
      </c>
      <c r="G16" s="11">
        <f t="shared" si="3"/>
        <v>5412.582797</v>
      </c>
      <c r="H16" s="11">
        <f t="shared" si="4"/>
        <v>22716610</v>
      </c>
      <c r="I16" s="12" t="str">
        <f t="shared" si="5"/>
        <v>F</v>
      </c>
      <c r="J16" s="11">
        <f t="shared" si="6"/>
        <v>9147.264927</v>
      </c>
      <c r="K16" s="12" t="str">
        <f t="shared" si="7"/>
        <v>F1</v>
      </c>
    </row>
    <row r="17">
      <c r="A17" s="8" t="s">
        <v>294</v>
      </c>
      <c r="B17" s="9">
        <v>62741.0</v>
      </c>
      <c r="C17" s="9">
        <v>1506.2777131381392</v>
      </c>
      <c r="D17" s="9">
        <v>1405.2115108417697</v>
      </c>
      <c r="E17" s="9">
        <f t="shared" si="1"/>
        <v>-101.0662023</v>
      </c>
      <c r="F17" s="9">
        <f t="shared" si="2"/>
        <v>0.9329033409</v>
      </c>
      <c r="G17" s="11">
        <f t="shared" si="3"/>
        <v>1506.277713</v>
      </c>
      <c r="H17" s="11">
        <f t="shared" si="4"/>
        <v>94505370</v>
      </c>
      <c r="I17" s="12" t="str">
        <f t="shared" si="5"/>
        <v>G</v>
      </c>
      <c r="J17" s="11">
        <f t="shared" si="6"/>
        <v>2545.609335</v>
      </c>
      <c r="K17" s="12" t="str">
        <f t="shared" si="7"/>
        <v>G</v>
      </c>
    </row>
    <row r="18">
      <c r="A18" s="8" t="s">
        <v>307</v>
      </c>
      <c r="B18" s="9">
        <v>70.0</v>
      </c>
      <c r="C18" s="10">
        <v>1470.0</v>
      </c>
      <c r="D18" s="10">
        <v>1470.0</v>
      </c>
      <c r="E18" s="9">
        <f t="shared" si="1"/>
        <v>0</v>
      </c>
      <c r="F18" s="9">
        <f t="shared" si="2"/>
        <v>1</v>
      </c>
      <c r="G18" s="11">
        <f t="shared" si="3"/>
        <v>1470</v>
      </c>
      <c r="H18" s="11">
        <f t="shared" si="4"/>
        <v>102900</v>
      </c>
      <c r="I18" s="12" t="str">
        <f t="shared" si="5"/>
        <v>G</v>
      </c>
      <c r="J18" s="11">
        <f t="shared" si="6"/>
        <v>2484.3</v>
      </c>
      <c r="K18" s="12" t="str">
        <f t="shared" si="7"/>
        <v>G</v>
      </c>
    </row>
    <row r="19">
      <c r="A19" s="8" t="s">
        <v>93</v>
      </c>
      <c r="B19" s="9">
        <v>142.0</v>
      </c>
      <c r="C19" s="10">
        <v>1600.0</v>
      </c>
      <c r="D19" s="9">
        <v>1600.0</v>
      </c>
      <c r="E19" s="9">
        <f t="shared" si="1"/>
        <v>0</v>
      </c>
      <c r="F19" s="9">
        <f t="shared" si="2"/>
        <v>1</v>
      </c>
      <c r="G19" s="11">
        <f t="shared" si="3"/>
        <v>1600</v>
      </c>
      <c r="H19" s="11">
        <f t="shared" si="4"/>
        <v>227200</v>
      </c>
      <c r="I19" s="12" t="str">
        <f t="shared" si="5"/>
        <v>G</v>
      </c>
      <c r="J19" s="11">
        <f t="shared" si="6"/>
        <v>2704</v>
      </c>
      <c r="K19" s="12" t="str">
        <f t="shared" si="7"/>
        <v>G</v>
      </c>
    </row>
    <row r="20">
      <c r="A20" s="8" t="s">
        <v>280</v>
      </c>
      <c r="B20" s="9">
        <v>674.0</v>
      </c>
      <c r="C20" s="9">
        <v>1231.454005934718</v>
      </c>
      <c r="D20" s="9">
        <v>1615.7801418439717</v>
      </c>
      <c r="E20" s="9">
        <f t="shared" si="1"/>
        <v>384.3261359</v>
      </c>
      <c r="F20" s="9">
        <f t="shared" si="2"/>
        <v>1.312091344</v>
      </c>
      <c r="G20" s="11">
        <f t="shared" si="3"/>
        <v>1615.780142</v>
      </c>
      <c r="H20" s="11">
        <f t="shared" si="4"/>
        <v>1089035.816</v>
      </c>
      <c r="I20" s="12" t="str">
        <f t="shared" si="5"/>
        <v>G</v>
      </c>
      <c r="J20" s="11">
        <f t="shared" si="6"/>
        <v>2730.66844</v>
      </c>
      <c r="K20" s="12" t="str">
        <f t="shared" si="7"/>
        <v>G</v>
      </c>
    </row>
    <row r="21">
      <c r="A21" s="8" t="s">
        <v>462</v>
      </c>
      <c r="B21" s="9">
        <v>971.0</v>
      </c>
      <c r="C21" s="10">
        <v>1617.0</v>
      </c>
      <c r="D21" s="9">
        <v>1617.5808457711444</v>
      </c>
      <c r="E21" s="9">
        <f t="shared" si="1"/>
        <v>0.5808457711</v>
      </c>
      <c r="F21" s="9">
        <f t="shared" si="2"/>
        <v>1.000359212</v>
      </c>
      <c r="G21" s="11">
        <f t="shared" si="3"/>
        <v>1617.580846</v>
      </c>
      <c r="H21" s="11">
        <f t="shared" si="4"/>
        <v>1570671.001</v>
      </c>
      <c r="I21" s="12" t="str">
        <f t="shared" si="5"/>
        <v>G</v>
      </c>
      <c r="J21" s="11">
        <f t="shared" si="6"/>
        <v>2733.711629</v>
      </c>
      <c r="K21" s="12" t="str">
        <f t="shared" si="7"/>
        <v>G</v>
      </c>
    </row>
    <row r="22">
      <c r="A22" s="8" t="s">
        <v>111</v>
      </c>
      <c r="B22" s="9">
        <v>816.0</v>
      </c>
      <c r="C22" s="9">
        <v>16446.07843137255</v>
      </c>
      <c r="D22" s="9">
        <v>1711.4552893045002</v>
      </c>
      <c r="E22" s="9">
        <f t="shared" si="1"/>
        <v>-14734.62314</v>
      </c>
      <c r="F22" s="9">
        <f t="shared" si="2"/>
        <v>0.1040646435</v>
      </c>
      <c r="G22" s="11">
        <f t="shared" si="3"/>
        <v>16446.07843</v>
      </c>
      <c r="H22" s="11">
        <f t="shared" si="4"/>
        <v>13420000</v>
      </c>
      <c r="I22" s="12" t="str">
        <f t="shared" si="5"/>
        <v>E1</v>
      </c>
      <c r="J22" s="11">
        <f t="shared" si="6"/>
        <v>27793.87255</v>
      </c>
      <c r="K22" s="12" t="str">
        <f t="shared" si="7"/>
        <v>D1</v>
      </c>
    </row>
    <row r="23">
      <c r="A23" s="8" t="s">
        <v>349</v>
      </c>
      <c r="B23" s="9">
        <v>1447.0</v>
      </c>
      <c r="C23" s="9">
        <v>1148.7643400138218</v>
      </c>
      <c r="D23" s="9">
        <v>1739.633437639696</v>
      </c>
      <c r="E23" s="9">
        <f t="shared" si="1"/>
        <v>590.8690976</v>
      </c>
      <c r="F23" s="9">
        <f t="shared" si="2"/>
        <v>1.51435188</v>
      </c>
      <c r="G23" s="11">
        <f t="shared" si="3"/>
        <v>1739.633438</v>
      </c>
      <c r="H23" s="11">
        <f t="shared" si="4"/>
        <v>2517249.584</v>
      </c>
      <c r="I23" s="12" t="str">
        <f t="shared" si="5"/>
        <v>G</v>
      </c>
      <c r="J23" s="11">
        <f t="shared" si="6"/>
        <v>2939.98051</v>
      </c>
      <c r="K23" s="12" t="str">
        <f t="shared" si="7"/>
        <v>G</v>
      </c>
    </row>
    <row r="24">
      <c r="A24" s="8" t="s">
        <v>47</v>
      </c>
      <c r="B24" s="9">
        <v>156.0</v>
      </c>
      <c r="C24" s="9">
        <v>14000.0</v>
      </c>
      <c r="D24" s="9">
        <v>1781.6593886462888</v>
      </c>
      <c r="E24" s="9">
        <f t="shared" si="1"/>
        <v>-12218.34061</v>
      </c>
      <c r="F24" s="9">
        <f t="shared" si="2"/>
        <v>0.1272613849</v>
      </c>
      <c r="G24" s="11">
        <f t="shared" si="3"/>
        <v>14000</v>
      </c>
      <c r="H24" s="11">
        <f t="shared" si="4"/>
        <v>2184000</v>
      </c>
      <c r="I24" s="12" t="str">
        <f t="shared" si="5"/>
        <v>E</v>
      </c>
      <c r="J24" s="11">
        <f t="shared" si="6"/>
        <v>23660</v>
      </c>
      <c r="K24" s="12" t="str">
        <f t="shared" si="7"/>
        <v>D</v>
      </c>
    </row>
    <row r="25">
      <c r="A25" s="8" t="s">
        <v>454</v>
      </c>
      <c r="B25" s="9">
        <v>227.0</v>
      </c>
      <c r="C25" s="9">
        <v>7190.660792951542</v>
      </c>
      <c r="D25" s="9">
        <v>1873.248407643312</v>
      </c>
      <c r="E25" s="9">
        <f t="shared" si="1"/>
        <v>-5317.412385</v>
      </c>
      <c r="F25" s="9">
        <f t="shared" si="2"/>
        <v>0.2605113023</v>
      </c>
      <c r="G25" s="11">
        <f t="shared" si="3"/>
        <v>7190.660793</v>
      </c>
      <c r="H25" s="11">
        <f t="shared" si="4"/>
        <v>1632280</v>
      </c>
      <c r="I25" s="12" t="str">
        <f t="shared" si="5"/>
        <v>F</v>
      </c>
      <c r="J25" s="11">
        <f t="shared" si="6"/>
        <v>12152.21674</v>
      </c>
      <c r="K25" s="12" t="str">
        <f t="shared" si="7"/>
        <v>E</v>
      </c>
    </row>
    <row r="26">
      <c r="A26" s="8" t="s">
        <v>251</v>
      </c>
      <c r="B26" s="9">
        <v>7168.0</v>
      </c>
      <c r="C26" s="9">
        <v>2515.7282366071427</v>
      </c>
      <c r="D26" s="9">
        <v>1902.9318541996831</v>
      </c>
      <c r="E26" s="9">
        <f t="shared" si="1"/>
        <v>-612.7963824</v>
      </c>
      <c r="F26" s="9">
        <f t="shared" si="2"/>
        <v>0.7564139188</v>
      </c>
      <c r="G26" s="11">
        <f t="shared" si="3"/>
        <v>2515.728237</v>
      </c>
      <c r="H26" s="11">
        <f t="shared" si="4"/>
        <v>18032740</v>
      </c>
      <c r="I26" s="12" t="str">
        <f t="shared" si="5"/>
        <v>G</v>
      </c>
      <c r="J26" s="11">
        <f t="shared" si="6"/>
        <v>4251.58072</v>
      </c>
      <c r="K26" s="12" t="str">
        <f t="shared" si="7"/>
        <v>G</v>
      </c>
    </row>
    <row r="27">
      <c r="A27" s="8" t="s">
        <v>195</v>
      </c>
      <c r="B27" s="9">
        <v>1140.0</v>
      </c>
      <c r="C27" s="10">
        <v>1995.0</v>
      </c>
      <c r="D27" s="9">
        <v>1995.6283422459894</v>
      </c>
      <c r="E27" s="9">
        <f t="shared" si="1"/>
        <v>0.628342246</v>
      </c>
      <c r="F27" s="9">
        <f t="shared" si="2"/>
        <v>1.000314959</v>
      </c>
      <c r="G27" s="11">
        <f t="shared" si="3"/>
        <v>1995.628342</v>
      </c>
      <c r="H27" s="11">
        <f t="shared" si="4"/>
        <v>2275016.31</v>
      </c>
      <c r="I27" s="12" t="str">
        <f t="shared" si="5"/>
        <v>G</v>
      </c>
      <c r="J27" s="11">
        <f t="shared" si="6"/>
        <v>3372.611898</v>
      </c>
      <c r="K27" s="12" t="str">
        <f t="shared" si="7"/>
        <v>G</v>
      </c>
    </row>
    <row r="28">
      <c r="A28" s="8" t="s">
        <v>421</v>
      </c>
      <c r="B28" s="9">
        <v>275.0</v>
      </c>
      <c r="C28" s="10">
        <v>2060.0</v>
      </c>
      <c r="D28" s="10">
        <v>2060.0</v>
      </c>
      <c r="E28" s="9">
        <f t="shared" si="1"/>
        <v>0</v>
      </c>
      <c r="F28" s="9">
        <f t="shared" si="2"/>
        <v>1</v>
      </c>
      <c r="G28" s="11">
        <f t="shared" si="3"/>
        <v>2060</v>
      </c>
      <c r="H28" s="11">
        <f t="shared" si="4"/>
        <v>566500</v>
      </c>
      <c r="I28" s="12" t="str">
        <f t="shared" si="5"/>
        <v>G</v>
      </c>
      <c r="J28" s="11">
        <f t="shared" si="6"/>
        <v>3481.4</v>
      </c>
      <c r="K28" s="12" t="str">
        <f t="shared" si="7"/>
        <v>G</v>
      </c>
    </row>
    <row r="29">
      <c r="A29" s="8" t="s">
        <v>209</v>
      </c>
      <c r="B29" s="9">
        <v>194.0</v>
      </c>
      <c r="C29" s="9">
        <v>4548.2474226804125</v>
      </c>
      <c r="D29" s="9">
        <v>2107.9462102689486</v>
      </c>
      <c r="E29" s="9">
        <f t="shared" si="1"/>
        <v>-2440.301212</v>
      </c>
      <c r="F29" s="9">
        <f t="shared" si="2"/>
        <v>0.4634633991</v>
      </c>
      <c r="G29" s="11">
        <f t="shared" si="3"/>
        <v>4548.247423</v>
      </c>
      <c r="H29" s="11">
        <f t="shared" si="4"/>
        <v>882360</v>
      </c>
      <c r="I29" s="12" t="str">
        <f t="shared" si="5"/>
        <v>G</v>
      </c>
      <c r="J29" s="11">
        <f t="shared" si="6"/>
        <v>7686.538144</v>
      </c>
      <c r="K29" s="12" t="str">
        <f t="shared" si="7"/>
        <v>F</v>
      </c>
    </row>
    <row r="30">
      <c r="A30" s="8" t="s">
        <v>457</v>
      </c>
      <c r="B30" s="9">
        <v>93.0</v>
      </c>
      <c r="C30" s="9">
        <v>2150.0</v>
      </c>
      <c r="D30" s="9">
        <v>2150.0</v>
      </c>
      <c r="E30" s="9">
        <f t="shared" si="1"/>
        <v>0</v>
      </c>
      <c r="F30" s="9">
        <f t="shared" si="2"/>
        <v>1</v>
      </c>
      <c r="G30" s="11">
        <f t="shared" si="3"/>
        <v>2150</v>
      </c>
      <c r="H30" s="11">
        <f t="shared" si="4"/>
        <v>199950</v>
      </c>
      <c r="I30" s="12" t="str">
        <f t="shared" si="5"/>
        <v>G</v>
      </c>
      <c r="J30" s="11">
        <f t="shared" si="6"/>
        <v>3633.5</v>
      </c>
      <c r="K30" s="12" t="str">
        <f t="shared" si="7"/>
        <v>G</v>
      </c>
    </row>
    <row r="31">
      <c r="A31" s="8" t="s">
        <v>420</v>
      </c>
      <c r="B31" s="9">
        <v>9670.0</v>
      </c>
      <c r="C31" s="9">
        <v>3686.5747673216133</v>
      </c>
      <c r="D31" s="9">
        <v>2157.4475225225224</v>
      </c>
      <c r="E31" s="9">
        <f t="shared" si="1"/>
        <v>-1529.127245</v>
      </c>
      <c r="F31" s="9">
        <f t="shared" si="2"/>
        <v>0.5852173518</v>
      </c>
      <c r="G31" s="11">
        <f t="shared" si="3"/>
        <v>3686.574767</v>
      </c>
      <c r="H31" s="11">
        <f t="shared" si="4"/>
        <v>35649178</v>
      </c>
      <c r="I31" s="12" t="str">
        <f t="shared" si="5"/>
        <v>G</v>
      </c>
      <c r="J31" s="11">
        <f t="shared" si="6"/>
        <v>6230.311357</v>
      </c>
      <c r="K31" s="12" t="str">
        <f t="shared" si="7"/>
        <v>F</v>
      </c>
    </row>
    <row r="32">
      <c r="A32" s="8" t="s">
        <v>436</v>
      </c>
      <c r="B32" s="9">
        <v>3114.0</v>
      </c>
      <c r="C32" s="9">
        <v>3579.0526653821453</v>
      </c>
      <c r="D32" s="9">
        <v>2211.206896551724</v>
      </c>
      <c r="E32" s="9">
        <f t="shared" si="1"/>
        <v>-1367.845769</v>
      </c>
      <c r="F32" s="9">
        <f t="shared" si="2"/>
        <v>0.6178190441</v>
      </c>
      <c r="G32" s="11">
        <f t="shared" si="3"/>
        <v>3579.052665</v>
      </c>
      <c r="H32" s="11">
        <f t="shared" si="4"/>
        <v>11145170</v>
      </c>
      <c r="I32" s="12" t="str">
        <f t="shared" si="5"/>
        <v>G</v>
      </c>
      <c r="J32" s="11">
        <f t="shared" si="6"/>
        <v>6048.599004</v>
      </c>
      <c r="K32" s="12" t="str">
        <f t="shared" si="7"/>
        <v>F</v>
      </c>
    </row>
    <row r="33">
      <c r="A33" s="8" t="s">
        <v>254</v>
      </c>
      <c r="B33" s="9">
        <v>639.0</v>
      </c>
      <c r="C33" s="10">
        <v>2350.0</v>
      </c>
      <c r="D33" s="10">
        <v>2350.0</v>
      </c>
      <c r="E33" s="9">
        <f t="shared" si="1"/>
        <v>0</v>
      </c>
      <c r="F33" s="9">
        <f t="shared" si="2"/>
        <v>1</v>
      </c>
      <c r="G33" s="11">
        <f t="shared" si="3"/>
        <v>2350</v>
      </c>
      <c r="H33" s="11">
        <f t="shared" si="4"/>
        <v>1501650</v>
      </c>
      <c r="I33" s="12" t="str">
        <f t="shared" si="5"/>
        <v>G</v>
      </c>
      <c r="J33" s="11">
        <f t="shared" si="6"/>
        <v>3971.5</v>
      </c>
      <c r="K33" s="12" t="str">
        <f t="shared" si="7"/>
        <v>G</v>
      </c>
    </row>
    <row r="34">
      <c r="A34" s="8" t="s">
        <v>329</v>
      </c>
      <c r="B34" s="9">
        <v>2111.0</v>
      </c>
      <c r="C34" s="9">
        <v>2749.372335386073</v>
      </c>
      <c r="D34" s="9">
        <v>2386.198888447797</v>
      </c>
      <c r="E34" s="9">
        <f t="shared" si="1"/>
        <v>-363.1734469</v>
      </c>
      <c r="F34" s="9">
        <f t="shared" si="2"/>
        <v>0.8679067792</v>
      </c>
      <c r="G34" s="11">
        <f t="shared" si="3"/>
        <v>2749.372335</v>
      </c>
      <c r="H34" s="11">
        <f t="shared" si="4"/>
        <v>5803925</v>
      </c>
      <c r="I34" s="12" t="str">
        <f t="shared" si="5"/>
        <v>G</v>
      </c>
      <c r="J34" s="11">
        <f t="shared" si="6"/>
        <v>4646.439247</v>
      </c>
      <c r="K34" s="12" t="str">
        <f t="shared" si="7"/>
        <v>G</v>
      </c>
    </row>
    <row r="35">
      <c r="A35" s="8" t="s">
        <v>273</v>
      </c>
      <c r="B35" s="9">
        <v>581.0</v>
      </c>
      <c r="C35" s="9">
        <v>1335.8864027538727</v>
      </c>
      <c r="D35" s="9">
        <v>2387.9333333333334</v>
      </c>
      <c r="E35" s="9">
        <f t="shared" si="1"/>
        <v>1052.046931</v>
      </c>
      <c r="F35" s="9">
        <f t="shared" si="2"/>
        <v>1.787527239</v>
      </c>
      <c r="G35" s="11">
        <f t="shared" si="3"/>
        <v>2387.933333</v>
      </c>
      <c r="H35" s="11">
        <f t="shared" si="4"/>
        <v>1387389.267</v>
      </c>
      <c r="I35" s="12" t="str">
        <f t="shared" si="5"/>
        <v>G</v>
      </c>
      <c r="J35" s="11">
        <f t="shared" si="6"/>
        <v>4035.607333</v>
      </c>
      <c r="K35" s="12" t="str">
        <f t="shared" si="7"/>
        <v>G</v>
      </c>
    </row>
    <row r="36">
      <c r="A36" s="8" t="s">
        <v>299</v>
      </c>
      <c r="B36" s="9">
        <v>966.0</v>
      </c>
      <c r="C36" s="10">
        <v>2400.0</v>
      </c>
      <c r="D36" s="9">
        <v>2400.0</v>
      </c>
      <c r="E36" s="9">
        <f t="shared" si="1"/>
        <v>0</v>
      </c>
      <c r="F36" s="9">
        <f t="shared" si="2"/>
        <v>1</v>
      </c>
      <c r="G36" s="11">
        <f t="shared" si="3"/>
        <v>2400</v>
      </c>
      <c r="H36" s="11">
        <f t="shared" si="4"/>
        <v>2318400</v>
      </c>
      <c r="I36" s="12" t="str">
        <f t="shared" si="5"/>
        <v>G</v>
      </c>
      <c r="J36" s="11">
        <f t="shared" si="6"/>
        <v>4056</v>
      </c>
      <c r="K36" s="12" t="str">
        <f t="shared" si="7"/>
        <v>G</v>
      </c>
    </row>
    <row r="37">
      <c r="A37" s="8" t="s">
        <v>298</v>
      </c>
      <c r="B37" s="9">
        <v>6140.0</v>
      </c>
      <c r="C37" s="9">
        <v>2295.3421824104234</v>
      </c>
      <c r="D37" s="9">
        <v>2600.2938624826947</v>
      </c>
      <c r="E37" s="9">
        <f t="shared" si="1"/>
        <v>304.9516801</v>
      </c>
      <c r="F37" s="9">
        <f t="shared" si="2"/>
        <v>1.13285674</v>
      </c>
      <c r="G37" s="11">
        <f t="shared" si="3"/>
        <v>2600.293862</v>
      </c>
      <c r="H37" s="11">
        <f t="shared" si="4"/>
        <v>15965804.32</v>
      </c>
      <c r="I37" s="12" t="str">
        <f t="shared" si="5"/>
        <v>G</v>
      </c>
      <c r="J37" s="11">
        <f t="shared" si="6"/>
        <v>4394.496628</v>
      </c>
      <c r="K37" s="12" t="str">
        <f t="shared" si="7"/>
        <v>G</v>
      </c>
    </row>
    <row r="38">
      <c r="A38" s="8" t="s">
        <v>175</v>
      </c>
      <c r="B38" s="9">
        <v>692.0</v>
      </c>
      <c r="C38" s="9">
        <v>10750.0</v>
      </c>
      <c r="D38" s="9">
        <v>2601.255707762557</v>
      </c>
      <c r="E38" s="9">
        <f t="shared" si="1"/>
        <v>-8148.744292</v>
      </c>
      <c r="F38" s="9">
        <f t="shared" si="2"/>
        <v>0.2419772751</v>
      </c>
      <c r="G38" s="11">
        <f t="shared" si="3"/>
        <v>10750</v>
      </c>
      <c r="H38" s="11">
        <f t="shared" si="4"/>
        <v>7439000</v>
      </c>
      <c r="I38" s="12" t="str">
        <f t="shared" si="5"/>
        <v>F1</v>
      </c>
      <c r="J38" s="11">
        <f t="shared" si="6"/>
        <v>18167.5</v>
      </c>
      <c r="K38" s="12" t="str">
        <f t="shared" si="7"/>
        <v>E1</v>
      </c>
    </row>
    <row r="39">
      <c r="A39" s="8" t="s">
        <v>424</v>
      </c>
      <c r="B39" s="9">
        <v>268.0</v>
      </c>
      <c r="C39" s="10">
        <v>2790.0</v>
      </c>
      <c r="D39" s="10">
        <v>2790.0</v>
      </c>
      <c r="E39" s="9">
        <f t="shared" si="1"/>
        <v>0</v>
      </c>
      <c r="F39" s="9">
        <f t="shared" si="2"/>
        <v>1</v>
      </c>
      <c r="G39" s="11">
        <f t="shared" si="3"/>
        <v>2790</v>
      </c>
      <c r="H39" s="11">
        <f t="shared" si="4"/>
        <v>747720</v>
      </c>
      <c r="I39" s="12" t="str">
        <f t="shared" si="5"/>
        <v>G</v>
      </c>
      <c r="J39" s="11">
        <f t="shared" si="6"/>
        <v>4715.1</v>
      </c>
      <c r="K39" s="12" t="str">
        <f t="shared" si="7"/>
        <v>G</v>
      </c>
    </row>
    <row r="40">
      <c r="A40" s="8" t="s">
        <v>257</v>
      </c>
      <c r="B40" s="9">
        <v>3903.0</v>
      </c>
      <c r="C40" s="9">
        <v>6646.169613118114</v>
      </c>
      <c r="D40" s="9">
        <v>2936.4634146341464</v>
      </c>
      <c r="E40" s="9">
        <f t="shared" si="1"/>
        <v>-3709.706198</v>
      </c>
      <c r="F40" s="9">
        <f t="shared" si="2"/>
        <v>0.4418279378</v>
      </c>
      <c r="G40" s="11">
        <f t="shared" si="3"/>
        <v>6646.169613</v>
      </c>
      <c r="H40" s="11">
        <f t="shared" si="4"/>
        <v>25940000</v>
      </c>
      <c r="I40" s="12" t="str">
        <f t="shared" si="5"/>
        <v>F</v>
      </c>
      <c r="J40" s="11">
        <f t="shared" si="6"/>
        <v>11232.02665</v>
      </c>
      <c r="K40" s="12" t="str">
        <f t="shared" si="7"/>
        <v>F1</v>
      </c>
    </row>
    <row r="41">
      <c r="A41" s="8" t="s">
        <v>198</v>
      </c>
      <c r="B41" s="9">
        <v>225.0</v>
      </c>
      <c r="C41" s="9">
        <v>10396.444444444445</v>
      </c>
      <c r="D41" s="9">
        <v>2950.2246181491464</v>
      </c>
      <c r="E41" s="9">
        <f t="shared" si="1"/>
        <v>-7446.219826</v>
      </c>
      <c r="F41" s="9">
        <f t="shared" si="2"/>
        <v>0.2837724603</v>
      </c>
      <c r="G41" s="11">
        <f t="shared" si="3"/>
        <v>10396.44444</v>
      </c>
      <c r="H41" s="11">
        <f t="shared" si="4"/>
        <v>2339200</v>
      </c>
      <c r="I41" s="12" t="str">
        <f t="shared" si="5"/>
        <v>F1</v>
      </c>
      <c r="J41" s="11">
        <f t="shared" si="6"/>
        <v>17569.99111</v>
      </c>
      <c r="K41" s="12" t="str">
        <f t="shared" si="7"/>
        <v>E1</v>
      </c>
    </row>
    <row r="42">
      <c r="A42" s="8" t="s">
        <v>281</v>
      </c>
      <c r="B42" s="9">
        <v>3939.0</v>
      </c>
      <c r="C42" s="9">
        <v>1577.976643818228</v>
      </c>
      <c r="D42" s="9">
        <v>2951.295620437956</v>
      </c>
      <c r="E42" s="9">
        <f t="shared" si="1"/>
        <v>1373.318977</v>
      </c>
      <c r="F42" s="9">
        <f t="shared" si="2"/>
        <v>1.870303741</v>
      </c>
      <c r="G42" s="11">
        <f t="shared" si="3"/>
        <v>2951.29562</v>
      </c>
      <c r="H42" s="11">
        <f t="shared" si="4"/>
        <v>11625153.45</v>
      </c>
      <c r="I42" s="12" t="str">
        <f t="shared" si="5"/>
        <v>G</v>
      </c>
      <c r="J42" s="11">
        <f t="shared" si="6"/>
        <v>4987.689599</v>
      </c>
      <c r="K42" s="12" t="str">
        <f t="shared" si="7"/>
        <v>G</v>
      </c>
    </row>
    <row r="43">
      <c r="A43" s="8" t="s">
        <v>243</v>
      </c>
      <c r="B43" s="9">
        <v>92052.0</v>
      </c>
      <c r="C43" s="9">
        <v>3955.109340372833</v>
      </c>
      <c r="D43" s="9">
        <v>3008.270702804177</v>
      </c>
      <c r="E43" s="9">
        <f t="shared" si="1"/>
        <v>-946.8386376</v>
      </c>
      <c r="F43" s="9">
        <f t="shared" si="2"/>
        <v>0.7606036759</v>
      </c>
      <c r="G43" s="11">
        <f t="shared" si="3"/>
        <v>3955.10934</v>
      </c>
      <c r="H43" s="11">
        <f t="shared" si="4"/>
        <v>364075725</v>
      </c>
      <c r="I43" s="12" t="str">
        <f t="shared" si="5"/>
        <v>G</v>
      </c>
      <c r="J43" s="11">
        <f t="shared" si="6"/>
        <v>6684.134785</v>
      </c>
      <c r="K43" s="12" t="str">
        <f t="shared" si="7"/>
        <v>F</v>
      </c>
    </row>
    <row r="44">
      <c r="A44" s="8" t="s">
        <v>433</v>
      </c>
      <c r="B44" s="9">
        <v>4145.0</v>
      </c>
      <c r="C44" s="9">
        <v>4781.869722557298</v>
      </c>
      <c r="D44" s="9">
        <v>3022.817807514153</v>
      </c>
      <c r="E44" s="9">
        <f t="shared" si="1"/>
        <v>-1759.051915</v>
      </c>
      <c r="F44" s="9">
        <f t="shared" si="2"/>
        <v>0.6321413972</v>
      </c>
      <c r="G44" s="11">
        <f t="shared" si="3"/>
        <v>4781.869723</v>
      </c>
      <c r="H44" s="11">
        <f t="shared" si="4"/>
        <v>19820850</v>
      </c>
      <c r="I44" s="12" t="str">
        <f t="shared" si="5"/>
        <v>G</v>
      </c>
      <c r="J44" s="11">
        <f t="shared" si="6"/>
        <v>8081.359831</v>
      </c>
      <c r="K44" s="12" t="str">
        <f t="shared" si="7"/>
        <v>F1</v>
      </c>
    </row>
    <row r="45">
      <c r="A45" s="8" t="s">
        <v>371</v>
      </c>
      <c r="B45" s="9">
        <v>5017.0</v>
      </c>
      <c r="C45" s="9">
        <v>5232.10763404425</v>
      </c>
      <c r="D45" s="9">
        <v>3066.315437643618</v>
      </c>
      <c r="E45" s="9">
        <f t="shared" si="1"/>
        <v>-2165.792196</v>
      </c>
      <c r="F45" s="9">
        <f t="shared" si="2"/>
        <v>0.5860574079</v>
      </c>
      <c r="G45" s="11">
        <f t="shared" si="3"/>
        <v>5232.107634</v>
      </c>
      <c r="H45" s="11">
        <f t="shared" si="4"/>
        <v>26249484</v>
      </c>
      <c r="I45" s="12" t="str">
        <f t="shared" si="5"/>
        <v>F</v>
      </c>
      <c r="J45" s="11">
        <f t="shared" si="6"/>
        <v>8842.261902</v>
      </c>
      <c r="K45" s="12" t="str">
        <f t="shared" si="7"/>
        <v>F1</v>
      </c>
    </row>
    <row r="46">
      <c r="A46" s="8" t="s">
        <v>346</v>
      </c>
      <c r="B46" s="9">
        <v>439.0</v>
      </c>
      <c r="C46" s="9">
        <v>7535.535307517084</v>
      </c>
      <c r="D46" s="9">
        <v>3082.4324324324325</v>
      </c>
      <c r="E46" s="9">
        <f t="shared" si="1"/>
        <v>-4453.102875</v>
      </c>
      <c r="F46" s="9">
        <f t="shared" si="2"/>
        <v>0.4090528817</v>
      </c>
      <c r="G46" s="11">
        <f t="shared" si="3"/>
        <v>7535.535308</v>
      </c>
      <c r="H46" s="11">
        <f t="shared" si="4"/>
        <v>3308100</v>
      </c>
      <c r="I46" s="12" t="str">
        <f t="shared" si="5"/>
        <v>F</v>
      </c>
      <c r="J46" s="11">
        <f t="shared" si="6"/>
        <v>12735.05467</v>
      </c>
      <c r="K46" s="12" t="str">
        <f t="shared" si="7"/>
        <v>E</v>
      </c>
    </row>
    <row r="47">
      <c r="A47" s="8" t="s">
        <v>103</v>
      </c>
      <c r="B47" s="9">
        <v>2152.0</v>
      </c>
      <c r="C47" s="9">
        <v>13698.341078066915</v>
      </c>
      <c r="D47" s="9">
        <v>3115.4001260239456</v>
      </c>
      <c r="E47" s="9">
        <f t="shared" si="1"/>
        <v>-10582.94095</v>
      </c>
      <c r="F47" s="9">
        <f t="shared" si="2"/>
        <v>0.2274290082</v>
      </c>
      <c r="G47" s="11">
        <f t="shared" si="3"/>
        <v>13698.34108</v>
      </c>
      <c r="H47" s="11">
        <f t="shared" si="4"/>
        <v>29478830</v>
      </c>
      <c r="I47" s="12" t="str">
        <f t="shared" si="5"/>
        <v>E</v>
      </c>
      <c r="J47" s="11">
        <f t="shared" si="6"/>
        <v>23150.19642</v>
      </c>
      <c r="K47" s="12" t="str">
        <f t="shared" si="7"/>
        <v>D</v>
      </c>
    </row>
    <row r="48">
      <c r="A48" s="8" t="s">
        <v>55</v>
      </c>
      <c r="B48" s="9">
        <v>390.0</v>
      </c>
      <c r="C48" s="9">
        <v>15102.564102564103</v>
      </c>
      <c r="D48" s="9">
        <v>3168.1537405628005</v>
      </c>
      <c r="E48" s="9">
        <f t="shared" si="1"/>
        <v>-11934.41036</v>
      </c>
      <c r="F48" s="9">
        <f t="shared" si="2"/>
        <v>0.2097758843</v>
      </c>
      <c r="G48" s="11">
        <f t="shared" si="3"/>
        <v>15102.5641</v>
      </c>
      <c r="H48" s="11">
        <f t="shared" si="4"/>
        <v>5890000</v>
      </c>
      <c r="I48" s="13" t="str">
        <f t="shared" si="5"/>
        <v>E</v>
      </c>
      <c r="J48" s="11">
        <f t="shared" si="6"/>
        <v>25523.33333</v>
      </c>
      <c r="K48" s="13" t="str">
        <f t="shared" si="7"/>
        <v>D1</v>
      </c>
    </row>
    <row r="49">
      <c r="A49" s="8" t="s">
        <v>423</v>
      </c>
      <c r="B49" s="9">
        <v>625.0</v>
      </c>
      <c r="C49" s="9">
        <v>1505.0</v>
      </c>
      <c r="D49" s="9">
        <v>3196.4993564993565</v>
      </c>
      <c r="E49" s="9">
        <f t="shared" si="1"/>
        <v>1691.499356</v>
      </c>
      <c r="F49" s="9">
        <f t="shared" si="2"/>
        <v>2.123919838</v>
      </c>
      <c r="G49" s="11">
        <f t="shared" si="3"/>
        <v>3196.499356</v>
      </c>
      <c r="H49" s="11">
        <f t="shared" si="4"/>
        <v>1997812.098</v>
      </c>
      <c r="I49" s="12" t="str">
        <f t="shared" si="5"/>
        <v>G</v>
      </c>
      <c r="J49" s="11">
        <f t="shared" si="6"/>
        <v>5402.083912</v>
      </c>
      <c r="K49" s="12" t="str">
        <f t="shared" si="7"/>
        <v>F</v>
      </c>
    </row>
    <row r="50">
      <c r="A50" s="8" t="s">
        <v>441</v>
      </c>
      <c r="B50" s="9">
        <v>16173.0</v>
      </c>
      <c r="C50" s="9">
        <v>2607.8037469857168</v>
      </c>
      <c r="D50" s="9">
        <v>3219.388197627883</v>
      </c>
      <c r="E50" s="9">
        <f t="shared" si="1"/>
        <v>611.5844506</v>
      </c>
      <c r="F50" s="9">
        <f t="shared" si="2"/>
        <v>1.234520888</v>
      </c>
      <c r="G50" s="11">
        <f t="shared" si="3"/>
        <v>3219.388198</v>
      </c>
      <c r="H50" s="11">
        <f t="shared" si="4"/>
        <v>52067165.32</v>
      </c>
      <c r="I50" s="12" t="str">
        <f t="shared" si="5"/>
        <v>G</v>
      </c>
      <c r="J50" s="11">
        <f t="shared" si="6"/>
        <v>5440.766054</v>
      </c>
      <c r="K50" s="12" t="str">
        <f t="shared" si="7"/>
        <v>F</v>
      </c>
    </row>
    <row r="51">
      <c r="A51" s="8" t="s">
        <v>460</v>
      </c>
      <c r="B51" s="9">
        <v>1888.0</v>
      </c>
      <c r="C51" s="9">
        <v>5146.7902542372885</v>
      </c>
      <c r="D51" s="9">
        <v>3252.5017667844522</v>
      </c>
      <c r="E51" s="9">
        <f t="shared" si="1"/>
        <v>-1894.288487</v>
      </c>
      <c r="F51" s="9">
        <f t="shared" si="2"/>
        <v>0.6319476035</v>
      </c>
      <c r="G51" s="11">
        <f t="shared" si="3"/>
        <v>5146.790254</v>
      </c>
      <c r="H51" s="11">
        <f t="shared" si="4"/>
        <v>9717140</v>
      </c>
      <c r="I51" s="12" t="str">
        <f t="shared" si="5"/>
        <v>F</v>
      </c>
      <c r="J51" s="11">
        <f t="shared" si="6"/>
        <v>8698.07553</v>
      </c>
      <c r="K51" s="12" t="str">
        <f t="shared" si="7"/>
        <v>F1</v>
      </c>
    </row>
    <row r="52">
      <c r="A52" s="8" t="s">
        <v>122</v>
      </c>
      <c r="B52" s="9">
        <v>4820.0</v>
      </c>
      <c r="C52" s="9">
        <v>5728.630705394191</v>
      </c>
      <c r="D52" s="9">
        <v>3392.8051001821495</v>
      </c>
      <c r="E52" s="9">
        <f t="shared" si="1"/>
        <v>-2335.825605</v>
      </c>
      <c r="F52" s="9">
        <f t="shared" si="2"/>
        <v>0.5922541135</v>
      </c>
      <c r="G52" s="11">
        <f t="shared" si="3"/>
        <v>5728.630705</v>
      </c>
      <c r="H52" s="11">
        <f t="shared" si="4"/>
        <v>27612000</v>
      </c>
      <c r="I52" s="12" t="str">
        <f t="shared" si="5"/>
        <v>F</v>
      </c>
      <c r="J52" s="11">
        <f t="shared" si="6"/>
        <v>9681.385892</v>
      </c>
      <c r="K52" s="12" t="str">
        <f t="shared" si="7"/>
        <v>F1</v>
      </c>
    </row>
    <row r="53">
      <c r="A53" s="8" t="s">
        <v>306</v>
      </c>
      <c r="B53" s="9">
        <v>1311.0</v>
      </c>
      <c r="C53" s="9">
        <v>3347.7040427154843</v>
      </c>
      <c r="D53" s="9">
        <v>3447.535079513564</v>
      </c>
      <c r="E53" s="9">
        <f t="shared" si="1"/>
        <v>99.8310368</v>
      </c>
      <c r="F53" s="9">
        <f t="shared" si="2"/>
        <v>1.029820747</v>
      </c>
      <c r="G53" s="11">
        <f t="shared" si="3"/>
        <v>3447.53508</v>
      </c>
      <c r="H53" s="11">
        <f t="shared" si="4"/>
        <v>4519718.489</v>
      </c>
      <c r="I53" s="12" t="str">
        <f t="shared" si="5"/>
        <v>G</v>
      </c>
      <c r="J53" s="11">
        <f t="shared" si="6"/>
        <v>5826.334284</v>
      </c>
      <c r="K53" s="12" t="str">
        <f t="shared" si="7"/>
        <v>F</v>
      </c>
    </row>
    <row r="54">
      <c r="A54" s="8" t="s">
        <v>274</v>
      </c>
      <c r="B54" s="9">
        <v>6530.0</v>
      </c>
      <c r="C54" s="9">
        <v>4744.333078101072</v>
      </c>
      <c r="D54" s="9">
        <v>3484.4283783783785</v>
      </c>
      <c r="E54" s="9">
        <f t="shared" si="1"/>
        <v>-1259.9047</v>
      </c>
      <c r="F54" s="9">
        <f t="shared" si="2"/>
        <v>0.7344400827</v>
      </c>
      <c r="G54" s="11">
        <f t="shared" si="3"/>
        <v>4744.333078</v>
      </c>
      <c r="H54" s="11">
        <f t="shared" si="4"/>
        <v>30980495</v>
      </c>
      <c r="I54" s="12" t="str">
        <f t="shared" si="5"/>
        <v>G</v>
      </c>
      <c r="J54" s="11">
        <f t="shared" si="6"/>
        <v>8017.922902</v>
      </c>
      <c r="K54" s="12" t="str">
        <f t="shared" si="7"/>
        <v>F1</v>
      </c>
    </row>
    <row r="55">
      <c r="A55" s="8" t="s">
        <v>221</v>
      </c>
      <c r="B55" s="9">
        <v>8220.0</v>
      </c>
      <c r="C55" s="9">
        <v>5690.508515815085</v>
      </c>
      <c r="D55" s="9">
        <v>3520.0886985006928</v>
      </c>
      <c r="E55" s="9">
        <f t="shared" si="1"/>
        <v>-2170.419817</v>
      </c>
      <c r="F55" s="9">
        <f t="shared" si="2"/>
        <v>0.6185894791</v>
      </c>
      <c r="G55" s="11">
        <f t="shared" si="3"/>
        <v>5690.508516</v>
      </c>
      <c r="H55" s="11">
        <f t="shared" si="4"/>
        <v>46775980</v>
      </c>
      <c r="I55" s="12" t="str">
        <f t="shared" si="5"/>
        <v>F</v>
      </c>
      <c r="J55" s="11">
        <f t="shared" si="6"/>
        <v>9616.959392</v>
      </c>
      <c r="K55" s="12" t="str">
        <f t="shared" si="7"/>
        <v>F1</v>
      </c>
    </row>
    <row r="56">
      <c r="A56" s="8" t="s">
        <v>186</v>
      </c>
      <c r="B56" s="9">
        <v>1100.0</v>
      </c>
      <c r="C56" s="9">
        <v>2008.4</v>
      </c>
      <c r="D56" s="9">
        <v>3534.8837209302324</v>
      </c>
      <c r="E56" s="9">
        <f t="shared" si="1"/>
        <v>1526.483721</v>
      </c>
      <c r="F56" s="9">
        <f t="shared" si="2"/>
        <v>1.760049652</v>
      </c>
      <c r="G56" s="11">
        <f t="shared" si="3"/>
        <v>3534.883721</v>
      </c>
      <c r="H56" s="11">
        <f t="shared" si="4"/>
        <v>3888372.093</v>
      </c>
      <c r="I56" s="12" t="str">
        <f t="shared" si="5"/>
        <v>G</v>
      </c>
      <c r="J56" s="11">
        <f t="shared" si="6"/>
        <v>5973.953488</v>
      </c>
      <c r="K56" s="12" t="str">
        <f t="shared" si="7"/>
        <v>F</v>
      </c>
    </row>
    <row r="57">
      <c r="A57" s="8" t="s">
        <v>419</v>
      </c>
      <c r="B57" s="9">
        <v>105451.0</v>
      </c>
      <c r="C57" s="9">
        <v>3541.3694322481533</v>
      </c>
      <c r="D57" s="9">
        <v>3611.950058515847</v>
      </c>
      <c r="E57" s="9">
        <f t="shared" si="1"/>
        <v>70.58062627</v>
      </c>
      <c r="F57" s="9">
        <f t="shared" si="2"/>
        <v>1.01993032</v>
      </c>
      <c r="G57" s="11">
        <f t="shared" si="3"/>
        <v>3611.950059</v>
      </c>
      <c r="H57" s="11">
        <f t="shared" si="4"/>
        <v>380883745.6</v>
      </c>
      <c r="I57" s="12" t="str">
        <f t="shared" si="5"/>
        <v>G</v>
      </c>
      <c r="J57" s="11">
        <f t="shared" si="6"/>
        <v>6104.195599</v>
      </c>
      <c r="K57" s="12" t="str">
        <f t="shared" si="7"/>
        <v>F</v>
      </c>
    </row>
    <row r="58">
      <c r="A58" s="8" t="s">
        <v>206</v>
      </c>
      <c r="B58" s="9">
        <v>762.0</v>
      </c>
      <c r="C58" s="9">
        <v>21397.17847769029</v>
      </c>
      <c r="D58" s="9">
        <v>3621.244309559941</v>
      </c>
      <c r="E58" s="9">
        <f t="shared" si="1"/>
        <v>-17775.93417</v>
      </c>
      <c r="F58" s="9">
        <f t="shared" si="2"/>
        <v>0.1692393375</v>
      </c>
      <c r="G58" s="11">
        <f t="shared" si="3"/>
        <v>21397.17848</v>
      </c>
      <c r="H58" s="11">
        <f t="shared" si="4"/>
        <v>16304650</v>
      </c>
      <c r="I58" s="12" t="str">
        <f t="shared" si="5"/>
        <v>D</v>
      </c>
      <c r="J58" s="11">
        <f t="shared" si="6"/>
        <v>36161.23163</v>
      </c>
      <c r="K58" s="12" t="str">
        <f t="shared" si="7"/>
        <v>C1</v>
      </c>
    </row>
    <row r="59">
      <c r="A59" s="8" t="s">
        <v>304</v>
      </c>
      <c r="B59" s="9">
        <v>12418.0</v>
      </c>
      <c r="C59" s="9">
        <v>1273.5951038814624</v>
      </c>
      <c r="D59" s="9">
        <v>3623.5059139129376</v>
      </c>
      <c r="E59" s="9">
        <f t="shared" si="1"/>
        <v>2349.91081</v>
      </c>
      <c r="F59" s="9">
        <f t="shared" si="2"/>
        <v>2.84510038</v>
      </c>
      <c r="G59" s="11">
        <f t="shared" si="3"/>
        <v>3623.505914</v>
      </c>
      <c r="H59" s="11">
        <f t="shared" si="4"/>
        <v>44996696.44</v>
      </c>
      <c r="I59" s="12" t="str">
        <f t="shared" si="5"/>
        <v>G</v>
      </c>
      <c r="J59" s="11">
        <f t="shared" si="6"/>
        <v>6123.724995</v>
      </c>
      <c r="K59" s="12" t="str">
        <f t="shared" si="7"/>
        <v>F</v>
      </c>
    </row>
    <row r="60">
      <c r="A60" s="8" t="s">
        <v>449</v>
      </c>
      <c r="B60" s="9">
        <v>54846.0</v>
      </c>
      <c r="C60" s="9">
        <v>3671.0764139590856</v>
      </c>
      <c r="D60" s="9">
        <v>3650.387865230274</v>
      </c>
      <c r="E60" s="9">
        <f t="shared" si="1"/>
        <v>-20.68854873</v>
      </c>
      <c r="F60" s="9">
        <f t="shared" si="2"/>
        <v>0.9943644462</v>
      </c>
      <c r="G60" s="11">
        <f t="shared" si="3"/>
        <v>3671.076414</v>
      </c>
      <c r="H60" s="11">
        <f t="shared" si="4"/>
        <v>201343857</v>
      </c>
      <c r="I60" s="12" t="str">
        <f t="shared" si="5"/>
        <v>G</v>
      </c>
      <c r="J60" s="11">
        <f t="shared" si="6"/>
        <v>6204.11914</v>
      </c>
      <c r="K60" s="12" t="str">
        <f t="shared" si="7"/>
        <v>F</v>
      </c>
    </row>
    <row r="61">
      <c r="A61" s="8" t="s">
        <v>432</v>
      </c>
      <c r="B61" s="9">
        <v>3898.0</v>
      </c>
      <c r="C61" s="9">
        <v>7148.388917393535</v>
      </c>
      <c r="D61" s="9">
        <v>3728.243670886076</v>
      </c>
      <c r="E61" s="9">
        <f t="shared" si="1"/>
        <v>-3420.145247</v>
      </c>
      <c r="F61" s="9">
        <f t="shared" si="2"/>
        <v>0.5215502002</v>
      </c>
      <c r="G61" s="11">
        <f t="shared" si="3"/>
        <v>7148.388917</v>
      </c>
      <c r="H61" s="11">
        <f t="shared" si="4"/>
        <v>27864420</v>
      </c>
      <c r="I61" s="12" t="str">
        <f t="shared" si="5"/>
        <v>F</v>
      </c>
      <c r="J61" s="11">
        <f t="shared" si="6"/>
        <v>12080.77727</v>
      </c>
      <c r="K61" s="12" t="str">
        <f t="shared" si="7"/>
        <v>E</v>
      </c>
    </row>
    <row r="62">
      <c r="A62" s="8" t="s">
        <v>463</v>
      </c>
      <c r="B62" s="9">
        <v>727.0</v>
      </c>
      <c r="C62" s="10">
        <v>3730.0</v>
      </c>
      <c r="D62" s="10">
        <v>3730.0</v>
      </c>
      <c r="E62" s="9">
        <f t="shared" si="1"/>
        <v>0</v>
      </c>
      <c r="F62" s="9">
        <f t="shared" si="2"/>
        <v>1</v>
      </c>
      <c r="G62" s="11">
        <f t="shared" si="3"/>
        <v>3730</v>
      </c>
      <c r="H62" s="11">
        <f t="shared" si="4"/>
        <v>2711710</v>
      </c>
      <c r="I62" s="12" t="str">
        <f t="shared" si="5"/>
        <v>G</v>
      </c>
      <c r="J62" s="11">
        <f t="shared" si="6"/>
        <v>6303.7</v>
      </c>
      <c r="K62" s="12" t="str">
        <f t="shared" si="7"/>
        <v>F</v>
      </c>
    </row>
    <row r="63">
      <c r="A63" s="8" t="s">
        <v>295</v>
      </c>
      <c r="B63" s="9">
        <v>5013.0</v>
      </c>
      <c r="C63" s="9">
        <v>5276.610013963695</v>
      </c>
      <c r="D63" s="9">
        <v>3736.5404079524915</v>
      </c>
      <c r="E63" s="9">
        <f t="shared" si="1"/>
        <v>-1540.069606</v>
      </c>
      <c r="F63" s="9">
        <f t="shared" si="2"/>
        <v>0.7081327591</v>
      </c>
      <c r="G63" s="11">
        <f t="shared" si="3"/>
        <v>5276.610014</v>
      </c>
      <c r="H63" s="11">
        <f t="shared" si="4"/>
        <v>26451646</v>
      </c>
      <c r="I63" s="12" t="str">
        <f t="shared" si="5"/>
        <v>F</v>
      </c>
      <c r="J63" s="11">
        <f t="shared" si="6"/>
        <v>8917.470924</v>
      </c>
      <c r="K63" s="12" t="str">
        <f t="shared" si="7"/>
        <v>F1</v>
      </c>
    </row>
    <row r="64">
      <c r="A64" s="8" t="s">
        <v>244</v>
      </c>
      <c r="B64" s="9">
        <v>6375.0</v>
      </c>
      <c r="C64" s="9">
        <v>2933.102117647059</v>
      </c>
      <c r="D64" s="9">
        <v>3737.496384418008</v>
      </c>
      <c r="E64" s="9">
        <f t="shared" si="1"/>
        <v>804.3942668</v>
      </c>
      <c r="F64" s="9">
        <f t="shared" si="2"/>
        <v>1.274246935</v>
      </c>
      <c r="G64" s="11">
        <f t="shared" si="3"/>
        <v>3737.496384</v>
      </c>
      <c r="H64" s="11">
        <f t="shared" si="4"/>
        <v>23826539.45</v>
      </c>
      <c r="I64" s="12" t="str">
        <f t="shared" si="5"/>
        <v>G</v>
      </c>
      <c r="J64" s="11">
        <f t="shared" si="6"/>
        <v>6316.36889</v>
      </c>
      <c r="K64" s="12" t="str">
        <f t="shared" si="7"/>
        <v>F</v>
      </c>
    </row>
    <row r="65">
      <c r="A65" s="8" t="s">
        <v>215</v>
      </c>
      <c r="B65" s="9">
        <v>1117.0</v>
      </c>
      <c r="C65" s="9">
        <v>10953.98388540734</v>
      </c>
      <c r="D65" s="9">
        <v>3748.6572598998637</v>
      </c>
      <c r="E65" s="9">
        <f t="shared" si="1"/>
        <v>-7205.326626</v>
      </c>
      <c r="F65" s="9">
        <f t="shared" si="2"/>
        <v>0.342218621</v>
      </c>
      <c r="G65" s="11">
        <f t="shared" si="3"/>
        <v>10953.98389</v>
      </c>
      <c r="H65" s="11">
        <f t="shared" si="4"/>
        <v>12235600</v>
      </c>
      <c r="I65" s="12" t="str">
        <f t="shared" si="5"/>
        <v>F1</v>
      </c>
      <c r="J65" s="11">
        <f t="shared" si="6"/>
        <v>18512.23277</v>
      </c>
      <c r="K65" s="12" t="str">
        <f t="shared" si="7"/>
        <v>E1</v>
      </c>
    </row>
    <row r="66">
      <c r="A66" s="8" t="s">
        <v>269</v>
      </c>
      <c r="B66" s="9">
        <v>6679.0</v>
      </c>
      <c r="C66" s="9">
        <v>5432.895643060338</v>
      </c>
      <c r="D66" s="9">
        <v>3785.5093780848965</v>
      </c>
      <c r="E66" s="9">
        <f t="shared" si="1"/>
        <v>-1647.386265</v>
      </c>
      <c r="F66" s="9">
        <f t="shared" si="2"/>
        <v>0.6967756472</v>
      </c>
      <c r="G66" s="11">
        <f t="shared" si="3"/>
        <v>5432.895643</v>
      </c>
      <c r="H66" s="11">
        <f t="shared" si="4"/>
        <v>36286310</v>
      </c>
      <c r="I66" s="12" t="str">
        <f t="shared" si="5"/>
        <v>F</v>
      </c>
      <c r="J66" s="11">
        <f t="shared" si="6"/>
        <v>9181.593637</v>
      </c>
      <c r="K66" s="12" t="str">
        <f t="shared" si="7"/>
        <v>F1</v>
      </c>
    </row>
    <row r="67">
      <c r="A67" s="8" t="s">
        <v>49</v>
      </c>
      <c r="B67" s="9">
        <v>137.0</v>
      </c>
      <c r="C67" s="9">
        <v>8792.700729927008</v>
      </c>
      <c r="D67" s="9">
        <v>3814.7566718995295</v>
      </c>
      <c r="E67" s="9">
        <f t="shared" si="1"/>
        <v>-4977.944058</v>
      </c>
      <c r="F67" s="9">
        <f t="shared" si="2"/>
        <v>0.4338549428</v>
      </c>
      <c r="G67" s="11">
        <f t="shared" si="3"/>
        <v>8792.70073</v>
      </c>
      <c r="H67" s="11">
        <f t="shared" si="4"/>
        <v>1204600</v>
      </c>
      <c r="I67" s="13" t="str">
        <f t="shared" si="5"/>
        <v>F1</v>
      </c>
      <c r="J67" s="11">
        <f t="shared" si="6"/>
        <v>14859.66423</v>
      </c>
      <c r="K67" s="13" t="str">
        <f t="shared" si="7"/>
        <v>E</v>
      </c>
    </row>
    <row r="68">
      <c r="A68" s="8" t="s">
        <v>178</v>
      </c>
      <c r="B68" s="9">
        <v>3726.0</v>
      </c>
      <c r="C68" s="9">
        <v>17140.177133655394</v>
      </c>
      <c r="D68" s="9">
        <v>3820.9822646657576</v>
      </c>
      <c r="E68" s="9">
        <f t="shared" si="1"/>
        <v>-13319.19487</v>
      </c>
      <c r="F68" s="9">
        <f t="shared" si="2"/>
        <v>0.2229254829</v>
      </c>
      <c r="G68" s="11">
        <f t="shared" si="3"/>
        <v>17140.17713</v>
      </c>
      <c r="H68" s="11">
        <f t="shared" si="4"/>
        <v>63864300</v>
      </c>
      <c r="I68" s="12" t="str">
        <f t="shared" si="5"/>
        <v>E1</v>
      </c>
      <c r="J68" s="11">
        <f t="shared" si="6"/>
        <v>28966.89936</v>
      </c>
      <c r="K68" s="12" t="str">
        <f t="shared" si="7"/>
        <v>D1</v>
      </c>
    </row>
    <row r="69">
      <c r="A69" s="8" t="s">
        <v>367</v>
      </c>
      <c r="B69" s="9">
        <v>483.0</v>
      </c>
      <c r="C69" s="9">
        <v>6000.0</v>
      </c>
      <c r="D69" s="9">
        <v>3850.666161998486</v>
      </c>
      <c r="E69" s="9">
        <f t="shared" si="1"/>
        <v>-2149.333838</v>
      </c>
      <c r="F69" s="9">
        <f t="shared" si="2"/>
        <v>0.6417776937</v>
      </c>
      <c r="G69" s="11">
        <f t="shared" si="3"/>
        <v>6000</v>
      </c>
      <c r="H69" s="11">
        <f t="shared" si="4"/>
        <v>2898000</v>
      </c>
      <c r="I69" s="12" t="str">
        <f t="shared" si="5"/>
        <v>F</v>
      </c>
      <c r="J69" s="11">
        <f t="shared" si="6"/>
        <v>10140</v>
      </c>
      <c r="K69" s="12" t="str">
        <f t="shared" si="7"/>
        <v>F1</v>
      </c>
    </row>
    <row r="70">
      <c r="A70" s="8" t="s">
        <v>444</v>
      </c>
      <c r="B70" s="9">
        <v>22840.0</v>
      </c>
      <c r="C70" s="9">
        <v>3919.140411558669</v>
      </c>
      <c r="D70" s="9">
        <v>3902.462252544458</v>
      </c>
      <c r="E70" s="9">
        <f t="shared" si="1"/>
        <v>-16.67815901</v>
      </c>
      <c r="F70" s="9">
        <f t="shared" si="2"/>
        <v>0.9957444344</v>
      </c>
      <c r="G70" s="11">
        <f t="shared" si="3"/>
        <v>3919.140412</v>
      </c>
      <c r="H70" s="11">
        <f t="shared" si="4"/>
        <v>89513167</v>
      </c>
      <c r="I70" s="12" t="str">
        <f t="shared" si="5"/>
        <v>G</v>
      </c>
      <c r="J70" s="11">
        <f t="shared" si="6"/>
        <v>6623.347296</v>
      </c>
      <c r="K70" s="12" t="str">
        <f t="shared" si="7"/>
        <v>F</v>
      </c>
    </row>
    <row r="71">
      <c r="A71" s="8" t="s">
        <v>435</v>
      </c>
      <c r="B71" s="9">
        <v>22945.0</v>
      </c>
      <c r="C71" s="9">
        <v>3005.5696230115495</v>
      </c>
      <c r="D71" s="9">
        <v>3935.270624552613</v>
      </c>
      <c r="E71" s="9">
        <f t="shared" si="1"/>
        <v>929.7010015</v>
      </c>
      <c r="F71" s="9">
        <f t="shared" si="2"/>
        <v>1.309326057</v>
      </c>
      <c r="G71" s="11">
        <f t="shared" si="3"/>
        <v>3935.270625</v>
      </c>
      <c r="H71" s="11">
        <f t="shared" si="4"/>
        <v>90294784.48</v>
      </c>
      <c r="I71" s="12" t="str">
        <f t="shared" si="5"/>
        <v>G</v>
      </c>
      <c r="J71" s="11">
        <f t="shared" si="6"/>
        <v>6650.607355</v>
      </c>
      <c r="K71" s="12" t="str">
        <f t="shared" si="7"/>
        <v>F</v>
      </c>
    </row>
    <row r="72">
      <c r="A72" s="8" t="s">
        <v>181</v>
      </c>
      <c r="B72" s="9">
        <v>292.0</v>
      </c>
      <c r="C72" s="9">
        <v>4000.0</v>
      </c>
      <c r="D72" s="9">
        <v>4000.0</v>
      </c>
      <c r="E72" s="9">
        <f t="shared" si="1"/>
        <v>0</v>
      </c>
      <c r="F72" s="9">
        <f t="shared" si="2"/>
        <v>1</v>
      </c>
      <c r="G72" s="11">
        <f t="shared" si="3"/>
        <v>4000</v>
      </c>
      <c r="H72" s="11">
        <f t="shared" si="4"/>
        <v>1168000</v>
      </c>
      <c r="I72" s="12" t="str">
        <f t="shared" si="5"/>
        <v>G</v>
      </c>
      <c r="J72" s="11">
        <f t="shared" si="6"/>
        <v>6760</v>
      </c>
      <c r="K72" s="12" t="str">
        <f t="shared" si="7"/>
        <v>F</v>
      </c>
    </row>
    <row r="73">
      <c r="A73" s="8" t="s">
        <v>393</v>
      </c>
      <c r="B73" s="9">
        <v>287.0</v>
      </c>
      <c r="C73" s="9">
        <v>4000.0</v>
      </c>
      <c r="D73" s="9">
        <v>4000.0</v>
      </c>
      <c r="E73" s="9">
        <f t="shared" si="1"/>
        <v>0</v>
      </c>
      <c r="F73" s="9">
        <f t="shared" si="2"/>
        <v>1</v>
      </c>
      <c r="G73" s="11">
        <f t="shared" si="3"/>
        <v>4000</v>
      </c>
      <c r="H73" s="11">
        <f t="shared" si="4"/>
        <v>1148000</v>
      </c>
      <c r="I73" s="12" t="str">
        <f t="shared" si="5"/>
        <v>G</v>
      </c>
      <c r="J73" s="11">
        <f t="shared" si="6"/>
        <v>6760</v>
      </c>
      <c r="K73" s="12" t="str">
        <f t="shared" si="7"/>
        <v>F</v>
      </c>
    </row>
    <row r="74">
      <c r="A74" s="8" t="s">
        <v>315</v>
      </c>
      <c r="B74" s="9">
        <v>51.0</v>
      </c>
      <c r="C74" s="9">
        <v>43000.0</v>
      </c>
      <c r="D74" s="9">
        <v>4026.0387811634355</v>
      </c>
      <c r="E74" s="9">
        <f t="shared" si="1"/>
        <v>-38973.96122</v>
      </c>
      <c r="F74" s="9">
        <f t="shared" si="2"/>
        <v>0.09362880886</v>
      </c>
      <c r="G74" s="11">
        <f t="shared" si="3"/>
        <v>43000</v>
      </c>
      <c r="H74" s="11">
        <f t="shared" si="4"/>
        <v>2193000</v>
      </c>
      <c r="I74" s="12" t="str">
        <f t="shared" si="5"/>
        <v>B</v>
      </c>
      <c r="J74" s="11">
        <f t="shared" si="6"/>
        <v>72670</v>
      </c>
      <c r="K74" s="12" t="str">
        <f t="shared" si="7"/>
        <v>S</v>
      </c>
    </row>
    <row r="75">
      <c r="A75" s="8" t="s">
        <v>456</v>
      </c>
      <c r="B75" s="9">
        <v>2804.0</v>
      </c>
      <c r="C75" s="9">
        <v>3036.462196861626</v>
      </c>
      <c r="D75" s="9">
        <v>4033.204863749864</v>
      </c>
      <c r="E75" s="9">
        <f t="shared" si="1"/>
        <v>996.7426669</v>
      </c>
      <c r="F75" s="9">
        <f t="shared" si="2"/>
        <v>1.328257888</v>
      </c>
      <c r="G75" s="11">
        <f t="shared" si="3"/>
        <v>4033.204864</v>
      </c>
      <c r="H75" s="11">
        <f t="shared" si="4"/>
        <v>11309106.44</v>
      </c>
      <c r="I75" s="12" t="str">
        <f t="shared" si="5"/>
        <v>G</v>
      </c>
      <c r="J75" s="11">
        <f t="shared" si="6"/>
        <v>6816.11622</v>
      </c>
      <c r="K75" s="12" t="str">
        <f t="shared" si="7"/>
        <v>F</v>
      </c>
    </row>
    <row r="76">
      <c r="A76" s="8" t="s">
        <v>334</v>
      </c>
      <c r="B76" s="9">
        <v>1207.0</v>
      </c>
      <c r="C76" s="9">
        <v>7947.340513670257</v>
      </c>
      <c r="D76" s="9">
        <v>4068.128772635815</v>
      </c>
      <c r="E76" s="9">
        <f t="shared" si="1"/>
        <v>-3879.211741</v>
      </c>
      <c r="F76" s="9">
        <f t="shared" si="2"/>
        <v>0.5118855503</v>
      </c>
      <c r="G76" s="11">
        <f t="shared" si="3"/>
        <v>7947.340514</v>
      </c>
      <c r="H76" s="11">
        <f t="shared" si="4"/>
        <v>9592440</v>
      </c>
      <c r="I76" s="12" t="str">
        <f t="shared" si="5"/>
        <v>F</v>
      </c>
      <c r="J76" s="11">
        <f t="shared" si="6"/>
        <v>13431.00547</v>
      </c>
      <c r="K76" s="12" t="str">
        <f t="shared" si="7"/>
        <v>E</v>
      </c>
    </row>
    <row r="77">
      <c r="A77" s="8" t="s">
        <v>154</v>
      </c>
      <c r="B77" s="9">
        <v>589.0</v>
      </c>
      <c r="C77" s="9">
        <v>15130.730050933786</v>
      </c>
      <c r="D77" s="9">
        <v>4078.2122905027936</v>
      </c>
      <c r="E77" s="9">
        <f t="shared" si="1"/>
        <v>-11052.51776</v>
      </c>
      <c r="F77" s="9">
        <f t="shared" si="2"/>
        <v>0.2695317593</v>
      </c>
      <c r="G77" s="11">
        <f t="shared" si="3"/>
        <v>15130.73005</v>
      </c>
      <c r="H77" s="11">
        <f t="shared" si="4"/>
        <v>8912000</v>
      </c>
      <c r="I77" s="12" t="str">
        <f t="shared" si="5"/>
        <v>E</v>
      </c>
      <c r="J77" s="11">
        <f t="shared" si="6"/>
        <v>25570.93379</v>
      </c>
      <c r="K77" s="12" t="str">
        <f t="shared" si="7"/>
        <v>D1</v>
      </c>
    </row>
    <row r="78">
      <c r="A78" s="8" t="s">
        <v>366</v>
      </c>
      <c r="B78" s="9">
        <v>29044.0</v>
      </c>
      <c r="C78" s="9">
        <v>6073.5934099986225</v>
      </c>
      <c r="D78" s="9">
        <v>4078.348278122021</v>
      </c>
      <c r="E78" s="9">
        <f t="shared" si="1"/>
        <v>-1995.245132</v>
      </c>
      <c r="F78" s="9">
        <f t="shared" si="2"/>
        <v>0.6714885246</v>
      </c>
      <c r="G78" s="11">
        <f t="shared" si="3"/>
        <v>6073.59341</v>
      </c>
      <c r="H78" s="11">
        <f t="shared" si="4"/>
        <v>176401447</v>
      </c>
      <c r="I78" s="12" t="str">
        <f t="shared" si="5"/>
        <v>F</v>
      </c>
      <c r="J78" s="11">
        <f t="shared" si="6"/>
        <v>10264.37286</v>
      </c>
      <c r="K78" s="12" t="str">
        <f t="shared" si="7"/>
        <v>F1</v>
      </c>
    </row>
    <row r="79">
      <c r="A79" s="8" t="s">
        <v>446</v>
      </c>
      <c r="B79" s="9">
        <v>19366.0</v>
      </c>
      <c r="C79" s="9">
        <v>2755.114840442012</v>
      </c>
      <c r="D79" s="9">
        <v>4138.819724805322</v>
      </c>
      <c r="E79" s="9">
        <f t="shared" si="1"/>
        <v>1383.704884</v>
      </c>
      <c r="F79" s="9">
        <f t="shared" si="2"/>
        <v>1.502231291</v>
      </c>
      <c r="G79" s="11">
        <f t="shared" si="3"/>
        <v>4138.819725</v>
      </c>
      <c r="H79" s="11">
        <f t="shared" si="4"/>
        <v>80152382.79</v>
      </c>
      <c r="I79" s="12" t="str">
        <f t="shared" si="5"/>
        <v>G</v>
      </c>
      <c r="J79" s="11">
        <f t="shared" si="6"/>
        <v>6994.605335</v>
      </c>
      <c r="K79" s="12" t="str">
        <f t="shared" si="7"/>
        <v>F</v>
      </c>
    </row>
    <row r="80">
      <c r="A80" s="8" t="s">
        <v>352</v>
      </c>
      <c r="B80" s="9">
        <v>146.0</v>
      </c>
      <c r="C80" s="9">
        <v>4933.219178082192</v>
      </c>
      <c r="D80" s="9">
        <v>4150.112676056338</v>
      </c>
      <c r="E80" s="9">
        <f t="shared" si="1"/>
        <v>-783.106502</v>
      </c>
      <c r="F80" s="9">
        <f t="shared" si="2"/>
        <v>0.8412585223</v>
      </c>
      <c r="G80" s="11">
        <f t="shared" si="3"/>
        <v>4933.219178</v>
      </c>
      <c r="H80" s="11">
        <f t="shared" si="4"/>
        <v>720250</v>
      </c>
      <c r="I80" s="12" t="str">
        <f t="shared" si="5"/>
        <v>G</v>
      </c>
      <c r="J80" s="11">
        <f t="shared" si="6"/>
        <v>8337.140411</v>
      </c>
      <c r="K80" s="12" t="str">
        <f t="shared" si="7"/>
        <v>F1</v>
      </c>
    </row>
    <row r="81">
      <c r="A81" s="8" t="s">
        <v>232</v>
      </c>
      <c r="B81" s="9">
        <v>783.0</v>
      </c>
      <c r="C81" s="9">
        <v>8066.743295019157</v>
      </c>
      <c r="D81" s="9">
        <v>4155.672514619883</v>
      </c>
      <c r="E81" s="9">
        <f t="shared" si="1"/>
        <v>-3911.07078</v>
      </c>
      <c r="F81" s="9">
        <f t="shared" si="2"/>
        <v>0.5151611205</v>
      </c>
      <c r="G81" s="11">
        <f t="shared" si="3"/>
        <v>8066.743295</v>
      </c>
      <c r="H81" s="11">
        <f t="shared" si="4"/>
        <v>6316260</v>
      </c>
      <c r="I81" s="12" t="str">
        <f t="shared" si="5"/>
        <v>F1</v>
      </c>
      <c r="J81" s="11">
        <f t="shared" si="6"/>
        <v>13632.79617</v>
      </c>
      <c r="K81" s="12" t="str">
        <f t="shared" si="7"/>
        <v>E</v>
      </c>
    </row>
    <row r="82">
      <c r="A82" s="8" t="s">
        <v>369</v>
      </c>
      <c r="B82" s="9">
        <v>1459.0</v>
      </c>
      <c r="C82" s="9">
        <v>4187.416038382454</v>
      </c>
      <c r="D82" s="9">
        <v>4187.416038382454</v>
      </c>
      <c r="E82" s="9">
        <f t="shared" si="1"/>
        <v>0</v>
      </c>
      <c r="F82" s="9">
        <f t="shared" si="2"/>
        <v>1</v>
      </c>
      <c r="G82" s="11">
        <f t="shared" si="3"/>
        <v>4187.416038</v>
      </c>
      <c r="H82" s="11">
        <f t="shared" si="4"/>
        <v>6109440</v>
      </c>
      <c r="I82" s="12" t="str">
        <f t="shared" si="5"/>
        <v>G</v>
      </c>
      <c r="J82" s="11">
        <f t="shared" si="6"/>
        <v>7076.733105</v>
      </c>
      <c r="K82" s="12" t="str">
        <f t="shared" si="7"/>
        <v>F</v>
      </c>
    </row>
    <row r="83">
      <c r="A83" s="8" t="s">
        <v>434</v>
      </c>
      <c r="B83" s="9">
        <v>6385.0</v>
      </c>
      <c r="C83" s="9">
        <v>4481.939702427565</v>
      </c>
      <c r="D83" s="9">
        <v>4238.770816890292</v>
      </c>
      <c r="E83" s="9">
        <f t="shared" si="1"/>
        <v>-243.1688855</v>
      </c>
      <c r="F83" s="9">
        <f t="shared" si="2"/>
        <v>0.9457447218</v>
      </c>
      <c r="G83" s="11">
        <f t="shared" si="3"/>
        <v>4481.939702</v>
      </c>
      <c r="H83" s="11">
        <f t="shared" si="4"/>
        <v>28617185</v>
      </c>
      <c r="I83" s="12" t="str">
        <f t="shared" si="5"/>
        <v>G</v>
      </c>
      <c r="J83" s="11">
        <f t="shared" si="6"/>
        <v>7574.478097</v>
      </c>
      <c r="K83" s="12" t="str">
        <f t="shared" si="7"/>
        <v>F</v>
      </c>
    </row>
    <row r="84">
      <c r="A84" s="8" t="s">
        <v>250</v>
      </c>
      <c r="B84" s="9">
        <v>1822.0</v>
      </c>
      <c r="C84" s="9">
        <v>8806.081229418221</v>
      </c>
      <c r="D84" s="9">
        <v>4239.6198099049525</v>
      </c>
      <c r="E84" s="9">
        <f t="shared" si="1"/>
        <v>-4566.46142</v>
      </c>
      <c r="F84" s="9">
        <f t="shared" si="2"/>
        <v>0.4814422783</v>
      </c>
      <c r="G84" s="11">
        <f t="shared" si="3"/>
        <v>8806.081229</v>
      </c>
      <c r="H84" s="11">
        <f t="shared" si="4"/>
        <v>16044680</v>
      </c>
      <c r="I84" s="12" t="str">
        <f t="shared" si="5"/>
        <v>F1</v>
      </c>
      <c r="J84" s="11">
        <f t="shared" si="6"/>
        <v>14882.27728</v>
      </c>
      <c r="K84" s="12" t="str">
        <f t="shared" si="7"/>
        <v>E</v>
      </c>
    </row>
    <row r="85">
      <c r="A85" s="8" t="s">
        <v>191</v>
      </c>
      <c r="B85" s="9">
        <v>628.0</v>
      </c>
      <c r="C85" s="9">
        <v>4248.407643312102</v>
      </c>
      <c r="D85" s="9">
        <v>4248.407643312102</v>
      </c>
      <c r="E85" s="9">
        <f t="shared" si="1"/>
        <v>0</v>
      </c>
      <c r="F85" s="9">
        <f t="shared" si="2"/>
        <v>1</v>
      </c>
      <c r="G85" s="11">
        <f t="shared" si="3"/>
        <v>4248.407643</v>
      </c>
      <c r="H85" s="11">
        <f t="shared" si="4"/>
        <v>2668000</v>
      </c>
      <c r="I85" s="12" t="str">
        <f t="shared" si="5"/>
        <v>G</v>
      </c>
      <c r="J85" s="11">
        <f t="shared" si="6"/>
        <v>7179.808917</v>
      </c>
      <c r="K85" s="12" t="str">
        <f t="shared" si="7"/>
        <v>F</v>
      </c>
    </row>
    <row r="86">
      <c r="A86" s="8" t="s">
        <v>230</v>
      </c>
      <c r="B86" s="9">
        <v>5724.0</v>
      </c>
      <c r="C86" s="9">
        <v>4502.954227812718</v>
      </c>
      <c r="D86" s="9">
        <v>4264.621282962409</v>
      </c>
      <c r="E86" s="9">
        <f t="shared" si="1"/>
        <v>-238.3329449</v>
      </c>
      <c r="F86" s="9">
        <f t="shared" si="2"/>
        <v>0.9470718704</v>
      </c>
      <c r="G86" s="11">
        <f t="shared" si="3"/>
        <v>4502.954228</v>
      </c>
      <c r="H86" s="11">
        <f t="shared" si="4"/>
        <v>25774910</v>
      </c>
      <c r="I86" s="12" t="str">
        <f t="shared" si="5"/>
        <v>G</v>
      </c>
      <c r="J86" s="11">
        <f t="shared" si="6"/>
        <v>7609.992645</v>
      </c>
      <c r="K86" s="12" t="str">
        <f t="shared" si="7"/>
        <v>F</v>
      </c>
    </row>
    <row r="87">
      <c r="A87" s="8" t="s">
        <v>361</v>
      </c>
      <c r="B87" s="9">
        <v>857.0</v>
      </c>
      <c r="C87" s="9">
        <v>8391.271878646441</v>
      </c>
      <c r="D87" s="9">
        <v>4274.923413566739</v>
      </c>
      <c r="E87" s="9">
        <f t="shared" si="1"/>
        <v>-4116.348465</v>
      </c>
      <c r="F87" s="9">
        <f t="shared" si="2"/>
        <v>0.5094488029</v>
      </c>
      <c r="G87" s="11">
        <f t="shared" si="3"/>
        <v>8391.271879</v>
      </c>
      <c r="H87" s="11">
        <f t="shared" si="4"/>
        <v>7191320</v>
      </c>
      <c r="I87" s="12" t="str">
        <f t="shared" si="5"/>
        <v>F1</v>
      </c>
      <c r="J87" s="11">
        <f t="shared" si="6"/>
        <v>14181.24947</v>
      </c>
      <c r="K87" s="12" t="str">
        <f t="shared" si="7"/>
        <v>E</v>
      </c>
    </row>
    <row r="88">
      <c r="A88" s="8" t="s">
        <v>159</v>
      </c>
      <c r="B88" s="9">
        <v>404.0</v>
      </c>
      <c r="C88" s="9">
        <v>12179.356435643564</v>
      </c>
      <c r="D88" s="9">
        <v>4372.036474164133</v>
      </c>
      <c r="E88" s="9">
        <f t="shared" si="1"/>
        <v>-7807.319961</v>
      </c>
      <c r="F88" s="9">
        <f t="shared" si="2"/>
        <v>0.3589710587</v>
      </c>
      <c r="G88" s="11">
        <f t="shared" si="3"/>
        <v>12179.35644</v>
      </c>
      <c r="H88" s="11">
        <f t="shared" si="4"/>
        <v>4920460</v>
      </c>
      <c r="I88" s="12" t="str">
        <f t="shared" si="5"/>
        <v>E</v>
      </c>
      <c r="J88" s="11">
        <f t="shared" si="6"/>
        <v>20583.11238</v>
      </c>
      <c r="K88" s="12" t="str">
        <f t="shared" si="7"/>
        <v>D</v>
      </c>
    </row>
    <row r="89">
      <c r="A89" s="8" t="s">
        <v>38</v>
      </c>
      <c r="B89" s="9">
        <v>1323.0</v>
      </c>
      <c r="C89" s="9">
        <v>15190.438397581254</v>
      </c>
      <c r="D89" s="9">
        <v>4561.0687022900765</v>
      </c>
      <c r="E89" s="9">
        <f t="shared" si="1"/>
        <v>-10629.3697</v>
      </c>
      <c r="F89" s="9">
        <f t="shared" si="2"/>
        <v>0.3002591882</v>
      </c>
      <c r="G89" s="11">
        <f t="shared" si="3"/>
        <v>15190.4384</v>
      </c>
      <c r="H89" s="11">
        <f t="shared" si="4"/>
        <v>20096950</v>
      </c>
      <c r="I89" s="13" t="str">
        <f t="shared" si="5"/>
        <v>E</v>
      </c>
      <c r="J89" s="11">
        <f t="shared" si="6"/>
        <v>25671.84089</v>
      </c>
      <c r="K89" s="13" t="str">
        <f t="shared" si="7"/>
        <v>D1</v>
      </c>
    </row>
    <row r="90">
      <c r="A90" s="8" t="s">
        <v>390</v>
      </c>
      <c r="B90" s="9">
        <v>3198.0</v>
      </c>
      <c r="C90" s="9">
        <v>6670.916197623515</v>
      </c>
      <c r="D90" s="9">
        <v>4576.774436090225</v>
      </c>
      <c r="E90" s="9">
        <f t="shared" si="1"/>
        <v>-2094.141762</v>
      </c>
      <c r="F90" s="9">
        <f t="shared" si="2"/>
        <v>0.6860788384</v>
      </c>
      <c r="G90" s="11">
        <f t="shared" si="3"/>
        <v>6670.916198</v>
      </c>
      <c r="H90" s="11">
        <f t="shared" si="4"/>
        <v>21333590</v>
      </c>
      <c r="I90" s="12" t="str">
        <f t="shared" si="5"/>
        <v>F</v>
      </c>
      <c r="J90" s="11">
        <f t="shared" si="6"/>
        <v>11273.84837</v>
      </c>
      <c r="K90" s="12" t="str">
        <f t="shared" si="7"/>
        <v>F1</v>
      </c>
    </row>
    <row r="91">
      <c r="A91" s="8" t="s">
        <v>343</v>
      </c>
      <c r="B91" s="9">
        <v>588.0</v>
      </c>
      <c r="C91" s="10">
        <v>4616.0</v>
      </c>
      <c r="D91" s="9">
        <v>4616.971428571429</v>
      </c>
      <c r="E91" s="9">
        <f t="shared" si="1"/>
        <v>0.9714285714</v>
      </c>
      <c r="F91" s="9">
        <f t="shared" si="2"/>
        <v>1.000210448</v>
      </c>
      <c r="G91" s="11">
        <f t="shared" si="3"/>
        <v>4616.971429</v>
      </c>
      <c r="H91" s="11">
        <f t="shared" si="4"/>
        <v>2714779.2</v>
      </c>
      <c r="I91" s="12" t="str">
        <f t="shared" si="5"/>
        <v>G</v>
      </c>
      <c r="J91" s="11">
        <f t="shared" si="6"/>
        <v>7802.681714</v>
      </c>
      <c r="K91" s="12" t="str">
        <f t="shared" si="7"/>
        <v>F</v>
      </c>
    </row>
    <row r="92">
      <c r="A92" s="8" t="s">
        <v>351</v>
      </c>
      <c r="B92" s="9">
        <v>29796.0</v>
      </c>
      <c r="C92" s="9">
        <v>3641.089978520607</v>
      </c>
      <c r="D92" s="9">
        <v>4624.07316442606</v>
      </c>
      <c r="E92" s="9">
        <f t="shared" si="1"/>
        <v>982.9831859</v>
      </c>
      <c r="F92" s="9">
        <f t="shared" si="2"/>
        <v>1.269969485</v>
      </c>
      <c r="G92" s="11">
        <f t="shared" si="3"/>
        <v>4624.073164</v>
      </c>
      <c r="H92" s="11">
        <f t="shared" si="4"/>
        <v>137778884</v>
      </c>
      <c r="I92" s="12" t="str">
        <f t="shared" si="5"/>
        <v>G</v>
      </c>
      <c r="J92" s="11">
        <f t="shared" si="6"/>
        <v>7814.683648</v>
      </c>
      <c r="K92" s="12" t="str">
        <f t="shared" si="7"/>
        <v>F</v>
      </c>
    </row>
    <row r="93">
      <c r="A93" s="8" t="s">
        <v>262</v>
      </c>
      <c r="B93" s="9">
        <v>16934.0</v>
      </c>
      <c r="C93" s="9">
        <v>7353.00980276367</v>
      </c>
      <c r="D93" s="9">
        <v>4703.023455933379</v>
      </c>
      <c r="E93" s="9">
        <f t="shared" si="1"/>
        <v>-2649.986347</v>
      </c>
      <c r="F93" s="9">
        <f t="shared" si="2"/>
        <v>0.6396052205</v>
      </c>
      <c r="G93" s="11">
        <f t="shared" si="3"/>
        <v>7353.009803</v>
      </c>
      <c r="H93" s="11">
        <f t="shared" si="4"/>
        <v>124515868</v>
      </c>
      <c r="I93" s="12" t="str">
        <f t="shared" si="5"/>
        <v>F</v>
      </c>
      <c r="J93" s="11">
        <f t="shared" si="6"/>
        <v>12426.58657</v>
      </c>
      <c r="K93" s="12" t="str">
        <f t="shared" si="7"/>
        <v>E</v>
      </c>
    </row>
    <row r="94">
      <c r="A94" s="8" t="s">
        <v>470</v>
      </c>
      <c r="B94" s="9">
        <v>1008.0</v>
      </c>
      <c r="C94" s="9">
        <v>7150.505952380952</v>
      </c>
      <c r="D94" s="9">
        <v>4730.0</v>
      </c>
      <c r="E94" s="9">
        <f t="shared" si="1"/>
        <v>-2420.505952</v>
      </c>
      <c r="F94" s="9">
        <f t="shared" si="2"/>
        <v>0.6614916527</v>
      </c>
      <c r="G94" s="11">
        <f t="shared" si="3"/>
        <v>7150.505952</v>
      </c>
      <c r="H94" s="11">
        <f t="shared" si="4"/>
        <v>7207710</v>
      </c>
      <c r="I94" s="12" t="str">
        <f t="shared" si="5"/>
        <v>F</v>
      </c>
      <c r="J94" s="11">
        <f t="shared" si="6"/>
        <v>12084.35506</v>
      </c>
      <c r="K94" s="12" t="str">
        <f t="shared" si="7"/>
        <v>E</v>
      </c>
    </row>
    <row r="95">
      <c r="A95" s="8" t="s">
        <v>264</v>
      </c>
      <c r="B95" s="9">
        <v>27572.0</v>
      </c>
      <c r="C95" s="9">
        <v>5511.578050195851</v>
      </c>
      <c r="D95" s="9">
        <v>4748.287495130503</v>
      </c>
      <c r="E95" s="9">
        <f t="shared" si="1"/>
        <v>-763.2905551</v>
      </c>
      <c r="F95" s="9">
        <f t="shared" si="2"/>
        <v>0.8615114314</v>
      </c>
      <c r="G95" s="11">
        <f t="shared" si="3"/>
        <v>5511.57805</v>
      </c>
      <c r="H95" s="11">
        <f t="shared" si="4"/>
        <v>151965230</v>
      </c>
      <c r="I95" s="12" t="str">
        <f t="shared" si="5"/>
        <v>F</v>
      </c>
      <c r="J95" s="11">
        <f t="shared" si="6"/>
        <v>9314.566905</v>
      </c>
      <c r="K95" s="12" t="str">
        <f t="shared" si="7"/>
        <v>F1</v>
      </c>
    </row>
    <row r="96">
      <c r="A96" s="8" t="s">
        <v>347</v>
      </c>
      <c r="B96" s="9">
        <v>1127.0</v>
      </c>
      <c r="C96" s="9">
        <v>1963.425022182786</v>
      </c>
      <c r="D96" s="9">
        <v>4770.3125</v>
      </c>
      <c r="E96" s="9">
        <f t="shared" si="1"/>
        <v>2806.887478</v>
      </c>
      <c r="F96" s="9">
        <f t="shared" si="2"/>
        <v>2.429587301</v>
      </c>
      <c r="G96" s="11">
        <f t="shared" si="3"/>
        <v>4770.3125</v>
      </c>
      <c r="H96" s="11">
        <f t="shared" si="4"/>
        <v>5376142.188</v>
      </c>
      <c r="I96" s="12" t="str">
        <f t="shared" si="5"/>
        <v>G</v>
      </c>
      <c r="J96" s="11">
        <f t="shared" si="6"/>
        <v>8061.828125</v>
      </c>
      <c r="K96" s="12" t="str">
        <f t="shared" si="7"/>
        <v>F1</v>
      </c>
    </row>
    <row r="97">
      <c r="A97" s="8" t="s">
        <v>169</v>
      </c>
      <c r="B97" s="9">
        <v>885.0</v>
      </c>
      <c r="C97" s="9">
        <v>4772.881355932203</v>
      </c>
      <c r="D97" s="9">
        <v>4772.881355932203</v>
      </c>
      <c r="E97" s="9">
        <f t="shared" si="1"/>
        <v>0</v>
      </c>
      <c r="F97" s="9">
        <f t="shared" si="2"/>
        <v>1</v>
      </c>
      <c r="G97" s="11">
        <f t="shared" si="3"/>
        <v>4772.881356</v>
      </c>
      <c r="H97" s="11">
        <f t="shared" si="4"/>
        <v>4224000</v>
      </c>
      <c r="I97" s="12" t="str">
        <f t="shared" si="5"/>
        <v>G</v>
      </c>
      <c r="J97" s="11">
        <f t="shared" si="6"/>
        <v>8066.169492</v>
      </c>
      <c r="K97" s="12" t="str">
        <f t="shared" si="7"/>
        <v>F1</v>
      </c>
    </row>
    <row r="98">
      <c r="A98" s="8" t="s">
        <v>338</v>
      </c>
      <c r="B98" s="9">
        <v>4750.0</v>
      </c>
      <c r="C98" s="9">
        <v>7493.633684210527</v>
      </c>
      <c r="D98" s="9">
        <v>4779.1842598376015</v>
      </c>
      <c r="E98" s="9">
        <f t="shared" si="1"/>
        <v>-2714.449424</v>
      </c>
      <c r="F98" s="9">
        <f t="shared" si="2"/>
        <v>0.6377659306</v>
      </c>
      <c r="G98" s="11">
        <f t="shared" si="3"/>
        <v>7493.633684</v>
      </c>
      <c r="H98" s="11">
        <f t="shared" si="4"/>
        <v>35594760</v>
      </c>
      <c r="I98" s="12" t="str">
        <f t="shared" si="5"/>
        <v>F</v>
      </c>
      <c r="J98" s="11">
        <f t="shared" si="6"/>
        <v>12664.24093</v>
      </c>
      <c r="K98" s="12" t="str">
        <f t="shared" si="7"/>
        <v>E</v>
      </c>
    </row>
    <row r="99">
      <c r="A99" s="8" t="s">
        <v>440</v>
      </c>
      <c r="B99" s="9">
        <v>6469.0</v>
      </c>
      <c r="C99" s="9">
        <v>3238.288761786984</v>
      </c>
      <c r="D99" s="9">
        <v>4784.231830726771</v>
      </c>
      <c r="E99" s="9">
        <f t="shared" si="1"/>
        <v>1545.943069</v>
      </c>
      <c r="F99" s="9">
        <f t="shared" si="2"/>
        <v>1.477395063</v>
      </c>
      <c r="G99" s="11">
        <f t="shared" si="3"/>
        <v>4784.231831</v>
      </c>
      <c r="H99" s="11">
        <f t="shared" si="4"/>
        <v>30949195.71</v>
      </c>
      <c r="I99" s="12" t="str">
        <f t="shared" si="5"/>
        <v>G</v>
      </c>
      <c r="J99" s="11">
        <f t="shared" si="6"/>
        <v>8085.351794</v>
      </c>
      <c r="K99" s="12" t="str">
        <f t="shared" si="7"/>
        <v>F1</v>
      </c>
    </row>
    <row r="100">
      <c r="A100" s="8" t="s">
        <v>431</v>
      </c>
      <c r="B100" s="9">
        <v>2298.0</v>
      </c>
      <c r="C100" s="9">
        <v>5347.288946910357</v>
      </c>
      <c r="D100" s="9">
        <v>4827.166427546628</v>
      </c>
      <c r="E100" s="9">
        <f t="shared" si="1"/>
        <v>-520.1225194</v>
      </c>
      <c r="F100" s="9">
        <f t="shared" si="2"/>
        <v>0.9027315478</v>
      </c>
      <c r="G100" s="11">
        <f t="shared" si="3"/>
        <v>5347.288947</v>
      </c>
      <c r="H100" s="11">
        <f t="shared" si="4"/>
        <v>12288070</v>
      </c>
      <c r="I100" s="12" t="str">
        <f t="shared" si="5"/>
        <v>F</v>
      </c>
      <c r="J100" s="11">
        <f t="shared" si="6"/>
        <v>9036.91832</v>
      </c>
      <c r="K100" s="12" t="str">
        <f t="shared" si="7"/>
        <v>F1</v>
      </c>
    </row>
    <row r="101">
      <c r="A101" s="8" t="s">
        <v>239</v>
      </c>
      <c r="B101" s="9">
        <v>76981.0</v>
      </c>
      <c r="C101" s="9">
        <v>4370.26323378496</v>
      </c>
      <c r="D101" s="9">
        <v>4849.031886656679</v>
      </c>
      <c r="E101" s="9">
        <f t="shared" si="1"/>
        <v>478.7686529</v>
      </c>
      <c r="F101" s="9">
        <f t="shared" si="2"/>
        <v>1.109551445</v>
      </c>
      <c r="G101" s="11">
        <f t="shared" si="3"/>
        <v>4849.031887</v>
      </c>
      <c r="H101" s="11">
        <f t="shared" si="4"/>
        <v>373283323.7</v>
      </c>
      <c r="I101" s="12" t="str">
        <f t="shared" si="5"/>
        <v>G</v>
      </c>
      <c r="J101" s="11">
        <f t="shared" si="6"/>
        <v>8194.863888</v>
      </c>
      <c r="K101" s="12" t="str">
        <f t="shared" si="7"/>
        <v>F1</v>
      </c>
    </row>
    <row r="102">
      <c r="A102" s="8" t="s">
        <v>314</v>
      </c>
      <c r="B102" s="9">
        <v>573.0</v>
      </c>
      <c r="C102" s="9">
        <v>3010.0</v>
      </c>
      <c r="D102" s="9">
        <v>4852.925207756232</v>
      </c>
      <c r="E102" s="9">
        <f t="shared" si="1"/>
        <v>1842.925208</v>
      </c>
      <c r="F102" s="9">
        <f t="shared" si="2"/>
        <v>1.612267511</v>
      </c>
      <c r="G102" s="11">
        <f t="shared" si="3"/>
        <v>4852.925208</v>
      </c>
      <c r="H102" s="11">
        <f t="shared" si="4"/>
        <v>2780726.144</v>
      </c>
      <c r="I102" s="12" t="str">
        <f t="shared" si="5"/>
        <v>G</v>
      </c>
      <c r="J102" s="11">
        <f t="shared" si="6"/>
        <v>8201.443601</v>
      </c>
      <c r="K102" s="12" t="str">
        <f t="shared" si="7"/>
        <v>F1</v>
      </c>
    </row>
    <row r="103">
      <c r="A103" s="8" t="s">
        <v>256</v>
      </c>
      <c r="B103" s="9">
        <v>141.0</v>
      </c>
      <c r="C103" s="9">
        <v>7148.936170212766</v>
      </c>
      <c r="D103" s="9">
        <v>4855.993101465939</v>
      </c>
      <c r="E103" s="9">
        <f t="shared" si="1"/>
        <v>-2292.943069</v>
      </c>
      <c r="F103" s="9">
        <f t="shared" si="2"/>
        <v>0.6792609398</v>
      </c>
      <c r="G103" s="11">
        <f t="shared" si="3"/>
        <v>7148.93617</v>
      </c>
      <c r="H103" s="11">
        <f t="shared" si="4"/>
        <v>1008000</v>
      </c>
      <c r="I103" s="12" t="str">
        <f t="shared" si="5"/>
        <v>F</v>
      </c>
      <c r="J103" s="11">
        <f t="shared" si="6"/>
        <v>12081.70213</v>
      </c>
      <c r="K103" s="12" t="str">
        <f t="shared" si="7"/>
        <v>E</v>
      </c>
    </row>
    <row r="104">
      <c r="A104" s="8" t="s">
        <v>451</v>
      </c>
      <c r="B104" s="9">
        <v>17233.0</v>
      </c>
      <c r="C104" s="9">
        <v>5831.674693901236</v>
      </c>
      <c r="D104" s="9">
        <v>4873.872312734985</v>
      </c>
      <c r="E104" s="9">
        <f t="shared" si="1"/>
        <v>-957.8023812</v>
      </c>
      <c r="F104" s="9">
        <f t="shared" si="2"/>
        <v>0.835758606</v>
      </c>
      <c r="G104" s="11">
        <f t="shared" si="3"/>
        <v>5831.674694</v>
      </c>
      <c r="H104" s="11">
        <f t="shared" si="4"/>
        <v>100497250</v>
      </c>
      <c r="I104" s="12" t="str">
        <f t="shared" si="5"/>
        <v>F</v>
      </c>
      <c r="J104" s="11">
        <f t="shared" si="6"/>
        <v>9855.530233</v>
      </c>
      <c r="K104" s="12" t="str">
        <f t="shared" si="7"/>
        <v>F1</v>
      </c>
    </row>
    <row r="105">
      <c r="A105" s="8" t="s">
        <v>364</v>
      </c>
      <c r="B105" s="9">
        <v>14817.0</v>
      </c>
      <c r="C105" s="9">
        <v>5535.514544104744</v>
      </c>
      <c r="D105" s="9">
        <v>4914.306216592224</v>
      </c>
      <c r="E105" s="9">
        <f t="shared" si="1"/>
        <v>-621.2083275</v>
      </c>
      <c r="F105" s="9">
        <f t="shared" si="2"/>
        <v>0.8877776722</v>
      </c>
      <c r="G105" s="11">
        <f t="shared" si="3"/>
        <v>5535.514544</v>
      </c>
      <c r="H105" s="11">
        <f t="shared" si="4"/>
        <v>82019719</v>
      </c>
      <c r="I105" s="12" t="str">
        <f t="shared" si="5"/>
        <v>F</v>
      </c>
      <c r="J105" s="11">
        <f t="shared" si="6"/>
        <v>9355.01958</v>
      </c>
      <c r="K105" s="12" t="str">
        <f t="shared" si="7"/>
        <v>F1</v>
      </c>
    </row>
    <row r="106">
      <c r="A106" s="8" t="s">
        <v>261</v>
      </c>
      <c r="B106" s="9">
        <v>7066.0</v>
      </c>
      <c r="C106" s="9">
        <v>4925.513020096236</v>
      </c>
      <c r="D106" s="9">
        <v>4951.086448598131</v>
      </c>
      <c r="E106" s="9">
        <f t="shared" si="1"/>
        <v>25.5734285</v>
      </c>
      <c r="F106" s="9">
        <f t="shared" si="2"/>
        <v>1.005192033</v>
      </c>
      <c r="G106" s="11">
        <f t="shared" si="3"/>
        <v>4951.086449</v>
      </c>
      <c r="H106" s="11">
        <f t="shared" si="4"/>
        <v>34984376.85</v>
      </c>
      <c r="I106" s="12" t="str">
        <f t="shared" si="5"/>
        <v>G</v>
      </c>
      <c r="J106" s="11">
        <f t="shared" si="6"/>
        <v>8367.336098</v>
      </c>
      <c r="K106" s="12" t="str">
        <f t="shared" si="7"/>
        <v>F1</v>
      </c>
    </row>
    <row r="107">
      <c r="A107" s="8" t="s">
        <v>392</v>
      </c>
      <c r="B107" s="9">
        <v>8372.0</v>
      </c>
      <c r="C107" s="9">
        <v>3887.3088867654087</v>
      </c>
      <c r="D107" s="9">
        <v>4954.150985413651</v>
      </c>
      <c r="E107" s="9">
        <f t="shared" si="1"/>
        <v>1066.842099</v>
      </c>
      <c r="F107" s="9">
        <f t="shared" si="2"/>
        <v>1.274442328</v>
      </c>
      <c r="G107" s="11">
        <f t="shared" si="3"/>
        <v>4954.150985</v>
      </c>
      <c r="H107" s="11">
        <f t="shared" si="4"/>
        <v>41476152.05</v>
      </c>
      <c r="I107" s="12" t="str">
        <f t="shared" si="5"/>
        <v>G</v>
      </c>
      <c r="J107" s="11">
        <f t="shared" si="6"/>
        <v>8372.515165</v>
      </c>
      <c r="K107" s="12" t="str">
        <f t="shared" si="7"/>
        <v>F1</v>
      </c>
    </row>
    <row r="108">
      <c r="A108" s="8" t="s">
        <v>363</v>
      </c>
      <c r="B108" s="9">
        <v>291.0</v>
      </c>
      <c r="C108" s="9">
        <v>4970.568335588633</v>
      </c>
      <c r="D108" s="9">
        <v>4970.568335588633</v>
      </c>
      <c r="E108" s="9">
        <f t="shared" si="1"/>
        <v>0</v>
      </c>
      <c r="F108" s="9">
        <f t="shared" si="2"/>
        <v>1</v>
      </c>
      <c r="G108" s="11">
        <f t="shared" si="3"/>
        <v>4970.568336</v>
      </c>
      <c r="H108" s="11">
        <f t="shared" si="4"/>
        <v>1446435.386</v>
      </c>
      <c r="I108" s="12" t="str">
        <f t="shared" si="5"/>
        <v>G</v>
      </c>
      <c r="J108" s="11">
        <f t="shared" si="6"/>
        <v>8400.260487</v>
      </c>
      <c r="K108" s="12" t="str">
        <f t="shared" si="7"/>
        <v>F1</v>
      </c>
    </row>
    <row r="109">
      <c r="A109" s="8" t="s">
        <v>91</v>
      </c>
      <c r="B109" s="9">
        <v>5749.0</v>
      </c>
      <c r="C109" s="9">
        <v>6282.831796834232</v>
      </c>
      <c r="D109" s="9">
        <v>5020.785509325681</v>
      </c>
      <c r="E109" s="9">
        <f t="shared" si="1"/>
        <v>-1262.046288</v>
      </c>
      <c r="F109" s="9">
        <f t="shared" si="2"/>
        <v>0.7991277933</v>
      </c>
      <c r="G109" s="11">
        <f t="shared" si="3"/>
        <v>6282.831797</v>
      </c>
      <c r="H109" s="11">
        <f t="shared" si="4"/>
        <v>36120000</v>
      </c>
      <c r="I109" s="12" t="str">
        <f t="shared" si="5"/>
        <v>F</v>
      </c>
      <c r="J109" s="11">
        <f t="shared" si="6"/>
        <v>10617.98574</v>
      </c>
      <c r="K109" s="12" t="str">
        <f t="shared" si="7"/>
        <v>F1</v>
      </c>
    </row>
    <row r="110">
      <c r="A110" s="8" t="s">
        <v>411</v>
      </c>
      <c r="B110" s="9">
        <v>1680.0</v>
      </c>
      <c r="C110" s="9">
        <v>3156.0119047619046</v>
      </c>
      <c r="D110" s="9">
        <v>5020.92781858831</v>
      </c>
      <c r="E110" s="9">
        <f t="shared" si="1"/>
        <v>1864.915914</v>
      </c>
      <c r="F110" s="9">
        <f t="shared" si="2"/>
        <v>1.590909024</v>
      </c>
      <c r="G110" s="11">
        <f t="shared" si="3"/>
        <v>5020.927819</v>
      </c>
      <c r="H110" s="11">
        <f t="shared" si="4"/>
        <v>8435158.735</v>
      </c>
      <c r="I110" s="12" t="str">
        <f t="shared" si="5"/>
        <v>F</v>
      </c>
      <c r="J110" s="11">
        <f t="shared" si="6"/>
        <v>8485.368013</v>
      </c>
      <c r="K110" s="12" t="str">
        <f t="shared" si="7"/>
        <v>F1</v>
      </c>
    </row>
    <row r="111">
      <c r="A111" s="8" t="s">
        <v>263</v>
      </c>
      <c r="B111" s="9">
        <v>773.0</v>
      </c>
      <c r="C111" s="9">
        <v>5030.109961190168</v>
      </c>
      <c r="D111" s="9">
        <v>5030.109961190168</v>
      </c>
      <c r="E111" s="9">
        <f t="shared" si="1"/>
        <v>0</v>
      </c>
      <c r="F111" s="9">
        <f t="shared" si="2"/>
        <v>1</v>
      </c>
      <c r="G111" s="11">
        <f t="shared" si="3"/>
        <v>5030.109961</v>
      </c>
      <c r="H111" s="11">
        <f t="shared" si="4"/>
        <v>3888275</v>
      </c>
      <c r="I111" s="12" t="str">
        <f t="shared" si="5"/>
        <v>F</v>
      </c>
      <c r="J111" s="11">
        <f t="shared" si="6"/>
        <v>8500.885834</v>
      </c>
      <c r="K111" s="12" t="str">
        <f t="shared" si="7"/>
        <v>F1</v>
      </c>
    </row>
    <row r="112">
      <c r="A112" s="8" t="s">
        <v>448</v>
      </c>
      <c r="B112" s="9">
        <v>301.0</v>
      </c>
      <c r="C112" s="9">
        <v>3052.4916943521594</v>
      </c>
      <c r="D112" s="9">
        <v>5056.8421052631575</v>
      </c>
      <c r="E112" s="9">
        <f t="shared" si="1"/>
        <v>2004.350411</v>
      </c>
      <c r="F112" s="9">
        <f t="shared" si="2"/>
        <v>1.656627638</v>
      </c>
      <c r="G112" s="11">
        <f t="shared" si="3"/>
        <v>5056.842105</v>
      </c>
      <c r="H112" s="11">
        <f t="shared" si="4"/>
        <v>1522109.474</v>
      </c>
      <c r="I112" s="12" t="str">
        <f t="shared" si="5"/>
        <v>F</v>
      </c>
      <c r="J112" s="11">
        <f t="shared" si="6"/>
        <v>8546.063158</v>
      </c>
      <c r="K112" s="12" t="str">
        <f t="shared" si="7"/>
        <v>F1</v>
      </c>
    </row>
    <row r="113">
      <c r="A113" s="8" t="s">
        <v>270</v>
      </c>
      <c r="B113" s="9">
        <v>6634.0</v>
      </c>
      <c r="C113" s="9">
        <v>5249.088031353633</v>
      </c>
      <c r="D113" s="9">
        <v>5066.725521669342</v>
      </c>
      <c r="E113" s="9">
        <f t="shared" si="1"/>
        <v>-182.3625097</v>
      </c>
      <c r="F113" s="9">
        <f t="shared" si="2"/>
        <v>0.9652582489</v>
      </c>
      <c r="G113" s="11">
        <f t="shared" si="3"/>
        <v>5249.088031</v>
      </c>
      <c r="H113" s="11">
        <f t="shared" si="4"/>
        <v>34822450</v>
      </c>
      <c r="I113" s="12" t="str">
        <f t="shared" si="5"/>
        <v>F</v>
      </c>
      <c r="J113" s="11">
        <f t="shared" si="6"/>
        <v>8870.958773</v>
      </c>
      <c r="K113" s="12" t="str">
        <f t="shared" si="7"/>
        <v>F1</v>
      </c>
    </row>
    <row r="114">
      <c r="A114" s="8" t="s">
        <v>231</v>
      </c>
      <c r="B114" s="9">
        <v>892.0</v>
      </c>
      <c r="C114" s="9">
        <v>10096.973094170404</v>
      </c>
      <c r="D114" s="9">
        <v>5095.708737864078</v>
      </c>
      <c r="E114" s="9">
        <f t="shared" si="1"/>
        <v>-5001.264356</v>
      </c>
      <c r="F114" s="9">
        <f t="shared" si="2"/>
        <v>0.5046768661</v>
      </c>
      <c r="G114" s="11">
        <f t="shared" si="3"/>
        <v>10096.97309</v>
      </c>
      <c r="H114" s="11">
        <f t="shared" si="4"/>
        <v>9006500</v>
      </c>
      <c r="I114" s="12" t="str">
        <f t="shared" si="5"/>
        <v>F1</v>
      </c>
      <c r="J114" s="11">
        <f t="shared" si="6"/>
        <v>17063.88453</v>
      </c>
      <c r="K114" s="12" t="str">
        <f t="shared" si="7"/>
        <v>E1</v>
      </c>
    </row>
    <row r="115">
      <c r="A115" s="8" t="s">
        <v>344</v>
      </c>
      <c r="B115" s="9">
        <v>2788.0</v>
      </c>
      <c r="C115" s="9">
        <v>5706.151362984218</v>
      </c>
      <c r="D115" s="9">
        <v>5116.238583410997</v>
      </c>
      <c r="E115" s="9">
        <f t="shared" si="1"/>
        <v>-589.9127796</v>
      </c>
      <c r="F115" s="9">
        <f t="shared" si="2"/>
        <v>0.8966180983</v>
      </c>
      <c r="G115" s="11">
        <f t="shared" si="3"/>
        <v>5706.151363</v>
      </c>
      <c r="H115" s="11">
        <f t="shared" si="4"/>
        <v>15908750</v>
      </c>
      <c r="I115" s="12" t="str">
        <f t="shared" si="5"/>
        <v>F</v>
      </c>
      <c r="J115" s="11">
        <f t="shared" si="6"/>
        <v>9643.395803</v>
      </c>
      <c r="K115" s="12" t="str">
        <f t="shared" si="7"/>
        <v>F1</v>
      </c>
    </row>
    <row r="116">
      <c r="A116" s="8" t="s">
        <v>368</v>
      </c>
      <c r="B116" s="9">
        <v>2152.0</v>
      </c>
      <c r="C116" s="9">
        <v>4985.861988847583</v>
      </c>
      <c r="D116" s="9">
        <v>5150.24703087886</v>
      </c>
      <c r="E116" s="9">
        <f t="shared" si="1"/>
        <v>164.385042</v>
      </c>
      <c r="F116" s="9">
        <f t="shared" si="2"/>
        <v>1.032970235</v>
      </c>
      <c r="G116" s="11">
        <f t="shared" si="3"/>
        <v>5150.247031</v>
      </c>
      <c r="H116" s="11">
        <f t="shared" si="4"/>
        <v>11083331.61</v>
      </c>
      <c r="I116" s="12" t="str">
        <f t="shared" si="5"/>
        <v>F</v>
      </c>
      <c r="J116" s="11">
        <f t="shared" si="6"/>
        <v>8703.917482</v>
      </c>
      <c r="K116" s="12" t="str">
        <f t="shared" si="7"/>
        <v>F1</v>
      </c>
    </row>
    <row r="117">
      <c r="A117" s="8" t="s">
        <v>324</v>
      </c>
      <c r="B117" s="9">
        <v>67.0</v>
      </c>
      <c r="C117" s="9">
        <v>5160.0</v>
      </c>
      <c r="D117" s="9">
        <v>5160.0</v>
      </c>
      <c r="E117" s="9">
        <f t="shared" si="1"/>
        <v>0</v>
      </c>
      <c r="F117" s="9">
        <f t="shared" si="2"/>
        <v>1</v>
      </c>
      <c r="G117" s="11">
        <f t="shared" si="3"/>
        <v>5160</v>
      </c>
      <c r="H117" s="11">
        <f t="shared" si="4"/>
        <v>345720</v>
      </c>
      <c r="I117" s="12" t="str">
        <f t="shared" si="5"/>
        <v>F</v>
      </c>
      <c r="J117" s="11">
        <f t="shared" si="6"/>
        <v>8720.4</v>
      </c>
      <c r="K117" s="12" t="str">
        <f t="shared" si="7"/>
        <v>F1</v>
      </c>
    </row>
    <row r="118">
      <c r="A118" s="8" t="s">
        <v>32</v>
      </c>
      <c r="B118" s="9">
        <v>210.0</v>
      </c>
      <c r="C118" s="9">
        <v>10857.142857142857</v>
      </c>
      <c r="D118" s="9">
        <v>5193.27731092437</v>
      </c>
      <c r="E118" s="9">
        <f t="shared" si="1"/>
        <v>-5663.865546</v>
      </c>
      <c r="F118" s="9">
        <f t="shared" si="2"/>
        <v>0.4783281734</v>
      </c>
      <c r="G118" s="11">
        <f t="shared" si="3"/>
        <v>10857.14286</v>
      </c>
      <c r="H118" s="11">
        <f t="shared" si="4"/>
        <v>2280000</v>
      </c>
      <c r="I118" s="12" t="str">
        <f t="shared" si="5"/>
        <v>F1</v>
      </c>
      <c r="J118" s="11">
        <f t="shared" si="6"/>
        <v>18348.57143</v>
      </c>
      <c r="K118" s="12" t="str">
        <f t="shared" si="7"/>
        <v>E1</v>
      </c>
    </row>
    <row r="119">
      <c r="A119" s="8" t="s">
        <v>58</v>
      </c>
      <c r="B119" s="9">
        <v>390.0</v>
      </c>
      <c r="C119" s="9">
        <v>15192.820512820514</v>
      </c>
      <c r="D119" s="9">
        <v>5214.165261382799</v>
      </c>
      <c r="E119" s="9">
        <f t="shared" si="1"/>
        <v>-9978.655251</v>
      </c>
      <c r="F119" s="9">
        <f t="shared" si="2"/>
        <v>0.3431992932</v>
      </c>
      <c r="G119" s="11">
        <f t="shared" si="3"/>
        <v>15192.82051</v>
      </c>
      <c r="H119" s="11">
        <f t="shared" si="4"/>
        <v>5925200</v>
      </c>
      <c r="I119" s="12" t="str">
        <f t="shared" si="5"/>
        <v>E</v>
      </c>
      <c r="J119" s="11">
        <f t="shared" si="6"/>
        <v>25675.86667</v>
      </c>
      <c r="K119" s="12" t="str">
        <f t="shared" si="7"/>
        <v>D1</v>
      </c>
    </row>
    <row r="120">
      <c r="A120" s="8" t="s">
        <v>453</v>
      </c>
      <c r="B120" s="9">
        <v>2053.0</v>
      </c>
      <c r="C120" s="10">
        <v>5277.0</v>
      </c>
      <c r="D120" s="9">
        <v>5277.305009511731</v>
      </c>
      <c r="E120" s="9">
        <f t="shared" si="1"/>
        <v>0.3050095117</v>
      </c>
      <c r="F120" s="9">
        <f t="shared" si="2"/>
        <v>1.0000578</v>
      </c>
      <c r="G120" s="11">
        <f t="shared" si="3"/>
        <v>5277.30501</v>
      </c>
      <c r="H120" s="11">
        <f t="shared" si="4"/>
        <v>10834307.18</v>
      </c>
      <c r="I120" s="12" t="str">
        <f t="shared" si="5"/>
        <v>F</v>
      </c>
      <c r="J120" s="11">
        <f t="shared" si="6"/>
        <v>8918.645466</v>
      </c>
      <c r="K120" s="12" t="str">
        <f t="shared" si="7"/>
        <v>F1</v>
      </c>
    </row>
    <row r="121">
      <c r="A121" s="8" t="s">
        <v>30</v>
      </c>
      <c r="B121" s="9">
        <v>5544.0</v>
      </c>
      <c r="C121" s="9">
        <v>5298.701298701299</v>
      </c>
      <c r="D121" s="9">
        <v>5298.701298701299</v>
      </c>
      <c r="E121" s="9">
        <f t="shared" si="1"/>
        <v>0</v>
      </c>
      <c r="F121" s="9">
        <f t="shared" si="2"/>
        <v>1</v>
      </c>
      <c r="G121" s="11">
        <f t="shared" si="3"/>
        <v>5298.701299</v>
      </c>
      <c r="H121" s="11">
        <f t="shared" si="4"/>
        <v>29376000</v>
      </c>
      <c r="I121" s="12" t="str">
        <f t="shared" si="5"/>
        <v>F</v>
      </c>
      <c r="J121" s="11">
        <f t="shared" si="6"/>
        <v>8954.805195</v>
      </c>
      <c r="K121" s="12" t="str">
        <f t="shared" si="7"/>
        <v>F1</v>
      </c>
    </row>
    <row r="122">
      <c r="A122" s="8" t="s">
        <v>241</v>
      </c>
      <c r="B122" s="9">
        <v>9739.0</v>
      </c>
      <c r="C122" s="9">
        <v>4560.371906766609</v>
      </c>
      <c r="D122" s="9">
        <v>5334.713290857905</v>
      </c>
      <c r="E122" s="9">
        <f t="shared" si="1"/>
        <v>774.3413841</v>
      </c>
      <c r="F122" s="9">
        <f t="shared" si="2"/>
        <v>1.169797859</v>
      </c>
      <c r="G122" s="11">
        <f t="shared" si="3"/>
        <v>5334.713291</v>
      </c>
      <c r="H122" s="11">
        <f t="shared" si="4"/>
        <v>51954772.74</v>
      </c>
      <c r="I122" s="12" t="str">
        <f t="shared" si="5"/>
        <v>F</v>
      </c>
      <c r="J122" s="11">
        <f t="shared" si="6"/>
        <v>9015.665462</v>
      </c>
      <c r="K122" s="12" t="str">
        <f t="shared" si="7"/>
        <v>F1</v>
      </c>
    </row>
    <row r="123">
      <c r="A123" s="8" t="s">
        <v>117</v>
      </c>
      <c r="B123" s="9">
        <v>130.0</v>
      </c>
      <c r="C123" s="9">
        <v>8461.538461538461</v>
      </c>
      <c r="D123" s="9">
        <v>5380.1682692307695</v>
      </c>
      <c r="E123" s="9">
        <f t="shared" si="1"/>
        <v>-3081.370192</v>
      </c>
      <c r="F123" s="9">
        <f t="shared" si="2"/>
        <v>0.6358380682</v>
      </c>
      <c r="G123" s="11">
        <f t="shared" si="3"/>
        <v>8461.538462</v>
      </c>
      <c r="H123" s="11">
        <f t="shared" si="4"/>
        <v>1100000</v>
      </c>
      <c r="I123" s="12" t="str">
        <f t="shared" si="5"/>
        <v>F1</v>
      </c>
      <c r="J123" s="11">
        <f t="shared" si="6"/>
        <v>14300</v>
      </c>
      <c r="K123" s="12" t="str">
        <f t="shared" si="7"/>
        <v>E</v>
      </c>
    </row>
    <row r="124">
      <c r="A124" s="8" t="s">
        <v>427</v>
      </c>
      <c r="B124" s="9">
        <v>51038.0</v>
      </c>
      <c r="C124" s="9">
        <v>4676.703730553705</v>
      </c>
      <c r="D124" s="9">
        <v>5418.4658771494705</v>
      </c>
      <c r="E124" s="9">
        <f t="shared" si="1"/>
        <v>741.7621466</v>
      </c>
      <c r="F124" s="9">
        <f t="shared" si="2"/>
        <v>1.158607898</v>
      </c>
      <c r="G124" s="11">
        <f t="shared" si="3"/>
        <v>5418.465877</v>
      </c>
      <c r="H124" s="11">
        <f t="shared" si="4"/>
        <v>276547661.4</v>
      </c>
      <c r="I124" s="12" t="str">
        <f t="shared" si="5"/>
        <v>F</v>
      </c>
      <c r="J124" s="11">
        <f t="shared" si="6"/>
        <v>9157.207332</v>
      </c>
      <c r="K124" s="12" t="str">
        <f t="shared" si="7"/>
        <v>F1</v>
      </c>
    </row>
    <row r="125">
      <c r="A125" s="8" t="s">
        <v>339</v>
      </c>
      <c r="B125" s="9">
        <v>113.0</v>
      </c>
      <c r="C125" s="9">
        <v>5425.75</v>
      </c>
      <c r="D125" s="9">
        <v>5425.75</v>
      </c>
      <c r="E125" s="9">
        <f t="shared" si="1"/>
        <v>0</v>
      </c>
      <c r="F125" s="9">
        <f t="shared" si="2"/>
        <v>1</v>
      </c>
      <c r="G125" s="11">
        <f t="shared" si="3"/>
        <v>5425.75</v>
      </c>
      <c r="H125" s="11">
        <f t="shared" si="4"/>
        <v>613109.75</v>
      </c>
      <c r="I125" s="12" t="str">
        <f t="shared" si="5"/>
        <v>F</v>
      </c>
      <c r="J125" s="11">
        <f t="shared" si="6"/>
        <v>9169.5175</v>
      </c>
      <c r="K125" s="12" t="str">
        <f t="shared" si="7"/>
        <v>F1</v>
      </c>
    </row>
    <row r="126">
      <c r="A126" s="8" t="s">
        <v>222</v>
      </c>
      <c r="B126" s="9">
        <v>1721.0</v>
      </c>
      <c r="C126" s="9">
        <v>5389.871586287042</v>
      </c>
      <c r="D126" s="9">
        <v>5427.567778936392</v>
      </c>
      <c r="E126" s="9">
        <f t="shared" si="1"/>
        <v>37.69619265</v>
      </c>
      <c r="F126" s="9">
        <f t="shared" si="2"/>
        <v>1.006993894</v>
      </c>
      <c r="G126" s="11">
        <f t="shared" si="3"/>
        <v>5427.567779</v>
      </c>
      <c r="H126" s="11">
        <f t="shared" si="4"/>
        <v>9340844.148</v>
      </c>
      <c r="I126" s="12" t="str">
        <f t="shared" si="5"/>
        <v>F</v>
      </c>
      <c r="J126" s="11">
        <f t="shared" si="6"/>
        <v>9172.589546</v>
      </c>
      <c r="K126" s="12" t="str">
        <f t="shared" si="7"/>
        <v>F1</v>
      </c>
    </row>
    <row r="127">
      <c r="A127" s="8" t="s">
        <v>358</v>
      </c>
      <c r="B127" s="9">
        <v>654.0</v>
      </c>
      <c r="C127" s="9">
        <v>5474.807350326023</v>
      </c>
      <c r="D127" s="9">
        <v>5474.807350326023</v>
      </c>
      <c r="E127" s="9">
        <f t="shared" si="1"/>
        <v>0</v>
      </c>
      <c r="F127" s="9">
        <f t="shared" si="2"/>
        <v>1</v>
      </c>
      <c r="G127" s="11">
        <f t="shared" si="3"/>
        <v>5474.80735</v>
      </c>
      <c r="H127" s="11">
        <f t="shared" si="4"/>
        <v>3580524.007</v>
      </c>
      <c r="I127" s="12" t="str">
        <f t="shared" si="5"/>
        <v>F</v>
      </c>
      <c r="J127" s="11">
        <f t="shared" si="6"/>
        <v>9252.424422</v>
      </c>
      <c r="K127" s="12" t="str">
        <f t="shared" si="7"/>
        <v>F1</v>
      </c>
    </row>
    <row r="128">
      <c r="A128" s="8" t="s">
        <v>92</v>
      </c>
      <c r="B128" s="9">
        <v>570.0</v>
      </c>
      <c r="C128" s="9">
        <v>7892.982456140351</v>
      </c>
      <c r="D128" s="9">
        <v>5606.984126984127</v>
      </c>
      <c r="E128" s="9">
        <f t="shared" si="1"/>
        <v>-2285.998329</v>
      </c>
      <c r="F128" s="9">
        <f t="shared" si="2"/>
        <v>0.7103758507</v>
      </c>
      <c r="G128" s="11">
        <f t="shared" si="3"/>
        <v>7892.982456</v>
      </c>
      <c r="H128" s="11">
        <f t="shared" si="4"/>
        <v>4499000</v>
      </c>
      <c r="I128" s="12" t="str">
        <f t="shared" si="5"/>
        <v>F</v>
      </c>
      <c r="J128" s="11">
        <f t="shared" si="6"/>
        <v>13339.14035</v>
      </c>
      <c r="K128" s="12" t="str">
        <f t="shared" si="7"/>
        <v>E</v>
      </c>
    </row>
    <row r="129">
      <c r="A129" s="8" t="s">
        <v>383</v>
      </c>
      <c r="B129" s="9">
        <v>595.0</v>
      </c>
      <c r="C129" s="10">
        <v>5770.0</v>
      </c>
      <c r="D129" s="10">
        <v>5770.0</v>
      </c>
      <c r="E129" s="9">
        <f t="shared" si="1"/>
        <v>0</v>
      </c>
      <c r="F129" s="9">
        <f t="shared" si="2"/>
        <v>1</v>
      </c>
      <c r="G129" s="11">
        <f t="shared" si="3"/>
        <v>5770</v>
      </c>
      <c r="H129" s="11">
        <f t="shared" si="4"/>
        <v>3433150</v>
      </c>
      <c r="I129" s="12" t="str">
        <f t="shared" si="5"/>
        <v>F</v>
      </c>
      <c r="J129" s="11">
        <f t="shared" si="6"/>
        <v>9751.3</v>
      </c>
      <c r="K129" s="12" t="str">
        <f t="shared" si="7"/>
        <v>F1</v>
      </c>
    </row>
    <row r="130">
      <c r="A130" s="8" t="s">
        <v>48</v>
      </c>
      <c r="B130" s="9">
        <v>131.0</v>
      </c>
      <c r="C130" s="9">
        <v>5809.923664122138</v>
      </c>
      <c r="D130" s="9">
        <v>5809.923664122138</v>
      </c>
      <c r="E130" s="9">
        <f t="shared" si="1"/>
        <v>0</v>
      </c>
      <c r="F130" s="9">
        <f t="shared" si="2"/>
        <v>1</v>
      </c>
      <c r="G130" s="11">
        <f t="shared" si="3"/>
        <v>5809.923664</v>
      </c>
      <c r="H130" s="11">
        <f t="shared" si="4"/>
        <v>761100</v>
      </c>
      <c r="I130" s="12" t="str">
        <f t="shared" si="5"/>
        <v>F</v>
      </c>
      <c r="J130" s="11">
        <f t="shared" si="6"/>
        <v>9818.770992</v>
      </c>
      <c r="K130" s="12" t="str">
        <f t="shared" si="7"/>
        <v>F1</v>
      </c>
    </row>
    <row r="131">
      <c r="A131" s="8" t="s">
        <v>176</v>
      </c>
      <c r="B131" s="9">
        <v>11318.0</v>
      </c>
      <c r="C131" s="9">
        <v>8507.931613359251</v>
      </c>
      <c r="D131" s="9">
        <v>5826.474756421612</v>
      </c>
      <c r="E131" s="9">
        <f t="shared" si="1"/>
        <v>-2681.456857</v>
      </c>
      <c r="F131" s="9">
        <f t="shared" si="2"/>
        <v>0.6848285836</v>
      </c>
      <c r="G131" s="11">
        <f t="shared" si="3"/>
        <v>8507.931613</v>
      </c>
      <c r="H131" s="11">
        <f t="shared" si="4"/>
        <v>96292770</v>
      </c>
      <c r="I131" s="12" t="str">
        <f t="shared" si="5"/>
        <v>F1</v>
      </c>
      <c r="J131" s="11">
        <f t="shared" si="6"/>
        <v>14378.40443</v>
      </c>
      <c r="K131" s="12" t="str">
        <f t="shared" si="7"/>
        <v>E</v>
      </c>
    </row>
    <row r="132">
      <c r="A132" s="8" t="s">
        <v>224</v>
      </c>
      <c r="B132" s="9">
        <v>2605.0</v>
      </c>
      <c r="C132" s="9">
        <v>10647.140115163147</v>
      </c>
      <c r="D132" s="9">
        <v>5833.567458312279</v>
      </c>
      <c r="E132" s="9">
        <f t="shared" si="1"/>
        <v>-4813.572657</v>
      </c>
      <c r="F132" s="9">
        <f t="shared" si="2"/>
        <v>0.5478999426</v>
      </c>
      <c r="G132" s="11">
        <f t="shared" si="3"/>
        <v>10647.14012</v>
      </c>
      <c r="H132" s="11">
        <f t="shared" si="4"/>
        <v>27735800</v>
      </c>
      <c r="I132" s="12" t="str">
        <f t="shared" si="5"/>
        <v>F1</v>
      </c>
      <c r="J132" s="11">
        <f t="shared" si="6"/>
        <v>17993.66679</v>
      </c>
      <c r="K132" s="12" t="str">
        <f t="shared" si="7"/>
        <v>E1</v>
      </c>
    </row>
    <row r="133">
      <c r="A133" s="8" t="s">
        <v>225</v>
      </c>
      <c r="B133" s="9">
        <v>11088.0</v>
      </c>
      <c r="C133" s="9">
        <v>5219.761904761905</v>
      </c>
      <c r="D133" s="9">
        <v>5931.722830665543</v>
      </c>
      <c r="E133" s="9">
        <f t="shared" si="1"/>
        <v>711.9609259</v>
      </c>
      <c r="F133" s="9">
        <f t="shared" si="2"/>
        <v>1.136397203</v>
      </c>
      <c r="G133" s="11">
        <f t="shared" si="3"/>
        <v>5931.722831</v>
      </c>
      <c r="H133" s="11">
        <f t="shared" si="4"/>
        <v>65770942.75</v>
      </c>
      <c r="I133" s="12" t="str">
        <f t="shared" si="5"/>
        <v>F</v>
      </c>
      <c r="J133" s="11">
        <f t="shared" si="6"/>
        <v>10024.61158</v>
      </c>
      <c r="K133" s="12" t="str">
        <f t="shared" si="7"/>
        <v>F1</v>
      </c>
    </row>
    <row r="134">
      <c r="A134" s="8" t="s">
        <v>160</v>
      </c>
      <c r="B134" s="9">
        <v>171.0</v>
      </c>
      <c r="C134" s="9">
        <v>1056.140350877193</v>
      </c>
      <c r="D134" s="9">
        <v>5935.582822085889</v>
      </c>
      <c r="E134" s="9">
        <f t="shared" si="1"/>
        <v>4879.442471</v>
      </c>
      <c r="F134" s="9">
        <f t="shared" si="2"/>
        <v>5.620070114</v>
      </c>
      <c r="G134" s="11">
        <f t="shared" si="3"/>
        <v>5935.582822</v>
      </c>
      <c r="H134" s="11">
        <f t="shared" si="4"/>
        <v>1014984.663</v>
      </c>
      <c r="I134" s="12" t="str">
        <f t="shared" si="5"/>
        <v>F</v>
      </c>
      <c r="J134" s="11">
        <f t="shared" si="6"/>
        <v>10031.13497</v>
      </c>
      <c r="K134" s="12" t="str">
        <f t="shared" si="7"/>
        <v>F1</v>
      </c>
    </row>
    <row r="135">
      <c r="A135" s="8" t="s">
        <v>430</v>
      </c>
      <c r="B135" s="9">
        <v>21652.0</v>
      </c>
      <c r="C135" s="9">
        <v>4544.754064289673</v>
      </c>
      <c r="D135" s="9">
        <v>5936.878012995179</v>
      </c>
      <c r="E135" s="9">
        <f t="shared" si="1"/>
        <v>1392.123949</v>
      </c>
      <c r="F135" s="9">
        <f t="shared" si="2"/>
        <v>1.306314474</v>
      </c>
      <c r="G135" s="11">
        <f t="shared" si="3"/>
        <v>5936.878013</v>
      </c>
      <c r="H135" s="11">
        <f t="shared" si="4"/>
        <v>128545282.7</v>
      </c>
      <c r="I135" s="12" t="str">
        <f t="shared" si="5"/>
        <v>F</v>
      </c>
      <c r="J135" s="11">
        <f t="shared" si="6"/>
        <v>10033.32384</v>
      </c>
      <c r="K135" s="12" t="str">
        <f t="shared" si="7"/>
        <v>F1</v>
      </c>
    </row>
    <row r="136">
      <c r="A136" s="8" t="s">
        <v>412</v>
      </c>
      <c r="B136" s="9">
        <v>5345.0</v>
      </c>
      <c r="C136" s="9">
        <v>2980.716557530402</v>
      </c>
      <c r="D136" s="9">
        <v>5952.526831785346</v>
      </c>
      <c r="E136" s="9">
        <f t="shared" si="1"/>
        <v>2971.810274</v>
      </c>
      <c r="F136" s="9">
        <f t="shared" si="2"/>
        <v>1.997012033</v>
      </c>
      <c r="G136" s="11">
        <f t="shared" si="3"/>
        <v>5952.526832</v>
      </c>
      <c r="H136" s="11">
        <f t="shared" si="4"/>
        <v>31816255.92</v>
      </c>
      <c r="I136" s="12" t="str">
        <f t="shared" si="5"/>
        <v>F</v>
      </c>
      <c r="J136" s="11">
        <f t="shared" si="6"/>
        <v>10059.77035</v>
      </c>
      <c r="K136" s="12" t="str">
        <f t="shared" si="7"/>
        <v>F1</v>
      </c>
    </row>
    <row r="137">
      <c r="A137" s="8" t="s">
        <v>237</v>
      </c>
      <c r="B137" s="9">
        <v>526.0</v>
      </c>
      <c r="C137" s="9">
        <v>1096.5779467680609</v>
      </c>
      <c r="D137" s="9">
        <v>5987.6543209876545</v>
      </c>
      <c r="E137" s="9">
        <f t="shared" si="1"/>
        <v>4891.076374</v>
      </c>
      <c r="F137" s="9">
        <f t="shared" si="2"/>
        <v>5.460308899</v>
      </c>
      <c r="G137" s="11">
        <f t="shared" si="3"/>
        <v>5987.654321</v>
      </c>
      <c r="H137" s="11">
        <f t="shared" si="4"/>
        <v>3149506.173</v>
      </c>
      <c r="I137" s="12" t="str">
        <f t="shared" si="5"/>
        <v>F</v>
      </c>
      <c r="J137" s="11">
        <f t="shared" si="6"/>
        <v>10119.1358</v>
      </c>
      <c r="K137" s="12" t="str">
        <f t="shared" si="7"/>
        <v>F1</v>
      </c>
    </row>
    <row r="138">
      <c r="A138" s="8" t="s">
        <v>59</v>
      </c>
      <c r="B138" s="9">
        <v>303.0</v>
      </c>
      <c r="C138" s="9">
        <v>1316.9636963696369</v>
      </c>
      <c r="D138" s="9">
        <v>6000.0</v>
      </c>
      <c r="E138" s="9">
        <f t="shared" si="1"/>
        <v>4683.036304</v>
      </c>
      <c r="F138" s="9">
        <f t="shared" si="2"/>
        <v>4.555934242</v>
      </c>
      <c r="G138" s="11">
        <f t="shared" si="3"/>
        <v>6000</v>
      </c>
      <c r="H138" s="11">
        <f t="shared" si="4"/>
        <v>1818000</v>
      </c>
      <c r="I138" s="12" t="str">
        <f t="shared" si="5"/>
        <v>F</v>
      </c>
      <c r="J138" s="11">
        <f t="shared" si="6"/>
        <v>10140</v>
      </c>
      <c r="K138" s="12" t="str">
        <f t="shared" si="7"/>
        <v>F1</v>
      </c>
    </row>
    <row r="139">
      <c r="A139" s="8" t="s">
        <v>387</v>
      </c>
      <c r="B139" s="9">
        <v>414.0</v>
      </c>
      <c r="C139" s="9">
        <v>6000.0</v>
      </c>
      <c r="D139" s="9">
        <v>6000.0</v>
      </c>
      <c r="E139" s="9">
        <f t="shared" si="1"/>
        <v>0</v>
      </c>
      <c r="F139" s="9">
        <f t="shared" si="2"/>
        <v>1</v>
      </c>
      <c r="G139" s="11">
        <f t="shared" si="3"/>
        <v>6000</v>
      </c>
      <c r="H139" s="11">
        <f t="shared" si="4"/>
        <v>2484000</v>
      </c>
      <c r="I139" s="12" t="str">
        <f t="shared" si="5"/>
        <v>F</v>
      </c>
      <c r="J139" s="11">
        <f t="shared" si="6"/>
        <v>10140</v>
      </c>
      <c r="K139" s="12" t="str">
        <f t="shared" si="7"/>
        <v>F1</v>
      </c>
    </row>
    <row r="140">
      <c r="A140" s="8" t="s">
        <v>184</v>
      </c>
      <c r="B140" s="9">
        <v>376.0</v>
      </c>
      <c r="C140" s="9">
        <v>6764.627659574468</v>
      </c>
      <c r="D140" s="9">
        <v>6000.0</v>
      </c>
      <c r="E140" s="9">
        <f t="shared" si="1"/>
        <v>-764.6276596</v>
      </c>
      <c r="F140" s="9">
        <f t="shared" si="2"/>
        <v>0.8869667781</v>
      </c>
      <c r="G140" s="11">
        <f t="shared" si="3"/>
        <v>6764.62766</v>
      </c>
      <c r="H140" s="11">
        <f t="shared" si="4"/>
        <v>2543500</v>
      </c>
      <c r="I140" s="12" t="str">
        <f t="shared" si="5"/>
        <v>F</v>
      </c>
      <c r="J140" s="11">
        <f t="shared" si="6"/>
        <v>11432.22074</v>
      </c>
      <c r="K140" s="12" t="str">
        <f t="shared" si="7"/>
        <v>F1</v>
      </c>
    </row>
    <row r="141">
      <c r="A141" s="8" t="s">
        <v>199</v>
      </c>
      <c r="B141" s="9">
        <v>1724.0</v>
      </c>
      <c r="C141" s="9">
        <v>3149.0719257540604</v>
      </c>
      <c r="D141" s="9">
        <v>6072.2816399286985</v>
      </c>
      <c r="E141" s="9">
        <f t="shared" si="1"/>
        <v>2923.209714</v>
      </c>
      <c r="F141" s="9">
        <f t="shared" si="2"/>
        <v>1.928276579</v>
      </c>
      <c r="G141" s="11">
        <f t="shared" si="3"/>
        <v>6072.28164</v>
      </c>
      <c r="H141" s="11">
        <f t="shared" si="4"/>
        <v>10468613.55</v>
      </c>
      <c r="I141" s="12" t="str">
        <f t="shared" si="5"/>
        <v>F</v>
      </c>
      <c r="J141" s="11">
        <f t="shared" si="6"/>
        <v>10262.15597</v>
      </c>
      <c r="K141" s="12" t="str">
        <f t="shared" si="7"/>
        <v>F1</v>
      </c>
    </row>
    <row r="142">
      <c r="A142" s="8" t="s">
        <v>285</v>
      </c>
      <c r="B142" s="9">
        <v>11795.0</v>
      </c>
      <c r="C142" s="9">
        <v>5810.065705807546</v>
      </c>
      <c r="D142" s="9">
        <v>6093.864009186352</v>
      </c>
      <c r="E142" s="9">
        <f t="shared" si="1"/>
        <v>283.7983034</v>
      </c>
      <c r="F142" s="9">
        <f t="shared" si="2"/>
        <v>1.048845971</v>
      </c>
      <c r="G142" s="11">
        <f t="shared" si="3"/>
        <v>6093.864009</v>
      </c>
      <c r="H142" s="11">
        <f t="shared" si="4"/>
        <v>71877125.99</v>
      </c>
      <c r="I142" s="12" t="str">
        <f t="shared" si="5"/>
        <v>F</v>
      </c>
      <c r="J142" s="11">
        <f t="shared" si="6"/>
        <v>10298.63018</v>
      </c>
      <c r="K142" s="12" t="str">
        <f t="shared" si="7"/>
        <v>F1</v>
      </c>
    </row>
    <row r="143">
      <c r="A143" s="8" t="s">
        <v>151</v>
      </c>
      <c r="B143" s="9">
        <v>7242.0</v>
      </c>
      <c r="C143" s="9">
        <v>5625.9003037834855</v>
      </c>
      <c r="D143" s="9">
        <v>6154.594022745306</v>
      </c>
      <c r="E143" s="9">
        <f t="shared" si="1"/>
        <v>528.693719</v>
      </c>
      <c r="F143" s="9">
        <f t="shared" si="2"/>
        <v>1.093974953</v>
      </c>
      <c r="G143" s="11">
        <f t="shared" si="3"/>
        <v>6154.594023</v>
      </c>
      <c r="H143" s="11">
        <f t="shared" si="4"/>
        <v>44571569.91</v>
      </c>
      <c r="I143" s="12" t="str">
        <f t="shared" si="5"/>
        <v>F</v>
      </c>
      <c r="J143" s="11">
        <f t="shared" si="6"/>
        <v>10401.2639</v>
      </c>
      <c r="K143" s="12" t="str">
        <f t="shared" si="7"/>
        <v>F1</v>
      </c>
    </row>
    <row r="144">
      <c r="A144" s="8" t="s">
        <v>132</v>
      </c>
      <c r="B144" s="9">
        <v>4027.0</v>
      </c>
      <c r="C144" s="9">
        <v>11277.874348149988</v>
      </c>
      <c r="D144" s="9">
        <v>6158.025213501423</v>
      </c>
      <c r="E144" s="9">
        <f t="shared" si="1"/>
        <v>-5119.849135</v>
      </c>
      <c r="F144" s="9">
        <f t="shared" si="2"/>
        <v>0.5460271168</v>
      </c>
      <c r="G144" s="11">
        <f t="shared" si="3"/>
        <v>11277.87435</v>
      </c>
      <c r="H144" s="11">
        <f t="shared" si="4"/>
        <v>45416000</v>
      </c>
      <c r="I144" s="12" t="str">
        <f t="shared" si="5"/>
        <v>F1</v>
      </c>
      <c r="J144" s="11">
        <f t="shared" si="6"/>
        <v>19059.60765</v>
      </c>
      <c r="K144" s="12" t="str">
        <f t="shared" si="7"/>
        <v>E1</v>
      </c>
    </row>
    <row r="145">
      <c r="A145" s="8" t="s">
        <v>227</v>
      </c>
      <c r="B145" s="9">
        <v>580.0</v>
      </c>
      <c r="C145" s="9">
        <v>4631.396551724138</v>
      </c>
      <c r="D145" s="9">
        <v>6174.513274336283</v>
      </c>
      <c r="E145" s="9">
        <f t="shared" si="1"/>
        <v>1543.116723</v>
      </c>
      <c r="F145" s="9">
        <f t="shared" si="2"/>
        <v>1.33318605</v>
      </c>
      <c r="G145" s="11">
        <f t="shared" si="3"/>
        <v>6174.513274</v>
      </c>
      <c r="H145" s="11">
        <f t="shared" si="4"/>
        <v>3581217.699</v>
      </c>
      <c r="I145" s="12" t="str">
        <f t="shared" si="5"/>
        <v>F</v>
      </c>
      <c r="J145" s="11">
        <f t="shared" si="6"/>
        <v>10434.92743</v>
      </c>
      <c r="K145" s="12" t="str">
        <f t="shared" si="7"/>
        <v>F1</v>
      </c>
    </row>
    <row r="146">
      <c r="A146" s="8" t="s">
        <v>379</v>
      </c>
      <c r="B146" s="9">
        <v>666.0</v>
      </c>
      <c r="C146" s="9">
        <v>19207.95795795796</v>
      </c>
      <c r="D146" s="9">
        <v>6235.0</v>
      </c>
      <c r="E146" s="9">
        <f t="shared" si="1"/>
        <v>-12972.95796</v>
      </c>
      <c r="F146" s="9">
        <f t="shared" si="2"/>
        <v>0.324605042</v>
      </c>
      <c r="G146" s="11">
        <f t="shared" si="3"/>
        <v>19207.95796</v>
      </c>
      <c r="H146" s="11">
        <f t="shared" si="4"/>
        <v>12792500</v>
      </c>
      <c r="I146" s="12" t="str">
        <f t="shared" si="5"/>
        <v>E1</v>
      </c>
      <c r="J146" s="11">
        <f t="shared" si="6"/>
        <v>32461.44895</v>
      </c>
      <c r="K146" s="12" t="str">
        <f t="shared" si="7"/>
        <v>C</v>
      </c>
    </row>
    <row r="147">
      <c r="A147" s="8" t="s">
        <v>276</v>
      </c>
      <c r="B147" s="9">
        <v>326.0</v>
      </c>
      <c r="C147" s="9">
        <v>8600.0</v>
      </c>
      <c r="D147" s="9">
        <v>6288.931411530815</v>
      </c>
      <c r="E147" s="9">
        <f t="shared" si="1"/>
        <v>-2311.068588</v>
      </c>
      <c r="F147" s="9">
        <f t="shared" si="2"/>
        <v>0.7312710944</v>
      </c>
      <c r="G147" s="11">
        <f t="shared" si="3"/>
        <v>8600</v>
      </c>
      <c r="H147" s="11">
        <f t="shared" si="4"/>
        <v>2803600</v>
      </c>
      <c r="I147" s="12" t="str">
        <f t="shared" si="5"/>
        <v>F1</v>
      </c>
      <c r="J147" s="11">
        <f t="shared" si="6"/>
        <v>14534</v>
      </c>
      <c r="K147" s="12" t="str">
        <f t="shared" si="7"/>
        <v>E</v>
      </c>
    </row>
    <row r="148">
      <c r="A148" s="8" t="s">
        <v>397</v>
      </c>
      <c r="B148" s="9">
        <v>56.0</v>
      </c>
      <c r="C148" s="9">
        <v>6300.0</v>
      </c>
      <c r="D148" s="9">
        <v>6300.0</v>
      </c>
      <c r="E148" s="9">
        <f t="shared" si="1"/>
        <v>0</v>
      </c>
      <c r="F148" s="9">
        <f t="shared" si="2"/>
        <v>1</v>
      </c>
      <c r="G148" s="11">
        <f t="shared" si="3"/>
        <v>6300</v>
      </c>
      <c r="H148" s="11">
        <f t="shared" si="4"/>
        <v>352800</v>
      </c>
      <c r="I148" s="12" t="str">
        <f t="shared" si="5"/>
        <v>F</v>
      </c>
      <c r="J148" s="11">
        <f t="shared" si="6"/>
        <v>10647</v>
      </c>
      <c r="K148" s="12" t="str">
        <f t="shared" si="7"/>
        <v>F1</v>
      </c>
    </row>
    <row r="149">
      <c r="A149" s="8" t="s">
        <v>217</v>
      </c>
      <c r="B149" s="9">
        <v>11109.0</v>
      </c>
      <c r="C149" s="9">
        <v>7054.17949410388</v>
      </c>
      <c r="D149" s="9">
        <v>6318.928229665072</v>
      </c>
      <c r="E149" s="9">
        <f t="shared" si="1"/>
        <v>-735.2512644</v>
      </c>
      <c r="F149" s="9">
        <f t="shared" si="2"/>
        <v>0.8957708313</v>
      </c>
      <c r="G149" s="11">
        <f t="shared" si="3"/>
        <v>7054.179494</v>
      </c>
      <c r="H149" s="11">
        <f t="shared" si="4"/>
        <v>78364880</v>
      </c>
      <c r="I149" s="12" t="str">
        <f t="shared" si="5"/>
        <v>F</v>
      </c>
      <c r="J149" s="11">
        <f t="shared" si="6"/>
        <v>11921.56335</v>
      </c>
      <c r="K149" s="12" t="str">
        <f t="shared" si="7"/>
        <v>F1</v>
      </c>
    </row>
    <row r="150">
      <c r="A150" s="8" t="s">
        <v>156</v>
      </c>
      <c r="B150" s="9">
        <v>1521.0</v>
      </c>
      <c r="C150" s="9">
        <v>6355.029585798817</v>
      </c>
      <c r="D150" s="9">
        <v>6373.5015772870665</v>
      </c>
      <c r="E150" s="9">
        <f t="shared" si="1"/>
        <v>18.47199149</v>
      </c>
      <c r="F150" s="9">
        <f t="shared" si="2"/>
        <v>1.002906673</v>
      </c>
      <c r="G150" s="11">
        <f t="shared" si="3"/>
        <v>6373.501577</v>
      </c>
      <c r="H150" s="11">
        <f t="shared" si="4"/>
        <v>9694095.899</v>
      </c>
      <c r="I150" s="12" t="str">
        <f t="shared" si="5"/>
        <v>F</v>
      </c>
      <c r="J150" s="11">
        <f t="shared" si="6"/>
        <v>10771.21767</v>
      </c>
      <c r="K150" s="12" t="str">
        <f t="shared" si="7"/>
        <v>F1</v>
      </c>
    </row>
    <row r="151">
      <c r="A151" s="8" t="s">
        <v>63</v>
      </c>
      <c r="B151" s="9">
        <v>229.0</v>
      </c>
      <c r="C151" s="9">
        <v>11441.048034934498</v>
      </c>
      <c r="D151" s="9">
        <v>6382.070707070707</v>
      </c>
      <c r="E151" s="9">
        <f t="shared" si="1"/>
        <v>-5058.977328</v>
      </c>
      <c r="F151" s="9">
        <f t="shared" si="2"/>
        <v>0.5578222107</v>
      </c>
      <c r="G151" s="11">
        <f t="shared" si="3"/>
        <v>11441.04803</v>
      </c>
      <c r="H151" s="11">
        <f t="shared" si="4"/>
        <v>2620000</v>
      </c>
      <c r="I151" s="12" t="str">
        <f t="shared" si="5"/>
        <v>F1</v>
      </c>
      <c r="J151" s="11">
        <f t="shared" si="6"/>
        <v>19335.37118</v>
      </c>
      <c r="K151" s="12" t="str">
        <f t="shared" si="7"/>
        <v>E1</v>
      </c>
    </row>
    <row r="152">
      <c r="A152" s="8" t="s">
        <v>452</v>
      </c>
      <c r="B152" s="9">
        <v>2248.0</v>
      </c>
      <c r="C152" s="9">
        <v>7494.666370106762</v>
      </c>
      <c r="D152" s="9">
        <v>6426.215224913495</v>
      </c>
      <c r="E152" s="9">
        <f t="shared" si="1"/>
        <v>-1068.451145</v>
      </c>
      <c r="F152" s="9">
        <f t="shared" si="2"/>
        <v>0.8574384646</v>
      </c>
      <c r="G152" s="11">
        <f t="shared" si="3"/>
        <v>7494.66637</v>
      </c>
      <c r="H152" s="11">
        <f t="shared" si="4"/>
        <v>16848010</v>
      </c>
      <c r="I152" s="12" t="str">
        <f t="shared" si="5"/>
        <v>F</v>
      </c>
      <c r="J152" s="11">
        <f t="shared" si="6"/>
        <v>12665.98617</v>
      </c>
      <c r="K152" s="12" t="str">
        <f t="shared" si="7"/>
        <v>E</v>
      </c>
    </row>
    <row r="153">
      <c r="A153" s="8" t="s">
        <v>219</v>
      </c>
      <c r="B153" s="9">
        <v>18077.0</v>
      </c>
      <c r="C153" s="9">
        <v>5627.247884051557</v>
      </c>
      <c r="D153" s="9">
        <v>6432.262342084043</v>
      </c>
      <c r="E153" s="9">
        <f t="shared" si="1"/>
        <v>805.014458</v>
      </c>
      <c r="F153" s="9">
        <f t="shared" si="2"/>
        <v>1.143056513</v>
      </c>
      <c r="G153" s="11">
        <f t="shared" si="3"/>
        <v>6432.262342</v>
      </c>
      <c r="H153" s="11">
        <f t="shared" si="4"/>
        <v>116276006.4</v>
      </c>
      <c r="I153" s="12" t="str">
        <f t="shared" si="5"/>
        <v>F</v>
      </c>
      <c r="J153" s="11">
        <f t="shared" si="6"/>
        <v>10870.52336</v>
      </c>
      <c r="K153" s="12" t="str">
        <f t="shared" si="7"/>
        <v>F1</v>
      </c>
    </row>
    <row r="154">
      <c r="A154" s="8" t="s">
        <v>428</v>
      </c>
      <c r="B154" s="9">
        <v>309.0</v>
      </c>
      <c r="C154" s="9">
        <v>5130.080906148867</v>
      </c>
      <c r="D154" s="9">
        <v>6445.636363636364</v>
      </c>
      <c r="E154" s="9">
        <f t="shared" si="1"/>
        <v>1315.555457</v>
      </c>
      <c r="F154" s="9">
        <f t="shared" si="2"/>
        <v>1.256439515</v>
      </c>
      <c r="G154" s="11">
        <f t="shared" si="3"/>
        <v>6445.636364</v>
      </c>
      <c r="H154" s="11">
        <f t="shared" si="4"/>
        <v>1991701.636</v>
      </c>
      <c r="I154" s="12" t="str">
        <f t="shared" si="5"/>
        <v>F</v>
      </c>
      <c r="J154" s="11">
        <f t="shared" si="6"/>
        <v>10893.12545</v>
      </c>
      <c r="K154" s="12" t="str">
        <f t="shared" si="7"/>
        <v>F1</v>
      </c>
    </row>
    <row r="155">
      <c r="A155" s="8" t="s">
        <v>286</v>
      </c>
      <c r="B155" s="9">
        <v>240.0</v>
      </c>
      <c r="C155" s="9">
        <v>1352.0833333333333</v>
      </c>
      <c r="D155" s="9">
        <v>6450.0</v>
      </c>
      <c r="E155" s="9">
        <f t="shared" si="1"/>
        <v>5097.916667</v>
      </c>
      <c r="F155" s="9">
        <f t="shared" si="2"/>
        <v>4.770416025</v>
      </c>
      <c r="G155" s="11">
        <f t="shared" si="3"/>
        <v>6450</v>
      </c>
      <c r="H155" s="11">
        <f t="shared" si="4"/>
        <v>1548000</v>
      </c>
      <c r="I155" s="12" t="str">
        <f t="shared" si="5"/>
        <v>F</v>
      </c>
      <c r="J155" s="11">
        <f t="shared" si="6"/>
        <v>10900.5</v>
      </c>
      <c r="K155" s="12" t="str">
        <f t="shared" si="7"/>
        <v>F1</v>
      </c>
    </row>
    <row r="156">
      <c r="A156" s="8" t="s">
        <v>327</v>
      </c>
      <c r="B156" s="9">
        <v>1681.0</v>
      </c>
      <c r="C156" s="9">
        <v>9850.86258179655</v>
      </c>
      <c r="D156" s="9">
        <v>6450.0</v>
      </c>
      <c r="E156" s="9">
        <f t="shared" si="1"/>
        <v>-3400.862582</v>
      </c>
      <c r="F156" s="9">
        <f t="shared" si="2"/>
        <v>0.6547649961</v>
      </c>
      <c r="G156" s="11">
        <f t="shared" si="3"/>
        <v>9850.862582</v>
      </c>
      <c r="H156" s="11">
        <f t="shared" si="4"/>
        <v>16559300</v>
      </c>
      <c r="I156" s="12" t="str">
        <f t="shared" si="5"/>
        <v>F1</v>
      </c>
      <c r="J156" s="11">
        <f t="shared" si="6"/>
        <v>16647.95776</v>
      </c>
      <c r="K156" s="12" t="str">
        <f t="shared" si="7"/>
        <v>E1</v>
      </c>
    </row>
    <row r="157">
      <c r="A157" s="8" t="s">
        <v>342</v>
      </c>
      <c r="B157" s="9">
        <v>8516.0</v>
      </c>
      <c r="C157" s="9">
        <v>5113.686002818225</v>
      </c>
      <c r="D157" s="9">
        <v>6455.055035128806</v>
      </c>
      <c r="E157" s="9">
        <f t="shared" si="1"/>
        <v>1341.369032</v>
      </c>
      <c r="F157" s="9">
        <f t="shared" si="2"/>
        <v>1.26230962</v>
      </c>
      <c r="G157" s="11">
        <f t="shared" si="3"/>
        <v>6455.055035</v>
      </c>
      <c r="H157" s="11">
        <f t="shared" si="4"/>
        <v>54971248.68</v>
      </c>
      <c r="I157" s="12" t="str">
        <f t="shared" si="5"/>
        <v>F</v>
      </c>
      <c r="J157" s="11">
        <f t="shared" si="6"/>
        <v>10909.04301</v>
      </c>
      <c r="K157" s="12" t="str">
        <f t="shared" si="7"/>
        <v>F1</v>
      </c>
    </row>
    <row r="158">
      <c r="A158" s="8" t="s">
        <v>472</v>
      </c>
      <c r="B158" s="9">
        <v>180.0</v>
      </c>
      <c r="C158" s="9">
        <v>6499.333333333333</v>
      </c>
      <c r="D158" s="9">
        <v>6499.333333333333</v>
      </c>
      <c r="E158" s="9">
        <f t="shared" si="1"/>
        <v>0</v>
      </c>
      <c r="F158" s="9">
        <f t="shared" si="2"/>
        <v>1</v>
      </c>
      <c r="G158" s="11">
        <f t="shared" si="3"/>
        <v>6499.333333</v>
      </c>
      <c r="H158" s="11">
        <f t="shared" si="4"/>
        <v>1169880</v>
      </c>
      <c r="I158" s="13" t="str">
        <f t="shared" si="5"/>
        <v>F</v>
      </c>
      <c r="J158" s="11">
        <f t="shared" si="6"/>
        <v>10983.87333</v>
      </c>
      <c r="K158" s="13" t="str">
        <f t="shared" si="7"/>
        <v>F1</v>
      </c>
    </row>
    <row r="159">
      <c r="A159" s="8" t="s">
        <v>391</v>
      </c>
      <c r="B159" s="9">
        <v>5857.0</v>
      </c>
      <c r="C159" s="9">
        <v>3084.591087587502</v>
      </c>
      <c r="D159" s="9">
        <v>6524.29736744531</v>
      </c>
      <c r="E159" s="9">
        <f t="shared" si="1"/>
        <v>3439.70628</v>
      </c>
      <c r="F159" s="9">
        <f t="shared" si="2"/>
        <v>2.115125533</v>
      </c>
      <c r="G159" s="11">
        <f t="shared" si="3"/>
        <v>6524.297367</v>
      </c>
      <c r="H159" s="11">
        <f t="shared" si="4"/>
        <v>38212809.68</v>
      </c>
      <c r="I159" s="12" t="str">
        <f t="shared" si="5"/>
        <v>F</v>
      </c>
      <c r="J159" s="11">
        <f t="shared" si="6"/>
        <v>11026.06255</v>
      </c>
      <c r="K159" s="12" t="str">
        <f t="shared" si="7"/>
        <v>F1</v>
      </c>
    </row>
    <row r="160">
      <c r="A160" s="8" t="s">
        <v>380</v>
      </c>
      <c r="B160" s="9">
        <v>3293.0</v>
      </c>
      <c r="C160" s="9">
        <v>6904.0388703310055</v>
      </c>
      <c r="D160" s="9">
        <v>6526.930913721744</v>
      </c>
      <c r="E160" s="9">
        <f t="shared" si="1"/>
        <v>-377.1079566</v>
      </c>
      <c r="F160" s="9">
        <f t="shared" si="2"/>
        <v>0.9453786452</v>
      </c>
      <c r="G160" s="11">
        <f t="shared" si="3"/>
        <v>6904.03887</v>
      </c>
      <c r="H160" s="11">
        <f t="shared" si="4"/>
        <v>22735000</v>
      </c>
      <c r="I160" s="12" t="str">
        <f t="shared" si="5"/>
        <v>F</v>
      </c>
      <c r="J160" s="11">
        <f t="shared" si="6"/>
        <v>11667.82569</v>
      </c>
      <c r="K160" s="12" t="str">
        <f t="shared" si="7"/>
        <v>F1</v>
      </c>
    </row>
    <row r="161">
      <c r="A161" s="8" t="s">
        <v>133</v>
      </c>
      <c r="B161" s="9">
        <v>6372.0</v>
      </c>
      <c r="C161" s="9">
        <v>6788.072818581293</v>
      </c>
      <c r="D161" s="9">
        <v>6542.2516175413375</v>
      </c>
      <c r="E161" s="9">
        <f t="shared" si="1"/>
        <v>-245.821201</v>
      </c>
      <c r="F161" s="9">
        <f t="shared" si="2"/>
        <v>0.9637863047</v>
      </c>
      <c r="G161" s="11">
        <f t="shared" si="3"/>
        <v>6788.072819</v>
      </c>
      <c r="H161" s="11">
        <f t="shared" si="4"/>
        <v>43253600</v>
      </c>
      <c r="I161" s="12" t="str">
        <f t="shared" si="5"/>
        <v>F</v>
      </c>
      <c r="J161" s="11">
        <f t="shared" si="6"/>
        <v>11471.84306</v>
      </c>
      <c r="K161" s="12" t="str">
        <f t="shared" si="7"/>
        <v>F1</v>
      </c>
    </row>
    <row r="162">
      <c r="A162" s="8" t="s">
        <v>208</v>
      </c>
      <c r="B162" s="9">
        <v>7907.0</v>
      </c>
      <c r="C162" s="9">
        <v>13539.926647274568</v>
      </c>
      <c r="D162" s="9">
        <v>6614.438766198211</v>
      </c>
      <c r="E162" s="9">
        <f t="shared" si="1"/>
        <v>-6925.487881</v>
      </c>
      <c r="F162" s="9">
        <f t="shared" si="2"/>
        <v>0.4885136337</v>
      </c>
      <c r="G162" s="11">
        <f t="shared" si="3"/>
        <v>13539.92665</v>
      </c>
      <c r="H162" s="11">
        <f t="shared" si="4"/>
        <v>107060200</v>
      </c>
      <c r="I162" s="12" t="str">
        <f t="shared" si="5"/>
        <v>E</v>
      </c>
      <c r="J162" s="11">
        <f t="shared" si="6"/>
        <v>22882.47603</v>
      </c>
      <c r="K162" s="12" t="str">
        <f t="shared" si="7"/>
        <v>D</v>
      </c>
    </row>
    <row r="163">
      <c r="A163" s="8" t="s">
        <v>136</v>
      </c>
      <c r="B163" s="9">
        <v>23467.0</v>
      </c>
      <c r="C163" s="9">
        <v>9088.329398730131</v>
      </c>
      <c r="D163" s="9">
        <v>6731.236663433559</v>
      </c>
      <c r="E163" s="9">
        <f t="shared" si="1"/>
        <v>-2357.092735</v>
      </c>
      <c r="F163" s="9">
        <f t="shared" si="2"/>
        <v>0.7406462033</v>
      </c>
      <c r="G163" s="11">
        <f t="shared" si="3"/>
        <v>9088.329399</v>
      </c>
      <c r="H163" s="11">
        <f t="shared" si="4"/>
        <v>213275826</v>
      </c>
      <c r="I163" s="12" t="str">
        <f t="shared" si="5"/>
        <v>F1</v>
      </c>
      <c r="J163" s="11">
        <f t="shared" si="6"/>
        <v>15359.27668</v>
      </c>
      <c r="K163" s="12" t="str">
        <f t="shared" si="7"/>
        <v>E</v>
      </c>
    </row>
    <row r="164">
      <c r="A164" s="8" t="s">
        <v>177</v>
      </c>
      <c r="B164" s="9">
        <v>1232.0</v>
      </c>
      <c r="C164" s="9">
        <v>9096.672077922078</v>
      </c>
      <c r="D164" s="9">
        <v>6777.530364372469</v>
      </c>
      <c r="E164" s="9">
        <f t="shared" si="1"/>
        <v>-2319.141714</v>
      </c>
      <c r="F164" s="9">
        <f t="shared" si="2"/>
        <v>0.7450560278</v>
      </c>
      <c r="G164" s="11">
        <f t="shared" si="3"/>
        <v>9096.672078</v>
      </c>
      <c r="H164" s="11">
        <f t="shared" si="4"/>
        <v>11207100</v>
      </c>
      <c r="I164" s="12" t="str">
        <f t="shared" si="5"/>
        <v>F1</v>
      </c>
      <c r="J164" s="11">
        <f t="shared" si="6"/>
        <v>15373.37581</v>
      </c>
      <c r="K164" s="12" t="str">
        <f t="shared" si="7"/>
        <v>E</v>
      </c>
    </row>
    <row r="165">
      <c r="A165" s="8" t="s">
        <v>204</v>
      </c>
      <c r="B165" s="9">
        <v>2133.0</v>
      </c>
      <c r="C165" s="9">
        <v>7592.348804500703</v>
      </c>
      <c r="D165" s="9">
        <v>6865.944418276024</v>
      </c>
      <c r="E165" s="9">
        <f t="shared" si="1"/>
        <v>-726.4043862</v>
      </c>
      <c r="F165" s="9">
        <f t="shared" si="2"/>
        <v>0.9043241552</v>
      </c>
      <c r="G165" s="11">
        <f t="shared" si="3"/>
        <v>7592.348805</v>
      </c>
      <c r="H165" s="11">
        <f t="shared" si="4"/>
        <v>16194480</v>
      </c>
      <c r="I165" s="12" t="str">
        <f t="shared" si="5"/>
        <v>F</v>
      </c>
      <c r="J165" s="11">
        <f t="shared" si="6"/>
        <v>12831.06948</v>
      </c>
      <c r="K165" s="12" t="str">
        <f t="shared" si="7"/>
        <v>E</v>
      </c>
    </row>
    <row r="166">
      <c r="A166" s="8" t="s">
        <v>137</v>
      </c>
      <c r="B166" s="9">
        <v>3055.0</v>
      </c>
      <c r="C166" s="9">
        <v>4622.6513911620295</v>
      </c>
      <c r="D166" s="9">
        <v>6917.894398972878</v>
      </c>
      <c r="E166" s="9">
        <f t="shared" si="1"/>
        <v>2295.243008</v>
      </c>
      <c r="F166" s="9">
        <f t="shared" si="2"/>
        <v>1.496520895</v>
      </c>
      <c r="G166" s="11">
        <f t="shared" si="3"/>
        <v>6917.894399</v>
      </c>
      <c r="H166" s="11">
        <f t="shared" si="4"/>
        <v>21134167.39</v>
      </c>
      <c r="I166" s="12" t="str">
        <f t="shared" si="5"/>
        <v>F</v>
      </c>
      <c r="J166" s="11">
        <f t="shared" si="6"/>
        <v>11691.24153</v>
      </c>
      <c r="K166" s="12" t="str">
        <f t="shared" si="7"/>
        <v>F1</v>
      </c>
    </row>
    <row r="167">
      <c r="A167" s="8" t="s">
        <v>461</v>
      </c>
      <c r="B167" s="9">
        <v>1621.0</v>
      </c>
      <c r="C167" s="9">
        <v>5076.70573719926</v>
      </c>
      <c r="D167" s="9">
        <v>6937.1601208459215</v>
      </c>
      <c r="E167" s="9">
        <f t="shared" si="1"/>
        <v>1860.454384</v>
      </c>
      <c r="F167" s="9">
        <f t="shared" si="2"/>
        <v>1.366468824</v>
      </c>
      <c r="G167" s="11">
        <f t="shared" si="3"/>
        <v>6937.160121</v>
      </c>
      <c r="H167" s="11">
        <f t="shared" si="4"/>
        <v>11245136.56</v>
      </c>
      <c r="I167" s="12" t="str">
        <f t="shared" si="5"/>
        <v>F</v>
      </c>
      <c r="J167" s="11">
        <f t="shared" si="6"/>
        <v>11723.8006</v>
      </c>
      <c r="K167" s="12" t="str">
        <f t="shared" si="7"/>
        <v>F1</v>
      </c>
    </row>
    <row r="168">
      <c r="A168" s="8" t="s">
        <v>99</v>
      </c>
      <c r="B168" s="9">
        <v>1584.0</v>
      </c>
      <c r="C168" s="9">
        <v>4364.930555555556</v>
      </c>
      <c r="D168" s="9">
        <v>6957.415481832543</v>
      </c>
      <c r="E168" s="9">
        <f t="shared" si="1"/>
        <v>2592.484926</v>
      </c>
      <c r="F168" s="9">
        <f t="shared" si="2"/>
        <v>1.593934976</v>
      </c>
      <c r="G168" s="11">
        <f t="shared" si="3"/>
        <v>6957.415482</v>
      </c>
      <c r="H168" s="11">
        <f t="shared" si="4"/>
        <v>11020546.12</v>
      </c>
      <c r="I168" s="12" t="str">
        <f t="shared" si="5"/>
        <v>F</v>
      </c>
      <c r="J168" s="11">
        <f t="shared" si="6"/>
        <v>11758.03216</v>
      </c>
      <c r="K168" s="12" t="str">
        <f t="shared" si="7"/>
        <v>F1</v>
      </c>
    </row>
    <row r="169">
      <c r="A169" s="8" t="s">
        <v>197</v>
      </c>
      <c r="B169" s="9">
        <v>52.0</v>
      </c>
      <c r="C169" s="9">
        <v>7000.0</v>
      </c>
      <c r="D169" s="9">
        <v>7000.0</v>
      </c>
      <c r="E169" s="9">
        <f t="shared" si="1"/>
        <v>0</v>
      </c>
      <c r="F169" s="9">
        <f t="shared" si="2"/>
        <v>1</v>
      </c>
      <c r="G169" s="11">
        <f t="shared" si="3"/>
        <v>7000</v>
      </c>
      <c r="H169" s="11">
        <f t="shared" si="4"/>
        <v>364000</v>
      </c>
      <c r="I169" s="12" t="str">
        <f t="shared" si="5"/>
        <v>F</v>
      </c>
      <c r="J169" s="11">
        <f t="shared" si="6"/>
        <v>11830</v>
      </c>
      <c r="K169" s="12" t="str">
        <f t="shared" si="7"/>
        <v>F1</v>
      </c>
    </row>
    <row r="170">
      <c r="A170" s="8" t="s">
        <v>354</v>
      </c>
      <c r="B170" s="9">
        <v>1036.0</v>
      </c>
      <c r="C170" s="9">
        <v>7000.0</v>
      </c>
      <c r="D170" s="9">
        <v>7000.0</v>
      </c>
      <c r="E170" s="9">
        <f t="shared" si="1"/>
        <v>0</v>
      </c>
      <c r="F170" s="9">
        <f t="shared" si="2"/>
        <v>1</v>
      </c>
      <c r="G170" s="11">
        <f t="shared" si="3"/>
        <v>7000</v>
      </c>
      <c r="H170" s="11">
        <f t="shared" si="4"/>
        <v>7252000</v>
      </c>
      <c r="I170" s="12" t="str">
        <f t="shared" si="5"/>
        <v>F</v>
      </c>
      <c r="J170" s="11">
        <f t="shared" si="6"/>
        <v>11830</v>
      </c>
      <c r="K170" s="12" t="str">
        <f t="shared" si="7"/>
        <v>F1</v>
      </c>
    </row>
    <row r="171">
      <c r="A171" s="8" t="s">
        <v>382</v>
      </c>
      <c r="B171" s="9">
        <v>111.0</v>
      </c>
      <c r="C171" s="9">
        <v>7000.0</v>
      </c>
      <c r="D171" s="9">
        <v>7000.0</v>
      </c>
      <c r="E171" s="9">
        <f t="shared" si="1"/>
        <v>0</v>
      </c>
      <c r="F171" s="9">
        <f t="shared" si="2"/>
        <v>1</v>
      </c>
      <c r="G171" s="11">
        <f t="shared" si="3"/>
        <v>7000</v>
      </c>
      <c r="H171" s="11">
        <f t="shared" si="4"/>
        <v>777000</v>
      </c>
      <c r="I171" s="12" t="str">
        <f t="shared" si="5"/>
        <v>F</v>
      </c>
      <c r="J171" s="11">
        <f t="shared" si="6"/>
        <v>11830</v>
      </c>
      <c r="K171" s="12" t="str">
        <f t="shared" si="7"/>
        <v>F1</v>
      </c>
    </row>
    <row r="172">
      <c r="A172" s="8" t="s">
        <v>385</v>
      </c>
      <c r="B172" s="9">
        <v>735.0</v>
      </c>
      <c r="C172" s="9">
        <v>7000.0</v>
      </c>
      <c r="D172" s="9">
        <v>7000.0</v>
      </c>
      <c r="E172" s="9">
        <f t="shared" si="1"/>
        <v>0</v>
      </c>
      <c r="F172" s="9">
        <f t="shared" si="2"/>
        <v>1</v>
      </c>
      <c r="G172" s="11">
        <f t="shared" si="3"/>
        <v>7000</v>
      </c>
      <c r="H172" s="11">
        <f t="shared" si="4"/>
        <v>5145000</v>
      </c>
      <c r="I172" s="12" t="str">
        <f t="shared" si="5"/>
        <v>F</v>
      </c>
      <c r="J172" s="11">
        <f t="shared" si="6"/>
        <v>11830</v>
      </c>
      <c r="K172" s="12" t="str">
        <f t="shared" si="7"/>
        <v>F1</v>
      </c>
    </row>
    <row r="173">
      <c r="A173" s="8" t="s">
        <v>104</v>
      </c>
      <c r="B173" s="9">
        <v>45.0</v>
      </c>
      <c r="C173" s="9">
        <v>8600.0</v>
      </c>
      <c r="D173" s="9">
        <v>7054.6875</v>
      </c>
      <c r="E173" s="9">
        <f t="shared" si="1"/>
        <v>-1545.3125</v>
      </c>
      <c r="F173" s="9">
        <f t="shared" si="2"/>
        <v>0.8203125</v>
      </c>
      <c r="G173" s="11">
        <f t="shared" si="3"/>
        <v>8600</v>
      </c>
      <c r="H173" s="11">
        <f t="shared" si="4"/>
        <v>387000</v>
      </c>
      <c r="I173" s="12" t="str">
        <f t="shared" si="5"/>
        <v>F1</v>
      </c>
      <c r="J173" s="11">
        <f t="shared" si="6"/>
        <v>14534</v>
      </c>
      <c r="K173" s="12" t="str">
        <f t="shared" si="7"/>
        <v>E</v>
      </c>
    </row>
    <row r="174">
      <c r="A174" s="8" t="s">
        <v>301</v>
      </c>
      <c r="B174" s="9">
        <v>7725.0</v>
      </c>
      <c r="C174" s="9">
        <v>3571.027702265372</v>
      </c>
      <c r="D174" s="9">
        <v>7073.32383745287</v>
      </c>
      <c r="E174" s="9">
        <f t="shared" si="1"/>
        <v>3502.296135</v>
      </c>
      <c r="F174" s="9">
        <f t="shared" si="2"/>
        <v>1.980753001</v>
      </c>
      <c r="G174" s="11">
        <f t="shared" si="3"/>
        <v>7073.323837</v>
      </c>
      <c r="H174" s="11">
        <f t="shared" si="4"/>
        <v>54641426.64</v>
      </c>
      <c r="I174" s="12" t="str">
        <f t="shared" si="5"/>
        <v>F</v>
      </c>
      <c r="J174" s="11">
        <f t="shared" si="6"/>
        <v>11953.91729</v>
      </c>
      <c r="K174" s="12" t="str">
        <f t="shared" si="7"/>
        <v>F1</v>
      </c>
    </row>
    <row r="175">
      <c r="A175" s="8" t="s">
        <v>465</v>
      </c>
      <c r="B175" s="9">
        <v>4013.0</v>
      </c>
      <c r="C175" s="9">
        <v>4254.286319461749</v>
      </c>
      <c r="D175" s="9">
        <v>7079.652055261811</v>
      </c>
      <c r="E175" s="9">
        <f t="shared" si="1"/>
        <v>2825.365736</v>
      </c>
      <c r="F175" s="9">
        <f t="shared" si="2"/>
        <v>1.66412214</v>
      </c>
      <c r="G175" s="11">
        <f t="shared" si="3"/>
        <v>7079.652055</v>
      </c>
      <c r="H175" s="11">
        <f t="shared" si="4"/>
        <v>28410643.7</v>
      </c>
      <c r="I175" s="12" t="str">
        <f t="shared" si="5"/>
        <v>F</v>
      </c>
      <c r="J175" s="11">
        <f t="shared" si="6"/>
        <v>11964.61197</v>
      </c>
      <c r="K175" s="12" t="str">
        <f t="shared" si="7"/>
        <v>F1</v>
      </c>
    </row>
    <row r="176">
      <c r="A176" s="8" t="s">
        <v>187</v>
      </c>
      <c r="B176" s="9">
        <v>489.0</v>
      </c>
      <c r="C176" s="9">
        <v>18631.267893660533</v>
      </c>
      <c r="D176" s="9">
        <v>7129.411764705881</v>
      </c>
      <c r="E176" s="9">
        <f t="shared" si="1"/>
        <v>-11501.85613</v>
      </c>
      <c r="F176" s="9">
        <f t="shared" si="2"/>
        <v>0.3826584323</v>
      </c>
      <c r="G176" s="11">
        <f t="shared" si="3"/>
        <v>18631.26789</v>
      </c>
      <c r="H176" s="11">
        <f t="shared" si="4"/>
        <v>9110690</v>
      </c>
      <c r="I176" s="12" t="str">
        <f t="shared" si="5"/>
        <v>E1</v>
      </c>
      <c r="J176" s="11">
        <f t="shared" si="6"/>
        <v>31486.84274</v>
      </c>
      <c r="K176" s="12" t="str">
        <f t="shared" si="7"/>
        <v>C</v>
      </c>
    </row>
    <row r="177">
      <c r="A177" s="8" t="s">
        <v>192</v>
      </c>
      <c r="B177" s="9">
        <v>2016.0</v>
      </c>
      <c r="C177" s="9">
        <v>11749.920634920634</v>
      </c>
      <c r="D177" s="9">
        <v>7138.932496075353</v>
      </c>
      <c r="E177" s="9">
        <f t="shared" si="1"/>
        <v>-4610.988139</v>
      </c>
      <c r="F177" s="9">
        <f t="shared" si="2"/>
        <v>0.6075728269</v>
      </c>
      <c r="G177" s="11">
        <f t="shared" si="3"/>
        <v>11749.92063</v>
      </c>
      <c r="H177" s="11">
        <f t="shared" si="4"/>
        <v>23687840</v>
      </c>
      <c r="I177" s="12" t="str">
        <f t="shared" si="5"/>
        <v>F1</v>
      </c>
      <c r="J177" s="11">
        <f t="shared" si="6"/>
        <v>19857.36587</v>
      </c>
      <c r="K177" s="12" t="str">
        <f t="shared" si="7"/>
        <v>E1</v>
      </c>
    </row>
    <row r="178">
      <c r="A178" s="8" t="s">
        <v>384</v>
      </c>
      <c r="B178" s="9">
        <v>2050.0</v>
      </c>
      <c r="C178" s="9">
        <v>6224.512195121952</v>
      </c>
      <c r="D178" s="9">
        <v>7160.033057851239</v>
      </c>
      <c r="E178" s="9">
        <f t="shared" si="1"/>
        <v>935.5208627</v>
      </c>
      <c r="F178" s="9">
        <f t="shared" si="2"/>
        <v>1.150296253</v>
      </c>
      <c r="G178" s="11">
        <f t="shared" si="3"/>
        <v>7160.033058</v>
      </c>
      <c r="H178" s="11">
        <f t="shared" si="4"/>
        <v>14678067.77</v>
      </c>
      <c r="I178" s="12" t="str">
        <f t="shared" si="5"/>
        <v>F</v>
      </c>
      <c r="J178" s="11">
        <f t="shared" si="6"/>
        <v>12100.45587</v>
      </c>
      <c r="K178" s="12" t="str">
        <f t="shared" si="7"/>
        <v>E</v>
      </c>
    </row>
    <row r="179">
      <c r="A179" s="8" t="s">
        <v>409</v>
      </c>
      <c r="B179" s="9">
        <v>26716.0</v>
      </c>
      <c r="C179" s="9">
        <v>8376.350501572091</v>
      </c>
      <c r="D179" s="9">
        <v>7174.523385489548</v>
      </c>
      <c r="E179" s="9">
        <f t="shared" si="1"/>
        <v>-1201.827116</v>
      </c>
      <c r="F179" s="9">
        <f t="shared" si="2"/>
        <v>0.8565213913</v>
      </c>
      <c r="G179" s="11">
        <f t="shared" si="3"/>
        <v>8376.350502</v>
      </c>
      <c r="H179" s="11">
        <f t="shared" si="4"/>
        <v>223782580</v>
      </c>
      <c r="I179" s="12" t="str">
        <f t="shared" si="5"/>
        <v>F1</v>
      </c>
      <c r="J179" s="11">
        <f t="shared" si="6"/>
        <v>14156.03235</v>
      </c>
      <c r="K179" s="12" t="str">
        <f t="shared" si="7"/>
        <v>E</v>
      </c>
    </row>
    <row r="180">
      <c r="A180" s="8" t="s">
        <v>73</v>
      </c>
      <c r="B180" s="9">
        <v>128.0</v>
      </c>
      <c r="C180" s="9">
        <v>24790.625</v>
      </c>
      <c r="D180" s="9">
        <v>7205.425400739827</v>
      </c>
      <c r="E180" s="9">
        <f t="shared" si="1"/>
        <v>-17585.1996</v>
      </c>
      <c r="F180" s="9">
        <f t="shared" si="2"/>
        <v>0.29065122</v>
      </c>
      <c r="G180" s="11">
        <f t="shared" si="3"/>
        <v>24790.625</v>
      </c>
      <c r="H180" s="11">
        <f t="shared" si="4"/>
        <v>3173200</v>
      </c>
      <c r="I180" s="12" t="str">
        <f t="shared" si="5"/>
        <v>D</v>
      </c>
      <c r="J180" s="11">
        <f t="shared" si="6"/>
        <v>41896.15625</v>
      </c>
      <c r="K180" s="12" t="str">
        <f t="shared" si="7"/>
        <v>B</v>
      </c>
    </row>
    <row r="181">
      <c r="A181" s="8" t="s">
        <v>271</v>
      </c>
      <c r="B181" s="9">
        <v>123.0</v>
      </c>
      <c r="C181" s="9">
        <v>7231.30081300813</v>
      </c>
      <c r="D181" s="9">
        <v>7231.30081300813</v>
      </c>
      <c r="E181" s="9">
        <f t="shared" si="1"/>
        <v>0</v>
      </c>
      <c r="F181" s="9">
        <f t="shared" si="2"/>
        <v>1</v>
      </c>
      <c r="G181" s="11">
        <f t="shared" si="3"/>
        <v>7231.300813</v>
      </c>
      <c r="H181" s="11">
        <f t="shared" si="4"/>
        <v>889450</v>
      </c>
      <c r="I181" s="12" t="str">
        <f t="shared" si="5"/>
        <v>F</v>
      </c>
      <c r="J181" s="11">
        <f t="shared" si="6"/>
        <v>12220.89837</v>
      </c>
      <c r="K181" s="12" t="str">
        <f t="shared" si="7"/>
        <v>E</v>
      </c>
    </row>
    <row r="182">
      <c r="A182" s="8" t="s">
        <v>120</v>
      </c>
      <c r="B182" s="9">
        <v>1421.0</v>
      </c>
      <c r="C182" s="9">
        <v>5795.285010555946</v>
      </c>
      <c r="D182" s="9">
        <v>7232.881002087683</v>
      </c>
      <c r="E182" s="9">
        <f t="shared" si="1"/>
        <v>1437.595992</v>
      </c>
      <c r="F182" s="9">
        <f t="shared" si="2"/>
        <v>1.248063036</v>
      </c>
      <c r="G182" s="11">
        <f t="shared" si="3"/>
        <v>7232.881002</v>
      </c>
      <c r="H182" s="11">
        <f t="shared" si="4"/>
        <v>10277923.9</v>
      </c>
      <c r="I182" s="12" t="str">
        <f t="shared" si="5"/>
        <v>F</v>
      </c>
      <c r="J182" s="11">
        <f t="shared" si="6"/>
        <v>12223.56889</v>
      </c>
      <c r="K182" s="12" t="str">
        <f t="shared" si="7"/>
        <v>E</v>
      </c>
    </row>
    <row r="183">
      <c r="A183" s="8" t="s">
        <v>330</v>
      </c>
      <c r="B183" s="9">
        <v>1218.0</v>
      </c>
      <c r="C183" s="9">
        <v>6302.43842364532</v>
      </c>
      <c r="D183" s="9">
        <v>7266.346592761656</v>
      </c>
      <c r="E183" s="9">
        <f t="shared" si="1"/>
        <v>963.9081691</v>
      </c>
      <c r="F183" s="9">
        <f t="shared" si="2"/>
        <v>1.1529421</v>
      </c>
      <c r="G183" s="11">
        <f t="shared" si="3"/>
        <v>7266.346593</v>
      </c>
      <c r="H183" s="11">
        <f t="shared" si="4"/>
        <v>8850410.15</v>
      </c>
      <c r="I183" s="12" t="str">
        <f t="shared" si="5"/>
        <v>F</v>
      </c>
      <c r="J183" s="11">
        <f t="shared" si="6"/>
        <v>12280.12574</v>
      </c>
      <c r="K183" s="12" t="str">
        <f t="shared" si="7"/>
        <v>E</v>
      </c>
    </row>
    <row r="184">
      <c r="A184" s="8" t="s">
        <v>410</v>
      </c>
      <c r="B184" s="9">
        <v>24473.0</v>
      </c>
      <c r="C184" s="9">
        <v>5502.008989498631</v>
      </c>
      <c r="D184" s="9">
        <v>7266.880801448947</v>
      </c>
      <c r="E184" s="9">
        <f t="shared" si="1"/>
        <v>1764.871812</v>
      </c>
      <c r="F184" s="9">
        <f t="shared" si="2"/>
        <v>1.320768617</v>
      </c>
      <c r="G184" s="11">
        <f t="shared" si="3"/>
        <v>7266.880801</v>
      </c>
      <c r="H184" s="11">
        <f t="shared" si="4"/>
        <v>177842373.9</v>
      </c>
      <c r="I184" s="12" t="str">
        <f t="shared" si="5"/>
        <v>F</v>
      </c>
      <c r="J184" s="11">
        <f t="shared" si="6"/>
        <v>12281.02855</v>
      </c>
      <c r="K184" s="12" t="str">
        <f t="shared" si="7"/>
        <v>E</v>
      </c>
    </row>
    <row r="185">
      <c r="A185" s="8" t="s">
        <v>284</v>
      </c>
      <c r="B185" s="9">
        <v>3929.0</v>
      </c>
      <c r="C185" s="9">
        <v>6954.237719521507</v>
      </c>
      <c r="D185" s="9">
        <v>7268.063362289218</v>
      </c>
      <c r="E185" s="9">
        <f t="shared" si="1"/>
        <v>313.8256428</v>
      </c>
      <c r="F185" s="9">
        <f t="shared" si="2"/>
        <v>1.045127253</v>
      </c>
      <c r="G185" s="11">
        <f t="shared" si="3"/>
        <v>7268.063362</v>
      </c>
      <c r="H185" s="11">
        <f t="shared" si="4"/>
        <v>28556220.95</v>
      </c>
      <c r="I185" s="12" t="str">
        <f t="shared" si="5"/>
        <v>F</v>
      </c>
      <c r="J185" s="11">
        <f t="shared" si="6"/>
        <v>12283.02708</v>
      </c>
      <c r="K185" s="12" t="str">
        <f t="shared" si="7"/>
        <v>E</v>
      </c>
    </row>
    <row r="186">
      <c r="A186" s="8" t="s">
        <v>328</v>
      </c>
      <c r="B186" s="9">
        <v>272.0</v>
      </c>
      <c r="C186" s="9">
        <v>5577.35294117647</v>
      </c>
      <c r="D186" s="9">
        <v>7355.826693227092</v>
      </c>
      <c r="E186" s="9">
        <f t="shared" si="1"/>
        <v>1778.473752</v>
      </c>
      <c r="F186" s="9">
        <f t="shared" si="2"/>
        <v>1.318874163</v>
      </c>
      <c r="G186" s="11">
        <f t="shared" si="3"/>
        <v>7355.826693</v>
      </c>
      <c r="H186" s="11">
        <f t="shared" si="4"/>
        <v>2000784.861</v>
      </c>
      <c r="I186" s="12" t="str">
        <f t="shared" si="5"/>
        <v>F</v>
      </c>
      <c r="J186" s="11">
        <f t="shared" si="6"/>
        <v>12431.34711</v>
      </c>
      <c r="K186" s="12" t="str">
        <f t="shared" si="7"/>
        <v>E</v>
      </c>
    </row>
    <row r="187">
      <c r="A187" s="8" t="s">
        <v>118</v>
      </c>
      <c r="B187" s="9">
        <v>836.0</v>
      </c>
      <c r="C187" s="9">
        <v>4633.971291866029</v>
      </c>
      <c r="D187" s="9">
        <v>7394.321766561514</v>
      </c>
      <c r="E187" s="9">
        <f t="shared" si="1"/>
        <v>2760.350475</v>
      </c>
      <c r="F187" s="9">
        <f t="shared" si="2"/>
        <v>1.595677077</v>
      </c>
      <c r="G187" s="11">
        <f t="shared" si="3"/>
        <v>7394.321767</v>
      </c>
      <c r="H187" s="11">
        <f t="shared" si="4"/>
        <v>6181652.997</v>
      </c>
      <c r="I187" s="12" t="str">
        <f t="shared" si="5"/>
        <v>F</v>
      </c>
      <c r="J187" s="11">
        <f t="shared" si="6"/>
        <v>12496.40379</v>
      </c>
      <c r="K187" s="12" t="str">
        <f t="shared" si="7"/>
        <v>E</v>
      </c>
    </row>
    <row r="188">
      <c r="A188" s="8" t="s">
        <v>277</v>
      </c>
      <c r="B188" s="9">
        <v>1188.0</v>
      </c>
      <c r="C188" s="9">
        <v>6638.215488215488</v>
      </c>
      <c r="D188" s="9">
        <v>7429.249167423554</v>
      </c>
      <c r="E188" s="9">
        <f t="shared" si="1"/>
        <v>791.0336792</v>
      </c>
      <c r="F188" s="9">
        <f t="shared" si="2"/>
        <v>1.119163604</v>
      </c>
      <c r="G188" s="11">
        <f t="shared" si="3"/>
        <v>7429.249167</v>
      </c>
      <c r="H188" s="11">
        <f t="shared" si="4"/>
        <v>8825948.011</v>
      </c>
      <c r="I188" s="12" t="str">
        <f t="shared" si="5"/>
        <v>F</v>
      </c>
      <c r="J188" s="11">
        <f t="shared" si="6"/>
        <v>12555.43109</v>
      </c>
      <c r="K188" s="12" t="str">
        <f t="shared" si="7"/>
        <v>E</v>
      </c>
    </row>
    <row r="189">
      <c r="A189" s="8" t="s">
        <v>323</v>
      </c>
      <c r="B189" s="9">
        <v>36278.0</v>
      </c>
      <c r="C189" s="9">
        <v>7408.174375654667</v>
      </c>
      <c r="D189" s="9">
        <v>7473.692566501945</v>
      </c>
      <c r="E189" s="9">
        <f t="shared" si="1"/>
        <v>65.51819085</v>
      </c>
      <c r="F189" s="9">
        <f t="shared" si="2"/>
        <v>1.00884404</v>
      </c>
      <c r="G189" s="11">
        <f t="shared" si="3"/>
        <v>7473.692567</v>
      </c>
      <c r="H189" s="11">
        <f t="shared" si="4"/>
        <v>271130618.9</v>
      </c>
      <c r="I189" s="12" t="str">
        <f t="shared" si="5"/>
        <v>F</v>
      </c>
      <c r="J189" s="11">
        <f t="shared" si="6"/>
        <v>12630.54044</v>
      </c>
      <c r="K189" s="12" t="str">
        <f t="shared" si="7"/>
        <v>E</v>
      </c>
    </row>
    <row r="190">
      <c r="A190" s="8" t="s">
        <v>335</v>
      </c>
      <c r="B190" s="9">
        <v>5877.0</v>
      </c>
      <c r="C190" s="9">
        <v>8540.712948783394</v>
      </c>
      <c r="D190" s="9">
        <v>7503.2408236347355</v>
      </c>
      <c r="E190" s="9">
        <f t="shared" si="1"/>
        <v>-1037.472125</v>
      </c>
      <c r="F190" s="9">
        <f t="shared" si="2"/>
        <v>0.8785262856</v>
      </c>
      <c r="G190" s="11">
        <f t="shared" si="3"/>
        <v>8540.712949</v>
      </c>
      <c r="H190" s="11">
        <f t="shared" si="4"/>
        <v>50193770</v>
      </c>
      <c r="I190" s="12" t="str">
        <f t="shared" si="5"/>
        <v>F1</v>
      </c>
      <c r="J190" s="11">
        <f t="shared" si="6"/>
        <v>14433.80488</v>
      </c>
      <c r="K190" s="12" t="str">
        <f t="shared" si="7"/>
        <v>E</v>
      </c>
    </row>
    <row r="191">
      <c r="A191" s="8" t="s">
        <v>85</v>
      </c>
      <c r="B191" s="9">
        <v>5312.0</v>
      </c>
      <c r="C191" s="9">
        <v>6470.3501506024095</v>
      </c>
      <c r="D191" s="9">
        <v>7505.924497106641</v>
      </c>
      <c r="E191" s="9">
        <f t="shared" si="1"/>
        <v>1035.574347</v>
      </c>
      <c r="F191" s="9">
        <f t="shared" si="2"/>
        <v>1.160049197</v>
      </c>
      <c r="G191" s="11">
        <f t="shared" si="3"/>
        <v>7505.924497</v>
      </c>
      <c r="H191" s="11">
        <f t="shared" si="4"/>
        <v>39871470.93</v>
      </c>
      <c r="I191" s="12" t="str">
        <f t="shared" si="5"/>
        <v>F</v>
      </c>
      <c r="J191" s="11">
        <f t="shared" si="6"/>
        <v>12685.0124</v>
      </c>
      <c r="K191" s="12" t="str">
        <f t="shared" si="7"/>
        <v>E</v>
      </c>
    </row>
    <row r="192">
      <c r="A192" s="8" t="s">
        <v>89</v>
      </c>
      <c r="B192" s="9">
        <v>7674.0</v>
      </c>
      <c r="C192" s="9">
        <v>9169.963513161323</v>
      </c>
      <c r="D192" s="9">
        <v>7509.72193184194</v>
      </c>
      <c r="E192" s="9">
        <f t="shared" si="1"/>
        <v>-1660.241581</v>
      </c>
      <c r="F192" s="9">
        <f t="shared" si="2"/>
        <v>0.8189478531</v>
      </c>
      <c r="G192" s="11">
        <f t="shared" si="3"/>
        <v>9169.963513</v>
      </c>
      <c r="H192" s="11">
        <f t="shared" si="4"/>
        <v>70370300</v>
      </c>
      <c r="I192" s="12" t="str">
        <f t="shared" si="5"/>
        <v>F1</v>
      </c>
      <c r="J192" s="11">
        <f t="shared" si="6"/>
        <v>15497.23834</v>
      </c>
      <c r="K192" s="12" t="str">
        <f t="shared" si="7"/>
        <v>E</v>
      </c>
    </row>
    <row r="193">
      <c r="A193" s="8" t="s">
        <v>188</v>
      </c>
      <c r="B193" s="9">
        <v>2155.0</v>
      </c>
      <c r="C193" s="9">
        <v>8406.496519721577</v>
      </c>
      <c r="D193" s="9">
        <v>7534.293513166345</v>
      </c>
      <c r="E193" s="9">
        <f t="shared" si="1"/>
        <v>-872.2030066</v>
      </c>
      <c r="F193" s="9">
        <f t="shared" si="2"/>
        <v>0.8962465512</v>
      </c>
      <c r="G193" s="11">
        <f t="shared" si="3"/>
        <v>8406.49652</v>
      </c>
      <c r="H193" s="11">
        <f t="shared" si="4"/>
        <v>18116000</v>
      </c>
      <c r="I193" s="12" t="str">
        <f t="shared" si="5"/>
        <v>F1</v>
      </c>
      <c r="J193" s="11">
        <f t="shared" si="6"/>
        <v>14206.97912</v>
      </c>
      <c r="K193" s="12" t="str">
        <f t="shared" si="7"/>
        <v>E</v>
      </c>
    </row>
    <row r="194">
      <c r="A194" s="8" t="s">
        <v>356</v>
      </c>
      <c r="B194" s="9">
        <v>273.0</v>
      </c>
      <c r="C194" s="9">
        <v>6694.43956043956</v>
      </c>
      <c r="D194" s="9">
        <v>7605.442176870748</v>
      </c>
      <c r="E194" s="9">
        <f t="shared" si="1"/>
        <v>911.0026164</v>
      </c>
      <c r="F194" s="9">
        <f t="shared" si="2"/>
        <v>1.136083478</v>
      </c>
      <c r="G194" s="11">
        <f t="shared" si="3"/>
        <v>7605.442177</v>
      </c>
      <c r="H194" s="11">
        <f t="shared" si="4"/>
        <v>2076285.714</v>
      </c>
      <c r="I194" s="12" t="str">
        <f t="shared" si="5"/>
        <v>F</v>
      </c>
      <c r="J194" s="11">
        <f t="shared" si="6"/>
        <v>12853.19728</v>
      </c>
      <c r="K194" s="12" t="str">
        <f t="shared" si="7"/>
        <v>E</v>
      </c>
    </row>
    <row r="195">
      <c r="A195" s="8" t="s">
        <v>152</v>
      </c>
      <c r="B195" s="9">
        <v>901.0</v>
      </c>
      <c r="C195" s="10">
        <v>7620.0</v>
      </c>
      <c r="D195" s="10">
        <v>7620.0</v>
      </c>
      <c r="E195" s="9">
        <f t="shared" si="1"/>
        <v>0</v>
      </c>
      <c r="F195" s="9">
        <f t="shared" si="2"/>
        <v>1</v>
      </c>
      <c r="G195" s="11">
        <f t="shared" si="3"/>
        <v>7620</v>
      </c>
      <c r="H195" s="11">
        <f t="shared" si="4"/>
        <v>6865620</v>
      </c>
      <c r="I195" s="12" t="str">
        <f t="shared" si="5"/>
        <v>F</v>
      </c>
      <c r="J195" s="11">
        <f t="shared" si="6"/>
        <v>12877.8</v>
      </c>
      <c r="K195" s="12" t="str">
        <f t="shared" si="7"/>
        <v>E</v>
      </c>
    </row>
    <row r="196">
      <c r="A196" s="8" t="s">
        <v>140</v>
      </c>
      <c r="B196" s="9">
        <v>7005.0</v>
      </c>
      <c r="C196" s="9">
        <v>19200.899357601713</v>
      </c>
      <c r="D196" s="9">
        <v>7644.785766158315</v>
      </c>
      <c r="E196" s="9">
        <f t="shared" si="1"/>
        <v>-11556.11359</v>
      </c>
      <c r="F196" s="9">
        <f t="shared" si="2"/>
        <v>0.3981472755</v>
      </c>
      <c r="G196" s="11">
        <f t="shared" si="3"/>
        <v>19200.89936</v>
      </c>
      <c r="H196" s="11">
        <f t="shared" si="4"/>
        <v>134502300</v>
      </c>
      <c r="I196" s="12" t="str">
        <f t="shared" si="5"/>
        <v>E1</v>
      </c>
      <c r="J196" s="11">
        <f t="shared" si="6"/>
        <v>32449.51991</v>
      </c>
      <c r="K196" s="12" t="str">
        <f t="shared" si="7"/>
        <v>C</v>
      </c>
    </row>
    <row r="197">
      <c r="A197" s="8" t="s">
        <v>375</v>
      </c>
      <c r="B197" s="9">
        <v>5536.0</v>
      </c>
      <c r="C197" s="9">
        <v>7581.204841040462</v>
      </c>
      <c r="D197" s="9">
        <v>7654.17270929466</v>
      </c>
      <c r="E197" s="9">
        <f t="shared" si="1"/>
        <v>72.96786825</v>
      </c>
      <c r="F197" s="9">
        <f t="shared" si="2"/>
        <v>1.009624838</v>
      </c>
      <c r="G197" s="11">
        <f t="shared" si="3"/>
        <v>7654.172709</v>
      </c>
      <c r="H197" s="11">
        <f t="shared" si="4"/>
        <v>42373500.12</v>
      </c>
      <c r="I197" s="12" t="str">
        <f t="shared" si="5"/>
        <v>F</v>
      </c>
      <c r="J197" s="11">
        <f t="shared" si="6"/>
        <v>12935.55188</v>
      </c>
      <c r="K197" s="12" t="str">
        <f t="shared" si="7"/>
        <v>E</v>
      </c>
    </row>
    <row r="198">
      <c r="A198" s="8" t="s">
        <v>336</v>
      </c>
      <c r="B198" s="9">
        <v>5995.0</v>
      </c>
      <c r="C198" s="9">
        <v>9716.72226855713</v>
      </c>
      <c r="D198" s="9">
        <v>7660.59620596206</v>
      </c>
      <c r="E198" s="9">
        <f t="shared" si="1"/>
        <v>-2056.126063</v>
      </c>
      <c r="F198" s="9">
        <f t="shared" si="2"/>
        <v>0.7883930398</v>
      </c>
      <c r="G198" s="11">
        <f t="shared" si="3"/>
        <v>9716.722269</v>
      </c>
      <c r="H198" s="11">
        <f t="shared" si="4"/>
        <v>58251750</v>
      </c>
      <c r="I198" s="12" t="str">
        <f t="shared" si="5"/>
        <v>F1</v>
      </c>
      <c r="J198" s="11">
        <f t="shared" si="6"/>
        <v>16421.26063</v>
      </c>
      <c r="K198" s="12" t="str">
        <f t="shared" si="7"/>
        <v>E1</v>
      </c>
    </row>
    <row r="199">
      <c r="A199" s="8" t="s">
        <v>394</v>
      </c>
      <c r="B199" s="9">
        <v>245.0</v>
      </c>
      <c r="C199" s="9">
        <v>12000.0</v>
      </c>
      <c r="D199" s="9">
        <v>7687.021531100479</v>
      </c>
      <c r="E199" s="9">
        <f t="shared" si="1"/>
        <v>-4312.978469</v>
      </c>
      <c r="F199" s="9">
        <f t="shared" si="2"/>
        <v>0.6405851276</v>
      </c>
      <c r="G199" s="11">
        <f t="shared" si="3"/>
        <v>12000</v>
      </c>
      <c r="H199" s="11">
        <f t="shared" si="4"/>
        <v>2940000</v>
      </c>
      <c r="I199" s="12" t="str">
        <f t="shared" si="5"/>
        <v>E</v>
      </c>
      <c r="J199" s="11">
        <f t="shared" si="6"/>
        <v>20280</v>
      </c>
      <c r="K199" s="12" t="str">
        <f t="shared" si="7"/>
        <v>D</v>
      </c>
    </row>
    <row r="200">
      <c r="A200" s="8" t="s">
        <v>135</v>
      </c>
      <c r="B200" s="9">
        <v>15510.0</v>
      </c>
      <c r="C200" s="9">
        <v>8151.607672469375</v>
      </c>
      <c r="D200" s="9">
        <v>7696.383446255265</v>
      </c>
      <c r="E200" s="9">
        <f t="shared" si="1"/>
        <v>-455.2242262</v>
      </c>
      <c r="F200" s="9">
        <f t="shared" si="2"/>
        <v>0.9441552827</v>
      </c>
      <c r="G200" s="11">
        <f t="shared" si="3"/>
        <v>8151.607672</v>
      </c>
      <c r="H200" s="11">
        <f t="shared" si="4"/>
        <v>126431435</v>
      </c>
      <c r="I200" s="12" t="str">
        <f t="shared" si="5"/>
        <v>F1</v>
      </c>
      <c r="J200" s="11">
        <f t="shared" si="6"/>
        <v>13776.21697</v>
      </c>
      <c r="K200" s="12" t="str">
        <f t="shared" si="7"/>
        <v>E</v>
      </c>
    </row>
    <row r="201">
      <c r="A201" s="8" t="s">
        <v>185</v>
      </c>
      <c r="B201" s="9">
        <v>14481.0</v>
      </c>
      <c r="C201" s="9">
        <v>3092.34030798978</v>
      </c>
      <c r="D201" s="9">
        <v>7708.488442559085</v>
      </c>
      <c r="E201" s="9">
        <f t="shared" si="1"/>
        <v>4616.148135</v>
      </c>
      <c r="F201" s="9">
        <f t="shared" si="2"/>
        <v>2.492768478</v>
      </c>
      <c r="G201" s="11">
        <f t="shared" si="3"/>
        <v>7708.488443</v>
      </c>
      <c r="H201" s="11">
        <f t="shared" si="4"/>
        <v>111626621.1</v>
      </c>
      <c r="I201" s="12" t="str">
        <f t="shared" si="5"/>
        <v>F</v>
      </c>
      <c r="J201" s="11">
        <f t="shared" si="6"/>
        <v>13027.34547</v>
      </c>
      <c r="K201" s="12" t="str">
        <f t="shared" si="7"/>
        <v>E</v>
      </c>
    </row>
    <row r="202">
      <c r="A202" s="8" t="s">
        <v>396</v>
      </c>
      <c r="B202" s="9">
        <v>845.0</v>
      </c>
      <c r="C202" s="9">
        <v>7841.266272189349</v>
      </c>
      <c r="D202" s="9">
        <v>7822.823303457107</v>
      </c>
      <c r="E202" s="9">
        <f t="shared" si="1"/>
        <v>-18.44296873</v>
      </c>
      <c r="F202" s="9">
        <f t="shared" si="2"/>
        <v>0.9976479604</v>
      </c>
      <c r="G202" s="11">
        <f t="shared" si="3"/>
        <v>7841.266272</v>
      </c>
      <c r="H202" s="11">
        <f t="shared" si="4"/>
        <v>6625870</v>
      </c>
      <c r="I202" s="12" t="str">
        <f t="shared" si="5"/>
        <v>F</v>
      </c>
      <c r="J202" s="11">
        <f t="shared" si="6"/>
        <v>13251.74</v>
      </c>
      <c r="K202" s="12" t="str">
        <f t="shared" si="7"/>
        <v>E</v>
      </c>
    </row>
    <row r="203">
      <c r="A203" s="8" t="s">
        <v>248</v>
      </c>
      <c r="B203" s="9">
        <v>4561.0</v>
      </c>
      <c r="C203" s="9">
        <v>7068.327121245341</v>
      </c>
      <c r="D203" s="9">
        <v>7888.965157521386</v>
      </c>
      <c r="E203" s="9">
        <f t="shared" si="1"/>
        <v>820.6380363</v>
      </c>
      <c r="F203" s="9">
        <f t="shared" si="2"/>
        <v>1.116100744</v>
      </c>
      <c r="G203" s="11">
        <f t="shared" si="3"/>
        <v>7888.965158</v>
      </c>
      <c r="H203" s="11">
        <f t="shared" si="4"/>
        <v>35981570.08</v>
      </c>
      <c r="I203" s="12" t="str">
        <f t="shared" si="5"/>
        <v>F</v>
      </c>
      <c r="J203" s="11">
        <f t="shared" si="6"/>
        <v>13332.35112</v>
      </c>
      <c r="K203" s="12" t="str">
        <f t="shared" si="7"/>
        <v>E</v>
      </c>
    </row>
    <row r="204">
      <c r="A204" s="8" t="s">
        <v>31</v>
      </c>
      <c r="B204" s="9">
        <v>5788.0</v>
      </c>
      <c r="C204" s="9">
        <v>16517.795438838977</v>
      </c>
      <c r="D204" s="9">
        <v>7949.678111587982</v>
      </c>
      <c r="E204" s="9">
        <f t="shared" si="1"/>
        <v>-8568.117327</v>
      </c>
      <c r="F204" s="9">
        <f t="shared" si="2"/>
        <v>0.4812796079</v>
      </c>
      <c r="G204" s="11">
        <f t="shared" si="3"/>
        <v>16517.79544</v>
      </c>
      <c r="H204" s="11">
        <f t="shared" si="4"/>
        <v>95605000</v>
      </c>
      <c r="I204" s="13" t="str">
        <f t="shared" si="5"/>
        <v>E1</v>
      </c>
      <c r="J204" s="11">
        <f t="shared" si="6"/>
        <v>27915.07429</v>
      </c>
      <c r="K204" s="13" t="str">
        <f t="shared" si="7"/>
        <v>D1</v>
      </c>
    </row>
    <row r="205">
      <c r="A205" s="8" t="s">
        <v>95</v>
      </c>
      <c r="B205" s="9">
        <v>4072.0</v>
      </c>
      <c r="C205" s="9">
        <v>7954.545454545455</v>
      </c>
      <c r="D205" s="9">
        <v>7954.545454545455</v>
      </c>
      <c r="E205" s="9">
        <f t="shared" si="1"/>
        <v>0</v>
      </c>
      <c r="F205" s="9">
        <f t="shared" si="2"/>
        <v>1</v>
      </c>
      <c r="G205" s="11">
        <f t="shared" si="3"/>
        <v>7954.545455</v>
      </c>
      <c r="H205" s="11">
        <f t="shared" si="4"/>
        <v>32390909.09</v>
      </c>
      <c r="I205" s="12" t="str">
        <f t="shared" si="5"/>
        <v>F</v>
      </c>
      <c r="J205" s="11">
        <f t="shared" si="6"/>
        <v>13443.18182</v>
      </c>
      <c r="K205" s="12" t="str">
        <f t="shared" si="7"/>
        <v>E</v>
      </c>
    </row>
    <row r="206">
      <c r="A206" s="8" t="s">
        <v>466</v>
      </c>
      <c r="B206" s="9">
        <v>2072.0</v>
      </c>
      <c r="C206" s="9">
        <v>7955.0</v>
      </c>
      <c r="D206" s="9">
        <v>7955.0</v>
      </c>
      <c r="E206" s="9">
        <f t="shared" si="1"/>
        <v>0</v>
      </c>
      <c r="F206" s="9">
        <f t="shared" si="2"/>
        <v>1</v>
      </c>
      <c r="G206" s="11">
        <f t="shared" si="3"/>
        <v>7955</v>
      </c>
      <c r="H206" s="11">
        <f t="shared" si="4"/>
        <v>16482760</v>
      </c>
      <c r="I206" s="12" t="str">
        <f t="shared" si="5"/>
        <v>F</v>
      </c>
      <c r="J206" s="11">
        <f t="shared" si="6"/>
        <v>13443.95</v>
      </c>
      <c r="K206" s="12" t="str">
        <f t="shared" si="7"/>
        <v>E</v>
      </c>
    </row>
    <row r="207">
      <c r="A207" s="8" t="s">
        <v>253</v>
      </c>
      <c r="B207" s="9">
        <v>1579.0</v>
      </c>
      <c r="C207" s="9">
        <v>3846.7384420519315</v>
      </c>
      <c r="D207" s="9">
        <v>7970.127118644068</v>
      </c>
      <c r="E207" s="9">
        <f t="shared" si="1"/>
        <v>4123.388677</v>
      </c>
      <c r="F207" s="9">
        <f t="shared" si="2"/>
        <v>2.07191813</v>
      </c>
      <c r="G207" s="11">
        <f t="shared" si="3"/>
        <v>7970.127119</v>
      </c>
      <c r="H207" s="11">
        <f t="shared" si="4"/>
        <v>12584830.72</v>
      </c>
      <c r="I207" s="12" t="str">
        <f t="shared" si="5"/>
        <v>F</v>
      </c>
      <c r="J207" s="11">
        <f t="shared" si="6"/>
        <v>13469.51483</v>
      </c>
      <c r="K207" s="12" t="str">
        <f t="shared" si="7"/>
        <v>E</v>
      </c>
    </row>
    <row r="208">
      <c r="A208" s="8" t="s">
        <v>33</v>
      </c>
      <c r="B208" s="9">
        <v>50.0</v>
      </c>
      <c r="C208" s="9">
        <v>8000.0</v>
      </c>
      <c r="D208" s="9">
        <v>8000.0</v>
      </c>
      <c r="E208" s="9">
        <f t="shared" si="1"/>
        <v>0</v>
      </c>
      <c r="F208" s="9">
        <f t="shared" si="2"/>
        <v>1</v>
      </c>
      <c r="G208" s="11">
        <f t="shared" si="3"/>
        <v>8000</v>
      </c>
      <c r="H208" s="11">
        <f t="shared" si="4"/>
        <v>400000</v>
      </c>
      <c r="I208" s="13" t="str">
        <f t="shared" si="5"/>
        <v>F1</v>
      </c>
      <c r="J208" s="11">
        <f t="shared" si="6"/>
        <v>13520</v>
      </c>
      <c r="K208" s="13" t="str">
        <f t="shared" si="7"/>
        <v>E</v>
      </c>
    </row>
    <row r="209">
      <c r="A209" s="8" t="s">
        <v>27</v>
      </c>
      <c r="B209" s="9">
        <v>1149.0</v>
      </c>
      <c r="C209" s="9">
        <v>15463.185378590078</v>
      </c>
      <c r="D209" s="9">
        <v>8054.520672421627</v>
      </c>
      <c r="E209" s="9">
        <f t="shared" si="1"/>
        <v>-7408.664706</v>
      </c>
      <c r="F209" s="9">
        <f t="shared" si="2"/>
        <v>0.520883665</v>
      </c>
      <c r="G209" s="11">
        <f t="shared" si="3"/>
        <v>15463.18538</v>
      </c>
      <c r="H209" s="11">
        <f t="shared" si="4"/>
        <v>17767200</v>
      </c>
      <c r="I209" s="12" t="str">
        <f t="shared" si="5"/>
        <v>E</v>
      </c>
      <c r="J209" s="11">
        <f t="shared" si="6"/>
        <v>26132.78329</v>
      </c>
      <c r="K209" s="12" t="str">
        <f t="shared" si="7"/>
        <v>D1</v>
      </c>
    </row>
    <row r="210">
      <c r="A210" s="8" t="s">
        <v>168</v>
      </c>
      <c r="B210" s="9">
        <v>746.0</v>
      </c>
      <c r="C210" s="9">
        <v>8133.925737860996</v>
      </c>
      <c r="D210" s="9">
        <v>8133.925737860996</v>
      </c>
      <c r="E210" s="9">
        <f t="shared" si="1"/>
        <v>0</v>
      </c>
      <c r="F210" s="9">
        <f t="shared" si="2"/>
        <v>1</v>
      </c>
      <c r="G210" s="11">
        <f t="shared" si="3"/>
        <v>8133.925738</v>
      </c>
      <c r="H210" s="11">
        <f t="shared" si="4"/>
        <v>6067908.6</v>
      </c>
      <c r="I210" s="12" t="str">
        <f t="shared" si="5"/>
        <v>F1</v>
      </c>
      <c r="J210" s="11">
        <f t="shared" si="6"/>
        <v>13746.3345</v>
      </c>
      <c r="K210" s="12" t="str">
        <f t="shared" si="7"/>
        <v>E</v>
      </c>
    </row>
    <row r="211">
      <c r="A211" s="8" t="s">
        <v>164</v>
      </c>
      <c r="B211" s="9">
        <v>526.0</v>
      </c>
      <c r="C211" s="9">
        <v>7940.532319391635</v>
      </c>
      <c r="D211" s="9">
        <v>8269.961977186313</v>
      </c>
      <c r="E211" s="9">
        <f t="shared" si="1"/>
        <v>329.4296578</v>
      </c>
      <c r="F211" s="9">
        <f t="shared" si="2"/>
        <v>1.0414871</v>
      </c>
      <c r="G211" s="11">
        <f t="shared" si="3"/>
        <v>8269.961977</v>
      </c>
      <c r="H211" s="11">
        <f t="shared" si="4"/>
        <v>4350000</v>
      </c>
      <c r="I211" s="12" t="str">
        <f t="shared" si="5"/>
        <v>F1</v>
      </c>
      <c r="J211" s="11">
        <f t="shared" si="6"/>
        <v>13976.23574</v>
      </c>
      <c r="K211" s="12" t="str">
        <f t="shared" si="7"/>
        <v>E</v>
      </c>
    </row>
    <row r="212">
      <c r="A212" s="8" t="s">
        <v>180</v>
      </c>
      <c r="B212" s="9">
        <v>71.0</v>
      </c>
      <c r="C212" s="10">
        <v>8290.0</v>
      </c>
      <c r="D212" s="10">
        <v>8290.0</v>
      </c>
      <c r="E212" s="9">
        <f t="shared" si="1"/>
        <v>0</v>
      </c>
      <c r="F212" s="9">
        <f t="shared" si="2"/>
        <v>1</v>
      </c>
      <c r="G212" s="11">
        <f t="shared" si="3"/>
        <v>8290</v>
      </c>
      <c r="H212" s="11">
        <f t="shared" si="4"/>
        <v>588590</v>
      </c>
      <c r="I212" s="12" t="str">
        <f t="shared" si="5"/>
        <v>F1</v>
      </c>
      <c r="J212" s="11">
        <f t="shared" si="6"/>
        <v>14010.1</v>
      </c>
      <c r="K212" s="12" t="str">
        <f t="shared" si="7"/>
        <v>E</v>
      </c>
    </row>
    <row r="213">
      <c r="A213" s="8" t="s">
        <v>321</v>
      </c>
      <c r="B213" s="9">
        <v>1586.0</v>
      </c>
      <c r="C213" s="9">
        <v>8294.716267339218</v>
      </c>
      <c r="D213" s="9">
        <v>8294.716267339218</v>
      </c>
      <c r="E213" s="9">
        <f t="shared" si="1"/>
        <v>0</v>
      </c>
      <c r="F213" s="9">
        <f t="shared" si="2"/>
        <v>1</v>
      </c>
      <c r="G213" s="11">
        <f t="shared" si="3"/>
        <v>8294.716267</v>
      </c>
      <c r="H213" s="11">
        <f t="shared" si="4"/>
        <v>13155420</v>
      </c>
      <c r="I213" s="12" t="str">
        <f t="shared" si="5"/>
        <v>F1</v>
      </c>
      <c r="J213" s="11">
        <f t="shared" si="6"/>
        <v>14018.07049</v>
      </c>
      <c r="K213" s="12" t="str">
        <f t="shared" si="7"/>
        <v>E</v>
      </c>
    </row>
    <row r="214">
      <c r="A214" s="8" t="s">
        <v>266</v>
      </c>
      <c r="B214" s="9">
        <v>8456.0</v>
      </c>
      <c r="C214" s="9">
        <v>4284.242549668874</v>
      </c>
      <c r="D214" s="9">
        <v>8342.113475959417</v>
      </c>
      <c r="E214" s="9">
        <f t="shared" si="1"/>
        <v>4057.870926</v>
      </c>
      <c r="F214" s="9">
        <f t="shared" si="2"/>
        <v>1.94716181</v>
      </c>
      <c r="G214" s="11">
        <f t="shared" si="3"/>
        <v>8342.113476</v>
      </c>
      <c r="H214" s="11">
        <f t="shared" si="4"/>
        <v>70540911.55</v>
      </c>
      <c r="I214" s="12" t="str">
        <f t="shared" si="5"/>
        <v>F1</v>
      </c>
      <c r="J214" s="11">
        <f t="shared" si="6"/>
        <v>14098.17177</v>
      </c>
      <c r="K214" s="12" t="str">
        <f t="shared" si="7"/>
        <v>E</v>
      </c>
    </row>
    <row r="215">
      <c r="A215" s="8" t="s">
        <v>114</v>
      </c>
      <c r="B215" s="9">
        <v>457.0</v>
      </c>
      <c r="C215" s="9">
        <v>13550.765864332603</v>
      </c>
      <c r="D215" s="9">
        <v>8373.533533533533</v>
      </c>
      <c r="E215" s="9">
        <f t="shared" si="1"/>
        <v>-5177.232331</v>
      </c>
      <c r="F215" s="9">
        <f t="shared" si="2"/>
        <v>0.6179380278</v>
      </c>
      <c r="G215" s="11">
        <f t="shared" si="3"/>
        <v>13550.76586</v>
      </c>
      <c r="H215" s="11">
        <f t="shared" si="4"/>
        <v>6192700</v>
      </c>
      <c r="I215" s="12" t="str">
        <f t="shared" si="5"/>
        <v>E</v>
      </c>
      <c r="J215" s="11">
        <f t="shared" si="6"/>
        <v>22900.79431</v>
      </c>
      <c r="K215" s="12" t="str">
        <f t="shared" si="7"/>
        <v>D</v>
      </c>
    </row>
    <row r="216">
      <c r="A216" s="8" t="s">
        <v>439</v>
      </c>
      <c r="B216" s="9">
        <v>63.0</v>
      </c>
      <c r="C216" s="9">
        <v>6800.0</v>
      </c>
      <c r="D216" s="9">
        <v>8398.707423580787</v>
      </c>
      <c r="E216" s="9">
        <f t="shared" si="1"/>
        <v>1598.707424</v>
      </c>
      <c r="F216" s="9">
        <f t="shared" si="2"/>
        <v>1.235104033</v>
      </c>
      <c r="G216" s="11">
        <f t="shared" si="3"/>
        <v>8398.707424</v>
      </c>
      <c r="H216" s="11">
        <f t="shared" si="4"/>
        <v>529118.5677</v>
      </c>
      <c r="I216" s="12" t="str">
        <f t="shared" si="5"/>
        <v>F1</v>
      </c>
      <c r="J216" s="11">
        <f t="shared" si="6"/>
        <v>14193.81555</v>
      </c>
      <c r="K216" s="12" t="str">
        <f t="shared" si="7"/>
        <v>E</v>
      </c>
    </row>
    <row r="217">
      <c r="A217" s="8" t="s">
        <v>469</v>
      </c>
      <c r="B217" s="9">
        <v>40.0</v>
      </c>
      <c r="C217" s="9">
        <v>70000.0</v>
      </c>
      <c r="D217" s="9">
        <v>8462.118491921006</v>
      </c>
      <c r="E217" s="9">
        <f t="shared" si="1"/>
        <v>-61537.88151</v>
      </c>
      <c r="F217" s="9">
        <f t="shared" si="2"/>
        <v>0.120887407</v>
      </c>
      <c r="G217" s="11">
        <f t="shared" si="3"/>
        <v>70000</v>
      </c>
      <c r="H217" s="11">
        <f t="shared" si="4"/>
        <v>2800000</v>
      </c>
      <c r="I217" s="12" t="str">
        <f t="shared" si="5"/>
        <v>S</v>
      </c>
      <c r="J217" s="11">
        <f t="shared" si="6"/>
        <v>118300</v>
      </c>
      <c r="K217" s="12" t="str">
        <f t="shared" si="7"/>
        <v>S</v>
      </c>
    </row>
    <row r="218">
      <c r="A218" s="8" t="s">
        <v>76</v>
      </c>
      <c r="B218" s="9">
        <v>84.0</v>
      </c>
      <c r="C218" s="9">
        <v>8504.273504273504</v>
      </c>
      <c r="D218" s="9">
        <v>8504.273504273504</v>
      </c>
      <c r="E218" s="9">
        <f t="shared" si="1"/>
        <v>0</v>
      </c>
      <c r="F218" s="9">
        <f t="shared" si="2"/>
        <v>1</v>
      </c>
      <c r="G218" s="11">
        <f t="shared" si="3"/>
        <v>8504.273504</v>
      </c>
      <c r="H218" s="11">
        <f t="shared" si="4"/>
        <v>714358.9744</v>
      </c>
      <c r="I218" s="12" t="str">
        <f t="shared" si="5"/>
        <v>F1</v>
      </c>
      <c r="J218" s="11">
        <f t="shared" si="6"/>
        <v>14372.22222</v>
      </c>
      <c r="K218" s="12" t="str">
        <f t="shared" si="7"/>
        <v>E</v>
      </c>
    </row>
    <row r="219">
      <c r="A219" s="8" t="s">
        <v>157</v>
      </c>
      <c r="B219" s="9">
        <v>739.0</v>
      </c>
      <c r="C219" s="9">
        <v>3604.668470906631</v>
      </c>
      <c r="D219" s="9">
        <v>8506.87296416938</v>
      </c>
      <c r="E219" s="9">
        <f t="shared" si="1"/>
        <v>4902.204493</v>
      </c>
      <c r="F219" s="9">
        <f t="shared" si="2"/>
        <v>2.359959878</v>
      </c>
      <c r="G219" s="11">
        <f t="shared" si="3"/>
        <v>8506.872964</v>
      </c>
      <c r="H219" s="11">
        <f t="shared" si="4"/>
        <v>6286579.121</v>
      </c>
      <c r="I219" s="12" t="str">
        <f t="shared" si="5"/>
        <v>F1</v>
      </c>
      <c r="J219" s="11">
        <f t="shared" si="6"/>
        <v>14376.61531</v>
      </c>
      <c r="K219" s="12" t="str">
        <f t="shared" si="7"/>
        <v>E</v>
      </c>
    </row>
    <row r="220">
      <c r="A220" s="8" t="s">
        <v>96</v>
      </c>
      <c r="B220" s="9">
        <v>156.0</v>
      </c>
      <c r="C220" s="9">
        <v>8600.0</v>
      </c>
      <c r="D220" s="9">
        <v>8600.0</v>
      </c>
      <c r="E220" s="9">
        <f t="shared" si="1"/>
        <v>0</v>
      </c>
      <c r="F220" s="9">
        <f t="shared" si="2"/>
        <v>1</v>
      </c>
      <c r="G220" s="11">
        <f t="shared" si="3"/>
        <v>8600</v>
      </c>
      <c r="H220" s="11">
        <f t="shared" si="4"/>
        <v>1341600</v>
      </c>
      <c r="I220" s="12" t="str">
        <f t="shared" si="5"/>
        <v>F1</v>
      </c>
      <c r="J220" s="11">
        <f t="shared" si="6"/>
        <v>14534</v>
      </c>
      <c r="K220" s="12" t="str">
        <f t="shared" si="7"/>
        <v>E</v>
      </c>
    </row>
    <row r="221">
      <c r="A221" s="8" t="s">
        <v>303</v>
      </c>
      <c r="B221" s="9">
        <v>3655.0</v>
      </c>
      <c r="C221" s="10">
        <v>5740.0</v>
      </c>
      <c r="D221" s="9">
        <v>8617.343035343036</v>
      </c>
      <c r="E221" s="9">
        <f t="shared" si="1"/>
        <v>2877.343035</v>
      </c>
      <c r="F221" s="9">
        <f t="shared" si="2"/>
        <v>1.501279274</v>
      </c>
      <c r="G221" s="11">
        <f t="shared" si="3"/>
        <v>8617.343035</v>
      </c>
      <c r="H221" s="11">
        <f t="shared" si="4"/>
        <v>31496388.79</v>
      </c>
      <c r="I221" s="12" t="str">
        <f t="shared" si="5"/>
        <v>F1</v>
      </c>
      <c r="J221" s="11">
        <f t="shared" si="6"/>
        <v>14563.30973</v>
      </c>
      <c r="K221" s="12" t="str">
        <f t="shared" si="7"/>
        <v>E</v>
      </c>
    </row>
    <row r="222">
      <c r="A222" s="8" t="s">
        <v>246</v>
      </c>
      <c r="B222" s="9">
        <v>5279.0</v>
      </c>
      <c r="C222" s="9">
        <v>3617.5222580034097</v>
      </c>
      <c r="D222" s="9">
        <v>8657.200215575316</v>
      </c>
      <c r="E222" s="9">
        <f t="shared" si="1"/>
        <v>5039.677958</v>
      </c>
      <c r="F222" s="9">
        <f t="shared" si="2"/>
        <v>2.393129772</v>
      </c>
      <c r="G222" s="11">
        <f t="shared" si="3"/>
        <v>8657.200216</v>
      </c>
      <c r="H222" s="11">
        <f t="shared" si="4"/>
        <v>45701359.94</v>
      </c>
      <c r="I222" s="12" t="str">
        <f t="shared" si="5"/>
        <v>F1</v>
      </c>
      <c r="J222" s="11">
        <f t="shared" si="6"/>
        <v>14630.66836</v>
      </c>
      <c r="K222" s="12" t="str">
        <f t="shared" si="7"/>
        <v>E</v>
      </c>
    </row>
    <row r="223">
      <c r="A223" s="8" t="s">
        <v>312</v>
      </c>
      <c r="B223" s="9">
        <v>250.0</v>
      </c>
      <c r="C223" s="9">
        <v>8703.84</v>
      </c>
      <c r="D223" s="9">
        <v>8703.84</v>
      </c>
      <c r="E223" s="9">
        <f t="shared" si="1"/>
        <v>0</v>
      </c>
      <c r="F223" s="9">
        <f t="shared" si="2"/>
        <v>1</v>
      </c>
      <c r="G223" s="11">
        <f t="shared" si="3"/>
        <v>8703.84</v>
      </c>
      <c r="H223" s="11">
        <f t="shared" si="4"/>
        <v>2175960</v>
      </c>
      <c r="I223" s="12" t="str">
        <f t="shared" si="5"/>
        <v>F1</v>
      </c>
      <c r="J223" s="11">
        <f t="shared" si="6"/>
        <v>14709.4896</v>
      </c>
      <c r="K223" s="12" t="str">
        <f t="shared" si="7"/>
        <v>E</v>
      </c>
    </row>
    <row r="224">
      <c r="A224" s="8" t="s">
        <v>407</v>
      </c>
      <c r="B224" s="9">
        <v>907.0</v>
      </c>
      <c r="C224" s="10">
        <v>8720.0</v>
      </c>
      <c r="D224" s="10">
        <v>8720.0</v>
      </c>
      <c r="E224" s="9">
        <f t="shared" si="1"/>
        <v>0</v>
      </c>
      <c r="F224" s="9">
        <f t="shared" si="2"/>
        <v>1</v>
      </c>
      <c r="G224" s="11">
        <f t="shared" si="3"/>
        <v>8720</v>
      </c>
      <c r="H224" s="11">
        <f t="shared" si="4"/>
        <v>7909040</v>
      </c>
      <c r="I224" s="12" t="str">
        <f t="shared" si="5"/>
        <v>F1</v>
      </c>
      <c r="J224" s="11">
        <f t="shared" si="6"/>
        <v>14736.8</v>
      </c>
      <c r="K224" s="12" t="str">
        <f t="shared" si="7"/>
        <v>E</v>
      </c>
    </row>
    <row r="225">
      <c r="A225" s="8" t="s">
        <v>196</v>
      </c>
      <c r="B225" s="9">
        <v>2777.0</v>
      </c>
      <c r="C225" s="9">
        <v>4265.718401152322</v>
      </c>
      <c r="D225" s="9">
        <v>8751.38952164009</v>
      </c>
      <c r="E225" s="9">
        <f t="shared" si="1"/>
        <v>4485.67112</v>
      </c>
      <c r="F225" s="9">
        <f t="shared" si="2"/>
        <v>2.051562878</v>
      </c>
      <c r="G225" s="11">
        <f t="shared" si="3"/>
        <v>8751.389522</v>
      </c>
      <c r="H225" s="11">
        <f t="shared" si="4"/>
        <v>24302608.7</v>
      </c>
      <c r="I225" s="12" t="str">
        <f t="shared" si="5"/>
        <v>F1</v>
      </c>
      <c r="J225" s="11">
        <f t="shared" si="6"/>
        <v>14789.84829</v>
      </c>
      <c r="K225" s="12" t="str">
        <f t="shared" si="7"/>
        <v>E</v>
      </c>
    </row>
    <row r="226">
      <c r="A226" s="8" t="s">
        <v>279</v>
      </c>
      <c r="B226" s="9">
        <v>735.0</v>
      </c>
      <c r="C226" s="10">
        <v>8890.0</v>
      </c>
      <c r="D226" s="10">
        <v>8890.0</v>
      </c>
      <c r="E226" s="9">
        <f t="shared" si="1"/>
        <v>0</v>
      </c>
      <c r="F226" s="9">
        <f t="shared" si="2"/>
        <v>1</v>
      </c>
      <c r="G226" s="11">
        <f t="shared" si="3"/>
        <v>8890</v>
      </c>
      <c r="H226" s="11">
        <f t="shared" si="4"/>
        <v>6534150</v>
      </c>
      <c r="I226" s="12" t="str">
        <f t="shared" si="5"/>
        <v>F1</v>
      </c>
      <c r="J226" s="11">
        <f t="shared" si="6"/>
        <v>15024.1</v>
      </c>
      <c r="K226" s="12" t="str">
        <f t="shared" si="7"/>
        <v>E</v>
      </c>
    </row>
    <row r="227">
      <c r="A227" s="8" t="s">
        <v>141</v>
      </c>
      <c r="B227" s="9">
        <v>4982.0</v>
      </c>
      <c r="C227" s="9">
        <v>3407.396627860297</v>
      </c>
      <c r="D227" s="9">
        <v>8903.71963562753</v>
      </c>
      <c r="E227" s="9">
        <f t="shared" si="1"/>
        <v>5496.323008</v>
      </c>
      <c r="F227" s="9">
        <f t="shared" si="2"/>
        <v>2.613056421</v>
      </c>
      <c r="G227" s="11">
        <f t="shared" si="3"/>
        <v>8903.719636</v>
      </c>
      <c r="H227" s="11">
        <f t="shared" si="4"/>
        <v>44358331.22</v>
      </c>
      <c r="I227" s="12" t="str">
        <f t="shared" si="5"/>
        <v>F1</v>
      </c>
      <c r="J227" s="11">
        <f t="shared" si="6"/>
        <v>15047.28618</v>
      </c>
      <c r="K227" s="12" t="str">
        <f t="shared" si="7"/>
        <v>E</v>
      </c>
    </row>
    <row r="228">
      <c r="A228" s="8" t="s">
        <v>249</v>
      </c>
      <c r="B228" s="9">
        <v>2651.0</v>
      </c>
      <c r="C228" s="9">
        <v>10253.564692568842</v>
      </c>
      <c r="D228" s="9">
        <v>9196.952908587258</v>
      </c>
      <c r="E228" s="9">
        <f t="shared" si="1"/>
        <v>-1056.611784</v>
      </c>
      <c r="F228" s="9">
        <f t="shared" si="2"/>
        <v>0.8969517611</v>
      </c>
      <c r="G228" s="11">
        <f t="shared" si="3"/>
        <v>10253.56469</v>
      </c>
      <c r="H228" s="11">
        <f t="shared" si="4"/>
        <v>27182200</v>
      </c>
      <c r="I228" s="12" t="str">
        <f t="shared" si="5"/>
        <v>F1</v>
      </c>
      <c r="J228" s="11">
        <f t="shared" si="6"/>
        <v>17328.52433</v>
      </c>
      <c r="K228" s="12" t="str">
        <f t="shared" si="7"/>
        <v>E1</v>
      </c>
    </row>
    <row r="229">
      <c r="A229" s="8" t="s">
        <v>458</v>
      </c>
      <c r="B229" s="9">
        <v>69.0</v>
      </c>
      <c r="C229" s="9">
        <v>6450.0</v>
      </c>
      <c r="D229" s="9">
        <v>9196.98596705308</v>
      </c>
      <c r="E229" s="9">
        <f t="shared" si="1"/>
        <v>2746.985967</v>
      </c>
      <c r="F229" s="9">
        <f t="shared" si="2"/>
        <v>1.425889297</v>
      </c>
      <c r="G229" s="11">
        <f t="shared" si="3"/>
        <v>9196.985967</v>
      </c>
      <c r="H229" s="11">
        <f t="shared" si="4"/>
        <v>634592.0317</v>
      </c>
      <c r="I229" s="12" t="str">
        <f t="shared" si="5"/>
        <v>F1</v>
      </c>
      <c r="J229" s="11">
        <f t="shared" si="6"/>
        <v>15542.90628</v>
      </c>
      <c r="K229" s="12" t="str">
        <f t="shared" si="7"/>
        <v>E</v>
      </c>
    </row>
    <row r="230">
      <c r="A230" s="8" t="s">
        <v>414</v>
      </c>
      <c r="B230" s="9">
        <v>1488.0</v>
      </c>
      <c r="C230" s="9">
        <v>9599.462365591398</v>
      </c>
      <c r="D230" s="9">
        <v>9217.344217687074</v>
      </c>
      <c r="E230" s="9">
        <f t="shared" si="1"/>
        <v>-382.1181479</v>
      </c>
      <c r="F230" s="9">
        <f t="shared" si="2"/>
        <v>0.960193797</v>
      </c>
      <c r="G230" s="11">
        <f t="shared" si="3"/>
        <v>9599.462366</v>
      </c>
      <c r="H230" s="11">
        <f t="shared" si="4"/>
        <v>14284000</v>
      </c>
      <c r="I230" s="12" t="str">
        <f t="shared" si="5"/>
        <v>F1</v>
      </c>
      <c r="J230" s="11">
        <f t="shared" si="6"/>
        <v>16223.0914</v>
      </c>
      <c r="K230" s="12" t="str">
        <f t="shared" si="7"/>
        <v>E1</v>
      </c>
    </row>
    <row r="231">
      <c r="A231" s="8" t="s">
        <v>234</v>
      </c>
      <c r="B231" s="9">
        <v>154.0</v>
      </c>
      <c r="C231" s="9">
        <v>9233.766233766233</v>
      </c>
      <c r="D231" s="9">
        <v>9233.766233766233</v>
      </c>
      <c r="E231" s="9">
        <f t="shared" si="1"/>
        <v>0</v>
      </c>
      <c r="F231" s="9">
        <f t="shared" si="2"/>
        <v>1</v>
      </c>
      <c r="G231" s="11">
        <f t="shared" si="3"/>
        <v>9233.766234</v>
      </c>
      <c r="H231" s="11">
        <f t="shared" si="4"/>
        <v>1422000</v>
      </c>
      <c r="I231" s="12" t="str">
        <f t="shared" si="5"/>
        <v>F1</v>
      </c>
      <c r="J231" s="11">
        <f t="shared" si="6"/>
        <v>15605.06494</v>
      </c>
      <c r="K231" s="12" t="str">
        <f t="shared" si="7"/>
        <v>E</v>
      </c>
    </row>
    <row r="232">
      <c r="A232" s="8" t="s">
        <v>360</v>
      </c>
      <c r="B232" s="9">
        <v>660.0</v>
      </c>
      <c r="C232" s="9">
        <v>7593.333333333333</v>
      </c>
      <c r="D232" s="9">
        <v>9321.552106430156</v>
      </c>
      <c r="E232" s="9">
        <f t="shared" si="1"/>
        <v>1728.218773</v>
      </c>
      <c r="F232" s="9">
        <f t="shared" si="2"/>
        <v>1.227596853</v>
      </c>
      <c r="G232" s="11">
        <f t="shared" si="3"/>
        <v>9321.552106</v>
      </c>
      <c r="H232" s="11">
        <f t="shared" si="4"/>
        <v>6152224.39</v>
      </c>
      <c r="I232" s="12" t="str">
        <f t="shared" si="5"/>
        <v>F1</v>
      </c>
      <c r="J232" s="11">
        <f t="shared" si="6"/>
        <v>15753.42306</v>
      </c>
      <c r="K232" s="12" t="str">
        <f t="shared" si="7"/>
        <v>E</v>
      </c>
    </row>
    <row r="233">
      <c r="A233" s="8" t="s">
        <v>415</v>
      </c>
      <c r="B233" s="9">
        <v>4170.0</v>
      </c>
      <c r="C233" s="9">
        <v>6153.273381294964</v>
      </c>
      <c r="D233" s="9">
        <v>9511.005901287554</v>
      </c>
      <c r="E233" s="9">
        <f t="shared" si="1"/>
        <v>3357.73252</v>
      </c>
      <c r="F233" s="9">
        <f t="shared" si="2"/>
        <v>1.545682324</v>
      </c>
      <c r="G233" s="11">
        <f t="shared" si="3"/>
        <v>9511.005901</v>
      </c>
      <c r="H233" s="11">
        <f t="shared" si="4"/>
        <v>39660894.61</v>
      </c>
      <c r="I233" s="12" t="str">
        <f t="shared" si="5"/>
        <v>F1</v>
      </c>
      <c r="J233" s="11">
        <f t="shared" si="6"/>
        <v>16073.59997</v>
      </c>
      <c r="K233" s="12" t="str">
        <f t="shared" si="7"/>
        <v>E1</v>
      </c>
    </row>
    <row r="234">
      <c r="A234" s="8" t="s">
        <v>318</v>
      </c>
      <c r="B234" s="9">
        <v>2700.0</v>
      </c>
      <c r="C234" s="9">
        <v>7232.444444444444</v>
      </c>
      <c r="D234" s="9">
        <v>9586.666666666666</v>
      </c>
      <c r="E234" s="9">
        <f t="shared" si="1"/>
        <v>2354.222222</v>
      </c>
      <c r="F234" s="9">
        <f t="shared" si="2"/>
        <v>1.325508511</v>
      </c>
      <c r="G234" s="11">
        <f t="shared" si="3"/>
        <v>9586.666667</v>
      </c>
      <c r="H234" s="11">
        <f t="shared" si="4"/>
        <v>25884000</v>
      </c>
      <c r="I234" s="12" t="str">
        <f t="shared" si="5"/>
        <v>F1</v>
      </c>
      <c r="J234" s="11">
        <f t="shared" si="6"/>
        <v>16201.46667</v>
      </c>
      <c r="K234" s="12" t="str">
        <f t="shared" si="7"/>
        <v>E1</v>
      </c>
    </row>
    <row r="235">
      <c r="A235" s="8" t="s">
        <v>305</v>
      </c>
      <c r="B235" s="9">
        <v>484.0</v>
      </c>
      <c r="C235" s="9">
        <v>3000.0</v>
      </c>
      <c r="D235" s="9">
        <v>9679.91532599492</v>
      </c>
      <c r="E235" s="9">
        <f t="shared" si="1"/>
        <v>6679.915326</v>
      </c>
      <c r="F235" s="9">
        <f t="shared" si="2"/>
        <v>3.226638442</v>
      </c>
      <c r="G235" s="11">
        <f t="shared" si="3"/>
        <v>9679.915326</v>
      </c>
      <c r="H235" s="11">
        <f t="shared" si="4"/>
        <v>4685079.018</v>
      </c>
      <c r="I235" s="12" t="str">
        <f t="shared" si="5"/>
        <v>F1</v>
      </c>
      <c r="J235" s="11">
        <f t="shared" si="6"/>
        <v>16359.0569</v>
      </c>
      <c r="K235" s="12" t="str">
        <f t="shared" si="7"/>
        <v>E1</v>
      </c>
    </row>
    <row r="236">
      <c r="A236" s="8" t="s">
        <v>172</v>
      </c>
      <c r="B236" s="9">
        <v>191.0</v>
      </c>
      <c r="C236" s="9">
        <v>9687.958115183246</v>
      </c>
      <c r="D236" s="9">
        <v>9687.958115183246</v>
      </c>
      <c r="E236" s="9">
        <f t="shared" si="1"/>
        <v>0</v>
      </c>
      <c r="F236" s="9">
        <f t="shared" si="2"/>
        <v>1</v>
      </c>
      <c r="G236" s="11">
        <f t="shared" si="3"/>
        <v>9687.958115</v>
      </c>
      <c r="H236" s="11">
        <f t="shared" si="4"/>
        <v>1850400</v>
      </c>
      <c r="I236" s="12" t="str">
        <f t="shared" si="5"/>
        <v>F1</v>
      </c>
      <c r="J236" s="11">
        <f t="shared" si="6"/>
        <v>16372.64921</v>
      </c>
      <c r="K236" s="12" t="str">
        <f t="shared" si="7"/>
        <v>E1</v>
      </c>
    </row>
    <row r="237">
      <c r="A237" s="8" t="s">
        <v>62</v>
      </c>
      <c r="B237" s="9">
        <v>164.0</v>
      </c>
      <c r="C237" s="9">
        <v>9764.146341463415</v>
      </c>
      <c r="D237" s="9">
        <v>9764.146341463415</v>
      </c>
      <c r="E237" s="9">
        <f t="shared" si="1"/>
        <v>0</v>
      </c>
      <c r="F237" s="9">
        <f t="shared" si="2"/>
        <v>1</v>
      </c>
      <c r="G237" s="11">
        <f t="shared" si="3"/>
        <v>9764.146341</v>
      </c>
      <c r="H237" s="11">
        <f t="shared" si="4"/>
        <v>1601320</v>
      </c>
      <c r="I237" s="12" t="str">
        <f t="shared" si="5"/>
        <v>F1</v>
      </c>
      <c r="J237" s="11">
        <f t="shared" si="6"/>
        <v>16501.40732</v>
      </c>
      <c r="K237" s="12" t="str">
        <f t="shared" si="7"/>
        <v>E1</v>
      </c>
    </row>
    <row r="238">
      <c r="A238" s="8" t="s">
        <v>372</v>
      </c>
      <c r="B238" s="9">
        <v>1821.0</v>
      </c>
      <c r="C238" s="9">
        <v>2385.55738605162</v>
      </c>
      <c r="D238" s="9">
        <v>9910.477178423236</v>
      </c>
      <c r="E238" s="9">
        <f t="shared" si="1"/>
        <v>7524.919792</v>
      </c>
      <c r="F238" s="9">
        <f t="shared" si="2"/>
        <v>4.154365448</v>
      </c>
      <c r="G238" s="11">
        <f t="shared" si="3"/>
        <v>9910.477178</v>
      </c>
      <c r="H238" s="11">
        <f t="shared" si="4"/>
        <v>18046978.94</v>
      </c>
      <c r="I238" s="12" t="str">
        <f t="shared" si="5"/>
        <v>F1</v>
      </c>
      <c r="J238" s="11">
        <f t="shared" si="6"/>
        <v>16748.70643</v>
      </c>
      <c r="K238" s="12" t="str">
        <f t="shared" si="7"/>
        <v>E1</v>
      </c>
    </row>
    <row r="239">
      <c r="A239" s="8" t="s">
        <v>310</v>
      </c>
      <c r="B239" s="9">
        <v>322.0</v>
      </c>
      <c r="C239" s="9">
        <v>10000.0</v>
      </c>
      <c r="D239" s="9">
        <v>10000.0</v>
      </c>
      <c r="E239" s="9">
        <f t="shared" si="1"/>
        <v>0</v>
      </c>
      <c r="F239" s="9">
        <f t="shared" si="2"/>
        <v>1</v>
      </c>
      <c r="G239" s="11">
        <f t="shared" si="3"/>
        <v>10000</v>
      </c>
      <c r="H239" s="11">
        <f t="shared" si="4"/>
        <v>3220000</v>
      </c>
      <c r="I239" s="12" t="str">
        <f t="shared" si="5"/>
        <v>F1</v>
      </c>
      <c r="J239" s="11">
        <f t="shared" si="6"/>
        <v>16900</v>
      </c>
      <c r="K239" s="12" t="str">
        <f t="shared" si="7"/>
        <v>E1</v>
      </c>
    </row>
    <row r="240">
      <c r="A240" s="8" t="s">
        <v>290</v>
      </c>
      <c r="B240" s="9">
        <v>214.0</v>
      </c>
      <c r="C240" s="9">
        <v>10084.677419354839</v>
      </c>
      <c r="D240" s="9">
        <v>10084.677419354839</v>
      </c>
      <c r="E240" s="9">
        <f t="shared" si="1"/>
        <v>0</v>
      </c>
      <c r="F240" s="9">
        <f t="shared" si="2"/>
        <v>1</v>
      </c>
      <c r="G240" s="11">
        <f t="shared" si="3"/>
        <v>10084.67742</v>
      </c>
      <c r="H240" s="11">
        <f t="shared" si="4"/>
        <v>2158120.968</v>
      </c>
      <c r="I240" s="12" t="str">
        <f t="shared" si="5"/>
        <v>F1</v>
      </c>
      <c r="J240" s="11">
        <f t="shared" si="6"/>
        <v>17043.10484</v>
      </c>
      <c r="K240" s="12" t="str">
        <f t="shared" si="7"/>
        <v>E1</v>
      </c>
    </row>
    <row r="241">
      <c r="A241" s="8" t="s">
        <v>108</v>
      </c>
      <c r="B241" s="9">
        <v>960.0</v>
      </c>
      <c r="C241" s="9">
        <v>11383.333333333334</v>
      </c>
      <c r="D241" s="9">
        <v>10141.62077104642</v>
      </c>
      <c r="E241" s="9">
        <f t="shared" si="1"/>
        <v>-1241.712562</v>
      </c>
      <c r="F241" s="9">
        <f t="shared" si="2"/>
        <v>0.8909183693</v>
      </c>
      <c r="G241" s="11">
        <f t="shared" si="3"/>
        <v>11383.33333</v>
      </c>
      <c r="H241" s="11">
        <f t="shared" si="4"/>
        <v>10928000</v>
      </c>
      <c r="I241" s="12" t="str">
        <f t="shared" si="5"/>
        <v>F1</v>
      </c>
      <c r="J241" s="11">
        <f t="shared" si="6"/>
        <v>19237.83333</v>
      </c>
      <c r="K241" s="12" t="str">
        <f t="shared" si="7"/>
        <v>E1</v>
      </c>
    </row>
    <row r="242">
      <c r="A242" s="8" t="s">
        <v>44</v>
      </c>
      <c r="B242" s="9">
        <v>1626.0</v>
      </c>
      <c r="C242" s="9">
        <v>8405.904059040591</v>
      </c>
      <c r="D242" s="9">
        <v>10168.110264780558</v>
      </c>
      <c r="E242" s="9">
        <f t="shared" si="1"/>
        <v>1762.206206</v>
      </c>
      <c r="F242" s="9">
        <f t="shared" si="2"/>
        <v>1.209639105</v>
      </c>
      <c r="G242" s="11">
        <f t="shared" si="3"/>
        <v>10168.11026</v>
      </c>
      <c r="H242" s="11">
        <f t="shared" si="4"/>
        <v>16533347.29</v>
      </c>
      <c r="I242" s="12" t="str">
        <f t="shared" si="5"/>
        <v>F1</v>
      </c>
      <c r="J242" s="11">
        <f t="shared" si="6"/>
        <v>17184.10635</v>
      </c>
      <c r="K242" s="12" t="str">
        <f t="shared" si="7"/>
        <v>E1</v>
      </c>
    </row>
    <row r="243">
      <c r="A243" s="8" t="s">
        <v>116</v>
      </c>
      <c r="B243" s="9">
        <v>82.0</v>
      </c>
      <c r="C243" s="10">
        <v>10200.0</v>
      </c>
      <c r="D243" s="10">
        <v>10200.0</v>
      </c>
      <c r="E243" s="9">
        <f t="shared" si="1"/>
        <v>0</v>
      </c>
      <c r="F243" s="9">
        <f t="shared" si="2"/>
        <v>1</v>
      </c>
      <c r="G243" s="11">
        <f t="shared" si="3"/>
        <v>10200</v>
      </c>
      <c r="H243" s="11">
        <f t="shared" si="4"/>
        <v>836400</v>
      </c>
      <c r="I243" s="12" t="str">
        <f t="shared" si="5"/>
        <v>F1</v>
      </c>
      <c r="J243" s="11">
        <f t="shared" si="6"/>
        <v>17238</v>
      </c>
      <c r="K243" s="12" t="str">
        <f t="shared" si="7"/>
        <v>E1</v>
      </c>
    </row>
    <row r="244">
      <c r="A244" s="8" t="s">
        <v>126</v>
      </c>
      <c r="B244" s="9">
        <v>225.0</v>
      </c>
      <c r="C244" s="9">
        <v>4106.666666666667</v>
      </c>
      <c r="D244" s="9">
        <v>10221.10552763819</v>
      </c>
      <c r="E244" s="9">
        <f t="shared" si="1"/>
        <v>6114.438861</v>
      </c>
      <c r="F244" s="9">
        <f t="shared" si="2"/>
        <v>2.488905567</v>
      </c>
      <c r="G244" s="11">
        <f t="shared" si="3"/>
        <v>10221.10553</v>
      </c>
      <c r="H244" s="11">
        <f t="shared" si="4"/>
        <v>2299748.744</v>
      </c>
      <c r="I244" s="12" t="str">
        <f t="shared" si="5"/>
        <v>F1</v>
      </c>
      <c r="J244" s="11">
        <f t="shared" si="6"/>
        <v>17273.66834</v>
      </c>
      <c r="K244" s="12" t="str">
        <f t="shared" si="7"/>
        <v>E1</v>
      </c>
    </row>
    <row r="245">
      <c r="A245" s="8" t="s">
        <v>400</v>
      </c>
      <c r="B245" s="9">
        <v>443.0</v>
      </c>
      <c r="C245" s="9">
        <v>10426.772009029346</v>
      </c>
      <c r="D245" s="9">
        <v>10426.772009029346</v>
      </c>
      <c r="E245" s="9">
        <f t="shared" si="1"/>
        <v>0</v>
      </c>
      <c r="F245" s="9">
        <f t="shared" si="2"/>
        <v>1</v>
      </c>
      <c r="G245" s="11">
        <f t="shared" si="3"/>
        <v>10426.77201</v>
      </c>
      <c r="H245" s="11">
        <f t="shared" si="4"/>
        <v>4619060</v>
      </c>
      <c r="I245" s="12" t="str">
        <f t="shared" si="5"/>
        <v>F1</v>
      </c>
      <c r="J245" s="11">
        <f t="shared" si="6"/>
        <v>17621.2447</v>
      </c>
      <c r="K245" s="12" t="str">
        <f t="shared" si="7"/>
        <v>E1</v>
      </c>
    </row>
    <row r="246">
      <c r="A246" s="8" t="s">
        <v>210</v>
      </c>
      <c r="B246" s="9">
        <v>438.0</v>
      </c>
      <c r="C246" s="9">
        <v>23406.84931506849</v>
      </c>
      <c r="D246" s="9">
        <v>10554.089709762533</v>
      </c>
      <c r="E246" s="9">
        <f t="shared" si="1"/>
        <v>-12852.75961</v>
      </c>
      <c r="F246" s="9">
        <f t="shared" si="2"/>
        <v>0.4508974945</v>
      </c>
      <c r="G246" s="11">
        <f t="shared" si="3"/>
        <v>23406.84932</v>
      </c>
      <c r="H246" s="11">
        <f t="shared" si="4"/>
        <v>10252200</v>
      </c>
      <c r="I246" s="12" t="str">
        <f t="shared" si="5"/>
        <v>D</v>
      </c>
      <c r="J246" s="11">
        <f t="shared" si="6"/>
        <v>39557.57534</v>
      </c>
      <c r="K246" s="12" t="str">
        <f t="shared" si="7"/>
        <v>C1</v>
      </c>
    </row>
    <row r="247">
      <c r="A247" s="8" t="s">
        <v>129</v>
      </c>
      <c r="B247" s="9">
        <v>1378.0</v>
      </c>
      <c r="C247" s="9">
        <v>19794.77503628447</v>
      </c>
      <c r="D247" s="9">
        <v>10569.413511507053</v>
      </c>
      <c r="E247" s="9">
        <f t="shared" si="1"/>
        <v>-9225.361525</v>
      </c>
      <c r="F247" s="9">
        <f t="shared" si="2"/>
        <v>0.5339496656</v>
      </c>
      <c r="G247" s="11">
        <f t="shared" si="3"/>
        <v>19794.77504</v>
      </c>
      <c r="H247" s="11">
        <f t="shared" si="4"/>
        <v>27277200</v>
      </c>
      <c r="I247" s="12" t="str">
        <f t="shared" si="5"/>
        <v>E1</v>
      </c>
      <c r="J247" s="11">
        <f t="shared" si="6"/>
        <v>33453.16981</v>
      </c>
      <c r="K247" s="12" t="str">
        <f t="shared" si="7"/>
        <v>C</v>
      </c>
    </row>
    <row r="248">
      <c r="A248" s="8" t="s">
        <v>66</v>
      </c>
      <c r="B248" s="9">
        <v>831.0</v>
      </c>
      <c r="C248" s="9">
        <v>10613.718411552347</v>
      </c>
      <c r="D248" s="9">
        <v>10613.718411552347</v>
      </c>
      <c r="E248" s="9">
        <f t="shared" si="1"/>
        <v>0</v>
      </c>
      <c r="F248" s="9">
        <f t="shared" si="2"/>
        <v>1</v>
      </c>
      <c r="G248" s="11">
        <f t="shared" si="3"/>
        <v>10613.71841</v>
      </c>
      <c r="H248" s="11">
        <f t="shared" si="4"/>
        <v>8820000</v>
      </c>
      <c r="I248" s="12" t="str">
        <f t="shared" si="5"/>
        <v>F1</v>
      </c>
      <c r="J248" s="11">
        <f t="shared" si="6"/>
        <v>17937.18412</v>
      </c>
      <c r="K248" s="12" t="str">
        <f t="shared" si="7"/>
        <v>E1</v>
      </c>
    </row>
    <row r="249">
      <c r="A249" s="8" t="s">
        <v>203</v>
      </c>
      <c r="B249" s="9">
        <v>2670.0</v>
      </c>
      <c r="C249" s="9">
        <v>7668.449438202248</v>
      </c>
      <c r="D249" s="9">
        <v>10646.76180021954</v>
      </c>
      <c r="E249" s="9">
        <f t="shared" si="1"/>
        <v>2978.312362</v>
      </c>
      <c r="F249" s="9">
        <f t="shared" si="2"/>
        <v>1.388385212</v>
      </c>
      <c r="G249" s="11">
        <f t="shared" si="3"/>
        <v>10646.7618</v>
      </c>
      <c r="H249" s="11">
        <f t="shared" si="4"/>
        <v>28426854.01</v>
      </c>
      <c r="I249" s="12" t="str">
        <f t="shared" si="5"/>
        <v>F1</v>
      </c>
      <c r="J249" s="11">
        <f t="shared" si="6"/>
        <v>17993.02744</v>
      </c>
      <c r="K249" s="12" t="str">
        <f t="shared" si="7"/>
        <v>E1</v>
      </c>
    </row>
    <row r="250">
      <c r="A250" s="8" t="s">
        <v>69</v>
      </c>
      <c r="B250" s="9">
        <v>178.0</v>
      </c>
      <c r="C250" s="9">
        <v>10712.359550561798</v>
      </c>
      <c r="D250" s="9">
        <v>10712.359550561798</v>
      </c>
      <c r="E250" s="9">
        <f t="shared" si="1"/>
        <v>0</v>
      </c>
      <c r="F250" s="9">
        <f t="shared" si="2"/>
        <v>1</v>
      </c>
      <c r="G250" s="11">
        <f t="shared" si="3"/>
        <v>10712.35955</v>
      </c>
      <c r="H250" s="11">
        <f t="shared" si="4"/>
        <v>1906800</v>
      </c>
      <c r="I250" s="12" t="str">
        <f t="shared" si="5"/>
        <v>F1</v>
      </c>
      <c r="J250" s="11">
        <f t="shared" si="6"/>
        <v>18103.88764</v>
      </c>
      <c r="K250" s="12" t="str">
        <f t="shared" si="7"/>
        <v>E1</v>
      </c>
    </row>
    <row r="251">
      <c r="A251" s="8" t="s">
        <v>245</v>
      </c>
      <c r="B251" s="9">
        <v>232.0</v>
      </c>
      <c r="C251" s="9">
        <v>10810.344827586207</v>
      </c>
      <c r="D251" s="9">
        <v>10810.344827586207</v>
      </c>
      <c r="E251" s="9">
        <f t="shared" si="1"/>
        <v>0</v>
      </c>
      <c r="F251" s="9">
        <f t="shared" si="2"/>
        <v>1</v>
      </c>
      <c r="G251" s="11">
        <f t="shared" si="3"/>
        <v>10810.34483</v>
      </c>
      <c r="H251" s="11">
        <f t="shared" si="4"/>
        <v>2508000</v>
      </c>
      <c r="I251" s="12" t="str">
        <f t="shared" si="5"/>
        <v>F1</v>
      </c>
      <c r="J251" s="11">
        <f t="shared" si="6"/>
        <v>18269.48276</v>
      </c>
      <c r="K251" s="12" t="str">
        <f t="shared" si="7"/>
        <v>E1</v>
      </c>
    </row>
    <row r="252">
      <c r="A252" s="8" t="s">
        <v>150</v>
      </c>
      <c r="B252" s="9">
        <v>13216.0</v>
      </c>
      <c r="C252" s="9">
        <v>7707.975181598063</v>
      </c>
      <c r="D252" s="9">
        <v>10876.053403302978</v>
      </c>
      <c r="E252" s="9">
        <f t="shared" si="1"/>
        <v>3168.078222</v>
      </c>
      <c r="F252" s="9">
        <f t="shared" si="2"/>
        <v>1.411013028</v>
      </c>
      <c r="G252" s="11">
        <f t="shared" si="3"/>
        <v>10876.0534</v>
      </c>
      <c r="H252" s="11">
        <f t="shared" si="4"/>
        <v>143737921.8</v>
      </c>
      <c r="I252" s="12" t="str">
        <f t="shared" si="5"/>
        <v>F1</v>
      </c>
      <c r="J252" s="11">
        <f t="shared" si="6"/>
        <v>18380.53025</v>
      </c>
      <c r="K252" s="12" t="str">
        <f t="shared" si="7"/>
        <v>E1</v>
      </c>
    </row>
    <row r="253">
      <c r="A253" s="8" t="s">
        <v>260</v>
      </c>
      <c r="B253" s="9">
        <v>2053.0</v>
      </c>
      <c r="C253" s="9">
        <v>9163.711641500244</v>
      </c>
      <c r="D253" s="9">
        <v>10913.591481122943</v>
      </c>
      <c r="E253" s="9">
        <f t="shared" si="1"/>
        <v>1749.87984</v>
      </c>
      <c r="F253" s="9">
        <f t="shared" si="2"/>
        <v>1.190957541</v>
      </c>
      <c r="G253" s="11">
        <f t="shared" si="3"/>
        <v>10913.59148</v>
      </c>
      <c r="H253" s="11">
        <f t="shared" si="4"/>
        <v>22405603.31</v>
      </c>
      <c r="I253" s="12" t="str">
        <f t="shared" si="5"/>
        <v>F1</v>
      </c>
      <c r="J253" s="11">
        <f t="shared" si="6"/>
        <v>18443.9696</v>
      </c>
      <c r="K253" s="12" t="str">
        <f t="shared" si="7"/>
        <v>E1</v>
      </c>
    </row>
    <row r="254">
      <c r="A254" s="8" t="s">
        <v>357</v>
      </c>
      <c r="B254" s="9">
        <v>40.0</v>
      </c>
      <c r="C254" s="9">
        <v>11180.0</v>
      </c>
      <c r="D254" s="9">
        <v>11180.0</v>
      </c>
      <c r="E254" s="9">
        <f t="shared" si="1"/>
        <v>0</v>
      </c>
      <c r="F254" s="9">
        <f t="shared" si="2"/>
        <v>1</v>
      </c>
      <c r="G254" s="11">
        <f t="shared" si="3"/>
        <v>11180</v>
      </c>
      <c r="H254" s="11">
        <f t="shared" si="4"/>
        <v>447200</v>
      </c>
      <c r="I254" s="12" t="str">
        <f t="shared" si="5"/>
        <v>F1</v>
      </c>
      <c r="J254" s="11">
        <f t="shared" si="6"/>
        <v>18894.2</v>
      </c>
      <c r="K254" s="12" t="str">
        <f t="shared" si="7"/>
        <v>E1</v>
      </c>
    </row>
    <row r="255">
      <c r="A255" s="8" t="s">
        <v>67</v>
      </c>
      <c r="B255" s="9">
        <v>39.0</v>
      </c>
      <c r="C255" s="9">
        <v>7400.0</v>
      </c>
      <c r="D255" s="9">
        <v>11184.35754189944</v>
      </c>
      <c r="E255" s="9">
        <f t="shared" si="1"/>
        <v>3784.357542</v>
      </c>
      <c r="F255" s="9">
        <f t="shared" si="2"/>
        <v>1.511399668</v>
      </c>
      <c r="G255" s="11">
        <f t="shared" si="3"/>
        <v>11184.35754</v>
      </c>
      <c r="H255" s="11">
        <f t="shared" si="4"/>
        <v>436189.9441</v>
      </c>
      <c r="I255" s="12" t="str">
        <f t="shared" si="5"/>
        <v>F1</v>
      </c>
      <c r="J255" s="11">
        <f t="shared" si="6"/>
        <v>18901.56425</v>
      </c>
      <c r="K255" s="12" t="str">
        <f t="shared" si="7"/>
        <v>E1</v>
      </c>
    </row>
    <row r="256">
      <c r="A256" s="8" t="s">
        <v>57</v>
      </c>
      <c r="B256" s="9">
        <v>897.0</v>
      </c>
      <c r="C256" s="9">
        <v>10985.507246376812</v>
      </c>
      <c r="D256" s="9">
        <v>11199.14346895075</v>
      </c>
      <c r="E256" s="9">
        <f t="shared" si="1"/>
        <v>213.6362226</v>
      </c>
      <c r="F256" s="9">
        <f t="shared" si="2"/>
        <v>1.019447097</v>
      </c>
      <c r="G256" s="11">
        <f t="shared" si="3"/>
        <v>11199.14347</v>
      </c>
      <c r="H256" s="11">
        <f t="shared" si="4"/>
        <v>10045631.69</v>
      </c>
      <c r="I256" s="12" t="str">
        <f t="shared" si="5"/>
        <v>F1</v>
      </c>
      <c r="J256" s="11">
        <f t="shared" si="6"/>
        <v>18926.55246</v>
      </c>
      <c r="K256" s="12" t="str">
        <f t="shared" si="7"/>
        <v>E1</v>
      </c>
    </row>
    <row r="257">
      <c r="A257" s="8" t="s">
        <v>107</v>
      </c>
      <c r="B257" s="9">
        <v>951.0</v>
      </c>
      <c r="C257" s="9">
        <v>11342.105263157895</v>
      </c>
      <c r="D257" s="9">
        <v>11342.105263157895</v>
      </c>
      <c r="E257" s="9">
        <f t="shared" si="1"/>
        <v>0</v>
      </c>
      <c r="F257" s="9">
        <f t="shared" si="2"/>
        <v>1</v>
      </c>
      <c r="G257" s="11">
        <f t="shared" si="3"/>
        <v>11342.10526</v>
      </c>
      <c r="H257" s="11">
        <f t="shared" si="4"/>
        <v>10786342.11</v>
      </c>
      <c r="I257" s="12" t="str">
        <f t="shared" si="5"/>
        <v>F1</v>
      </c>
      <c r="J257" s="11">
        <f t="shared" si="6"/>
        <v>19168.15789</v>
      </c>
      <c r="K257" s="12" t="str">
        <f t="shared" si="7"/>
        <v>E1</v>
      </c>
    </row>
    <row r="258">
      <c r="A258" s="8" t="s">
        <v>53</v>
      </c>
      <c r="B258" s="9">
        <v>162.0</v>
      </c>
      <c r="C258" s="9">
        <v>11111.111111111111</v>
      </c>
      <c r="D258" s="9">
        <v>11364.583333333334</v>
      </c>
      <c r="E258" s="9">
        <f t="shared" si="1"/>
        <v>253.4722222</v>
      </c>
      <c r="F258" s="9">
        <f t="shared" si="2"/>
        <v>1.0228125</v>
      </c>
      <c r="G258" s="11">
        <f t="shared" si="3"/>
        <v>11364.58333</v>
      </c>
      <c r="H258" s="11">
        <f t="shared" si="4"/>
        <v>1841062.5</v>
      </c>
      <c r="I258" s="13" t="str">
        <f t="shared" si="5"/>
        <v>F1</v>
      </c>
      <c r="J258" s="11">
        <f t="shared" si="6"/>
        <v>19206.14583</v>
      </c>
      <c r="K258" s="13" t="str">
        <f t="shared" si="7"/>
        <v>E1</v>
      </c>
    </row>
    <row r="259">
      <c r="A259" s="8" t="s">
        <v>113</v>
      </c>
      <c r="B259" s="9">
        <v>1147.0</v>
      </c>
      <c r="C259" s="9">
        <v>14028.334786399302</v>
      </c>
      <c r="D259" s="9">
        <v>11486.495726495727</v>
      </c>
      <c r="E259" s="9">
        <f t="shared" si="1"/>
        <v>-2541.83906</v>
      </c>
      <c r="F259" s="9">
        <f t="shared" si="2"/>
        <v>0.8188067865</v>
      </c>
      <c r="G259" s="11">
        <f t="shared" si="3"/>
        <v>14028.33479</v>
      </c>
      <c r="H259" s="11">
        <f t="shared" si="4"/>
        <v>16090500</v>
      </c>
      <c r="I259" s="12" t="str">
        <f t="shared" si="5"/>
        <v>E</v>
      </c>
      <c r="J259" s="11">
        <f t="shared" si="6"/>
        <v>23707.88579</v>
      </c>
      <c r="K259" s="12" t="str">
        <f t="shared" si="7"/>
        <v>D</v>
      </c>
    </row>
    <row r="260">
      <c r="A260" s="8" t="s">
        <v>398</v>
      </c>
      <c r="B260" s="9">
        <v>161.0</v>
      </c>
      <c r="C260" s="9">
        <v>1575.776397515528</v>
      </c>
      <c r="D260" s="9">
        <v>11621.425120772947</v>
      </c>
      <c r="E260" s="9">
        <f t="shared" si="1"/>
        <v>10045.64872</v>
      </c>
      <c r="F260" s="9">
        <f t="shared" si="2"/>
        <v>7.375047081</v>
      </c>
      <c r="G260" s="11">
        <f t="shared" si="3"/>
        <v>11621.42512</v>
      </c>
      <c r="H260" s="11">
        <f t="shared" si="4"/>
        <v>1871049.444</v>
      </c>
      <c r="I260" s="12" t="str">
        <f t="shared" si="5"/>
        <v>F1</v>
      </c>
      <c r="J260" s="11">
        <f t="shared" si="6"/>
        <v>19640.20845</v>
      </c>
      <c r="K260" s="12" t="str">
        <f t="shared" si="7"/>
        <v>E1</v>
      </c>
    </row>
    <row r="261">
      <c r="A261" s="8" t="s">
        <v>45</v>
      </c>
      <c r="B261" s="9">
        <v>1969.0</v>
      </c>
      <c r="C261" s="9">
        <v>9215.185373285933</v>
      </c>
      <c r="D261" s="9">
        <v>11735.638985579313</v>
      </c>
      <c r="E261" s="9">
        <f t="shared" si="1"/>
        <v>2520.453612</v>
      </c>
      <c r="F261" s="9">
        <f t="shared" si="2"/>
        <v>1.273510896</v>
      </c>
      <c r="G261" s="11">
        <f t="shared" si="3"/>
        <v>11735.63899</v>
      </c>
      <c r="H261" s="11">
        <f t="shared" si="4"/>
        <v>23107473.16</v>
      </c>
      <c r="I261" s="13" t="str">
        <f t="shared" si="5"/>
        <v>F1</v>
      </c>
      <c r="J261" s="11">
        <f t="shared" si="6"/>
        <v>19833.22989</v>
      </c>
      <c r="K261" s="13" t="str">
        <f t="shared" si="7"/>
        <v>E1</v>
      </c>
    </row>
    <row r="262">
      <c r="A262" s="8" t="s">
        <v>145</v>
      </c>
      <c r="B262" s="9">
        <v>66.0</v>
      </c>
      <c r="C262" s="9">
        <v>12000.0</v>
      </c>
      <c r="D262" s="9">
        <v>12000.0</v>
      </c>
      <c r="E262" s="9">
        <f t="shared" si="1"/>
        <v>0</v>
      </c>
      <c r="F262" s="9">
        <f t="shared" si="2"/>
        <v>1</v>
      </c>
      <c r="G262" s="11">
        <f t="shared" si="3"/>
        <v>12000</v>
      </c>
      <c r="H262" s="11">
        <f t="shared" si="4"/>
        <v>792000</v>
      </c>
      <c r="I262" s="12" t="str">
        <f t="shared" si="5"/>
        <v>E</v>
      </c>
      <c r="J262" s="11">
        <f t="shared" si="6"/>
        <v>20280</v>
      </c>
      <c r="K262" s="12" t="str">
        <f t="shared" si="7"/>
        <v>D</v>
      </c>
    </row>
    <row r="263">
      <c r="A263" s="8" t="s">
        <v>124</v>
      </c>
      <c r="B263" s="9">
        <v>6999.0</v>
      </c>
      <c r="C263" s="9">
        <v>8462.990284326332</v>
      </c>
      <c r="D263" s="9">
        <v>12009.399781738814</v>
      </c>
      <c r="E263" s="9">
        <f t="shared" si="1"/>
        <v>3546.409497</v>
      </c>
      <c r="F263" s="9">
        <f t="shared" si="2"/>
        <v>1.419049222</v>
      </c>
      <c r="G263" s="11">
        <f t="shared" si="3"/>
        <v>12009.39978</v>
      </c>
      <c r="H263" s="11">
        <f t="shared" si="4"/>
        <v>84053789.07</v>
      </c>
      <c r="I263" s="12" t="str">
        <f t="shared" si="5"/>
        <v>E</v>
      </c>
      <c r="J263" s="11">
        <f t="shared" si="6"/>
        <v>20295.88563</v>
      </c>
      <c r="K263" s="12" t="str">
        <f t="shared" si="7"/>
        <v>D</v>
      </c>
    </row>
    <row r="264">
      <c r="A264" s="8" t="s">
        <v>205</v>
      </c>
      <c r="B264" s="9">
        <v>929.0</v>
      </c>
      <c r="C264" s="9">
        <v>12062.43272335845</v>
      </c>
      <c r="D264" s="9">
        <v>12062.43272335845</v>
      </c>
      <c r="E264" s="9">
        <f t="shared" si="1"/>
        <v>0</v>
      </c>
      <c r="F264" s="9">
        <f t="shared" si="2"/>
        <v>1</v>
      </c>
      <c r="G264" s="11">
        <f t="shared" si="3"/>
        <v>12062.43272</v>
      </c>
      <c r="H264" s="11">
        <f t="shared" si="4"/>
        <v>11206000</v>
      </c>
      <c r="I264" s="12" t="str">
        <f t="shared" si="5"/>
        <v>E</v>
      </c>
      <c r="J264" s="11">
        <f t="shared" si="6"/>
        <v>20385.5113</v>
      </c>
      <c r="K264" s="12" t="str">
        <f t="shared" si="7"/>
        <v>D</v>
      </c>
    </row>
    <row r="265">
      <c r="A265" s="8" t="s">
        <v>171</v>
      </c>
      <c r="B265" s="9">
        <v>212.0</v>
      </c>
      <c r="C265" s="10">
        <v>12100.0</v>
      </c>
      <c r="D265" s="10">
        <v>12100.0</v>
      </c>
      <c r="E265" s="9">
        <f t="shared" si="1"/>
        <v>0</v>
      </c>
      <c r="F265" s="9">
        <f t="shared" si="2"/>
        <v>1</v>
      </c>
      <c r="G265" s="11">
        <f t="shared" si="3"/>
        <v>12100</v>
      </c>
      <c r="H265" s="11">
        <f t="shared" si="4"/>
        <v>2565200</v>
      </c>
      <c r="I265" s="12" t="str">
        <f t="shared" si="5"/>
        <v>E</v>
      </c>
      <c r="J265" s="11">
        <f t="shared" si="6"/>
        <v>20449</v>
      </c>
      <c r="K265" s="12" t="str">
        <f t="shared" si="7"/>
        <v>D</v>
      </c>
    </row>
    <row r="266">
      <c r="A266" s="8" t="s">
        <v>81</v>
      </c>
      <c r="B266" s="9">
        <v>1116.0</v>
      </c>
      <c r="C266" s="9">
        <v>12476.702508960574</v>
      </c>
      <c r="D266" s="9">
        <v>12321.443781942078</v>
      </c>
      <c r="E266" s="9">
        <f t="shared" si="1"/>
        <v>-155.258727</v>
      </c>
      <c r="F266" s="9">
        <f t="shared" si="2"/>
        <v>0.9875561089</v>
      </c>
      <c r="G266" s="11">
        <f t="shared" si="3"/>
        <v>12476.70251</v>
      </c>
      <c r="H266" s="11">
        <f t="shared" si="4"/>
        <v>13924000</v>
      </c>
      <c r="I266" s="12" t="str">
        <f t="shared" si="5"/>
        <v>E</v>
      </c>
      <c r="J266" s="11">
        <f t="shared" si="6"/>
        <v>21085.62724</v>
      </c>
      <c r="K266" s="12" t="str">
        <f t="shared" si="7"/>
        <v>D</v>
      </c>
    </row>
    <row r="267">
      <c r="A267" s="8" t="s">
        <v>404</v>
      </c>
      <c r="B267" s="9">
        <v>339.0</v>
      </c>
      <c r="C267" s="9">
        <v>6450.0</v>
      </c>
      <c r="D267" s="9">
        <v>12573.396226415094</v>
      </c>
      <c r="E267" s="9">
        <f t="shared" si="1"/>
        <v>6123.396226</v>
      </c>
      <c r="F267" s="9">
        <f t="shared" si="2"/>
        <v>1.949363756</v>
      </c>
      <c r="G267" s="11">
        <f t="shared" si="3"/>
        <v>12573.39623</v>
      </c>
      <c r="H267" s="11">
        <f t="shared" si="4"/>
        <v>4262381.321</v>
      </c>
      <c r="I267" s="12" t="str">
        <f t="shared" si="5"/>
        <v>E</v>
      </c>
      <c r="J267" s="11">
        <f t="shared" si="6"/>
        <v>21249.03962</v>
      </c>
      <c r="K267" s="12" t="str">
        <f t="shared" si="7"/>
        <v>D</v>
      </c>
    </row>
    <row r="268">
      <c r="A268" s="8" t="s">
        <v>125</v>
      </c>
      <c r="B268" s="9">
        <v>1106.0</v>
      </c>
      <c r="C268" s="9">
        <v>16153.345388788426</v>
      </c>
      <c r="D268" s="9">
        <v>12665.12702078522</v>
      </c>
      <c r="E268" s="9">
        <f t="shared" si="1"/>
        <v>-3488.218368</v>
      </c>
      <c r="F268" s="9">
        <f t="shared" si="2"/>
        <v>0.7840559782</v>
      </c>
      <c r="G268" s="11">
        <f t="shared" si="3"/>
        <v>16153.34539</v>
      </c>
      <c r="H268" s="11">
        <f t="shared" si="4"/>
        <v>17865600</v>
      </c>
      <c r="I268" s="12" t="str">
        <f t="shared" si="5"/>
        <v>E1</v>
      </c>
      <c r="J268" s="11">
        <f t="shared" si="6"/>
        <v>27299.15371</v>
      </c>
      <c r="K268" s="12" t="str">
        <f t="shared" si="7"/>
        <v>D1</v>
      </c>
    </row>
    <row r="269">
      <c r="A269" s="8" t="s">
        <v>365</v>
      </c>
      <c r="B269" s="9">
        <v>923.0</v>
      </c>
      <c r="C269" s="9">
        <v>12900.0</v>
      </c>
      <c r="D269" s="9">
        <v>12900.0</v>
      </c>
      <c r="E269" s="9">
        <f t="shared" si="1"/>
        <v>0</v>
      </c>
      <c r="F269" s="9">
        <f t="shared" si="2"/>
        <v>1</v>
      </c>
      <c r="G269" s="11">
        <f t="shared" si="3"/>
        <v>12900</v>
      </c>
      <c r="H269" s="11">
        <f t="shared" si="4"/>
        <v>11906700</v>
      </c>
      <c r="I269" s="12" t="str">
        <f t="shared" si="5"/>
        <v>E</v>
      </c>
      <c r="J269" s="11">
        <f t="shared" si="6"/>
        <v>21801</v>
      </c>
      <c r="K269" s="12" t="str">
        <f t="shared" si="7"/>
        <v>D</v>
      </c>
    </row>
    <row r="270">
      <c r="A270" s="8" t="s">
        <v>388</v>
      </c>
      <c r="B270" s="9">
        <v>339.0</v>
      </c>
      <c r="C270" s="9">
        <v>12900.0</v>
      </c>
      <c r="D270" s="9">
        <v>12900.0</v>
      </c>
      <c r="E270" s="9">
        <f t="shared" si="1"/>
        <v>0</v>
      </c>
      <c r="F270" s="9">
        <f t="shared" si="2"/>
        <v>1</v>
      </c>
      <c r="G270" s="11">
        <f t="shared" si="3"/>
        <v>12900</v>
      </c>
      <c r="H270" s="11">
        <f t="shared" si="4"/>
        <v>4373100</v>
      </c>
      <c r="I270" s="12" t="str">
        <f t="shared" si="5"/>
        <v>E</v>
      </c>
      <c r="J270" s="11">
        <f t="shared" si="6"/>
        <v>21801</v>
      </c>
      <c r="K270" s="12" t="str">
        <f t="shared" si="7"/>
        <v>D</v>
      </c>
    </row>
    <row r="271">
      <c r="A271" s="8" t="s">
        <v>77</v>
      </c>
      <c r="B271" s="9">
        <v>81.0</v>
      </c>
      <c r="C271" s="9">
        <v>13000.0</v>
      </c>
      <c r="D271" s="9">
        <v>13000.0</v>
      </c>
      <c r="E271" s="9">
        <f t="shared" si="1"/>
        <v>0</v>
      </c>
      <c r="F271" s="9">
        <f t="shared" si="2"/>
        <v>1</v>
      </c>
      <c r="G271" s="11">
        <f t="shared" si="3"/>
        <v>13000</v>
      </c>
      <c r="H271" s="11">
        <f t="shared" si="4"/>
        <v>1053000</v>
      </c>
      <c r="I271" s="12" t="str">
        <f t="shared" si="5"/>
        <v>E</v>
      </c>
      <c r="J271" s="11">
        <f t="shared" si="6"/>
        <v>21970</v>
      </c>
      <c r="K271" s="12" t="str">
        <f t="shared" si="7"/>
        <v>D</v>
      </c>
    </row>
    <row r="272">
      <c r="A272" s="8" t="s">
        <v>377</v>
      </c>
      <c r="B272" s="9">
        <v>81.0</v>
      </c>
      <c r="C272" s="9">
        <v>5160.0</v>
      </c>
      <c r="D272" s="9">
        <v>13133.264177040111</v>
      </c>
      <c r="E272" s="9">
        <f t="shared" si="1"/>
        <v>7973.264177</v>
      </c>
      <c r="F272" s="9">
        <f t="shared" si="2"/>
        <v>2.545206236</v>
      </c>
      <c r="G272" s="11">
        <f t="shared" si="3"/>
        <v>13133.26418</v>
      </c>
      <c r="H272" s="11">
        <f t="shared" si="4"/>
        <v>1063794.398</v>
      </c>
      <c r="I272" s="12" t="str">
        <f t="shared" si="5"/>
        <v>E</v>
      </c>
      <c r="J272" s="11">
        <f t="shared" si="6"/>
        <v>22195.21646</v>
      </c>
      <c r="K272" s="12" t="str">
        <f t="shared" si="7"/>
        <v>D</v>
      </c>
    </row>
    <row r="273">
      <c r="A273" s="8" t="s">
        <v>68</v>
      </c>
      <c r="B273" s="9">
        <v>262.0</v>
      </c>
      <c r="C273" s="9">
        <v>10271.45038167939</v>
      </c>
      <c r="D273" s="9">
        <v>13191.959229898075</v>
      </c>
      <c r="E273" s="9">
        <f t="shared" si="1"/>
        <v>2920.508848</v>
      </c>
      <c r="F273" s="9">
        <f t="shared" si="2"/>
        <v>1.284332664</v>
      </c>
      <c r="G273" s="11">
        <f t="shared" si="3"/>
        <v>13191.95923</v>
      </c>
      <c r="H273" s="11">
        <f t="shared" si="4"/>
        <v>3456293.318</v>
      </c>
      <c r="I273" s="12" t="str">
        <f t="shared" si="5"/>
        <v>E</v>
      </c>
      <c r="J273" s="11">
        <f t="shared" si="6"/>
        <v>22294.4111</v>
      </c>
      <c r="K273" s="12" t="str">
        <f t="shared" si="7"/>
        <v>D</v>
      </c>
    </row>
    <row r="274">
      <c r="A274" s="8" t="s">
        <v>193</v>
      </c>
      <c r="B274" s="9">
        <v>386.0</v>
      </c>
      <c r="C274" s="9">
        <v>5077.20207253886</v>
      </c>
      <c r="D274" s="9">
        <v>13462.200598802396</v>
      </c>
      <c r="E274" s="9">
        <f t="shared" si="1"/>
        <v>8384.998526</v>
      </c>
      <c r="F274" s="9">
        <f t="shared" si="2"/>
        <v>2.651499863</v>
      </c>
      <c r="G274" s="11">
        <f t="shared" si="3"/>
        <v>13462.2006</v>
      </c>
      <c r="H274" s="11">
        <f t="shared" si="4"/>
        <v>5196409.431</v>
      </c>
      <c r="I274" s="12" t="str">
        <f t="shared" si="5"/>
        <v>E</v>
      </c>
      <c r="J274" s="11">
        <f t="shared" si="6"/>
        <v>22751.11901</v>
      </c>
      <c r="K274" s="12" t="str">
        <f t="shared" si="7"/>
        <v>D</v>
      </c>
    </row>
    <row r="275">
      <c r="A275" s="8" t="s">
        <v>52</v>
      </c>
      <c r="B275" s="9">
        <v>2405.0</v>
      </c>
      <c r="C275" s="9">
        <v>7941.995841995842</v>
      </c>
      <c r="D275" s="9">
        <v>13538.135633085065</v>
      </c>
      <c r="E275" s="9">
        <f t="shared" si="1"/>
        <v>5596.139791</v>
      </c>
      <c r="F275" s="9">
        <f t="shared" si="2"/>
        <v>1.704626381</v>
      </c>
      <c r="G275" s="11">
        <f t="shared" si="3"/>
        <v>13538.13563</v>
      </c>
      <c r="H275" s="11">
        <f t="shared" si="4"/>
        <v>32559216.2</v>
      </c>
      <c r="I275" s="12" t="str">
        <f t="shared" si="5"/>
        <v>E</v>
      </c>
      <c r="J275" s="11">
        <f t="shared" si="6"/>
        <v>22879.44922</v>
      </c>
      <c r="K275" s="12" t="str">
        <f t="shared" si="7"/>
        <v>D</v>
      </c>
    </row>
    <row r="276">
      <c r="A276" s="8" t="s">
        <v>146</v>
      </c>
      <c r="B276" s="9">
        <v>295.0</v>
      </c>
      <c r="C276" s="9">
        <v>21707.20338983051</v>
      </c>
      <c r="D276" s="9">
        <v>13838.903170522708</v>
      </c>
      <c r="E276" s="9">
        <f t="shared" si="1"/>
        <v>-7868.300219</v>
      </c>
      <c r="F276" s="9">
        <f t="shared" si="2"/>
        <v>0.6375258444</v>
      </c>
      <c r="G276" s="11">
        <f t="shared" si="3"/>
        <v>21707.20339</v>
      </c>
      <c r="H276" s="11">
        <f t="shared" si="4"/>
        <v>6403625</v>
      </c>
      <c r="I276" s="12" t="str">
        <f t="shared" si="5"/>
        <v>D</v>
      </c>
      <c r="J276" s="11">
        <f t="shared" si="6"/>
        <v>36685.17373</v>
      </c>
      <c r="K276" s="12" t="str">
        <f t="shared" si="7"/>
        <v>C1</v>
      </c>
    </row>
    <row r="277">
      <c r="A277" s="8" t="s">
        <v>283</v>
      </c>
      <c r="B277" s="9">
        <v>630.0</v>
      </c>
      <c r="C277" s="9">
        <v>5600.0</v>
      </c>
      <c r="D277" s="9">
        <v>14000.0</v>
      </c>
      <c r="E277" s="9">
        <f t="shared" si="1"/>
        <v>8400</v>
      </c>
      <c r="F277" s="9">
        <f t="shared" si="2"/>
        <v>2.5</v>
      </c>
      <c r="G277" s="11">
        <f t="shared" si="3"/>
        <v>14000</v>
      </c>
      <c r="H277" s="11">
        <f t="shared" si="4"/>
        <v>8820000</v>
      </c>
      <c r="I277" s="12" t="str">
        <f t="shared" si="5"/>
        <v>E</v>
      </c>
      <c r="J277" s="11">
        <f t="shared" si="6"/>
        <v>23660</v>
      </c>
      <c r="K277" s="12" t="str">
        <f t="shared" si="7"/>
        <v>D</v>
      </c>
    </row>
    <row r="278">
      <c r="A278" s="8" t="s">
        <v>56</v>
      </c>
      <c r="B278" s="9">
        <v>55.0</v>
      </c>
      <c r="C278" s="9">
        <v>14000.0</v>
      </c>
      <c r="D278" s="9">
        <v>14000.0</v>
      </c>
      <c r="E278" s="9">
        <f t="shared" si="1"/>
        <v>0</v>
      </c>
      <c r="F278" s="9">
        <f t="shared" si="2"/>
        <v>1</v>
      </c>
      <c r="G278" s="11">
        <f t="shared" si="3"/>
        <v>14000</v>
      </c>
      <c r="H278" s="11">
        <f t="shared" si="4"/>
        <v>770000</v>
      </c>
      <c r="I278" s="12" t="str">
        <f t="shared" si="5"/>
        <v>E</v>
      </c>
      <c r="J278" s="11">
        <f t="shared" si="6"/>
        <v>23660</v>
      </c>
      <c r="K278" s="12" t="str">
        <f t="shared" si="7"/>
        <v>D</v>
      </c>
    </row>
    <row r="279">
      <c r="A279" s="8" t="s">
        <v>402</v>
      </c>
      <c r="B279" s="9">
        <v>245.0</v>
      </c>
      <c r="C279" s="9">
        <v>14000.0</v>
      </c>
      <c r="D279" s="9">
        <v>14000.0</v>
      </c>
      <c r="E279" s="9">
        <f t="shared" si="1"/>
        <v>0</v>
      </c>
      <c r="F279" s="9">
        <f t="shared" si="2"/>
        <v>1</v>
      </c>
      <c r="G279" s="11">
        <f t="shared" si="3"/>
        <v>14000</v>
      </c>
      <c r="H279" s="11">
        <f t="shared" si="4"/>
        <v>3430000</v>
      </c>
      <c r="I279" s="12" t="str">
        <f t="shared" si="5"/>
        <v>E</v>
      </c>
      <c r="J279" s="11">
        <f t="shared" si="6"/>
        <v>23660</v>
      </c>
      <c r="K279" s="12" t="str">
        <f t="shared" si="7"/>
        <v>D</v>
      </c>
    </row>
    <row r="280">
      <c r="A280" s="8" t="s">
        <v>265</v>
      </c>
      <c r="B280" s="9">
        <v>1573.0</v>
      </c>
      <c r="C280" s="9">
        <v>3804.3610934520025</v>
      </c>
      <c r="D280" s="9">
        <v>14692.255639097744</v>
      </c>
      <c r="E280" s="9">
        <f t="shared" si="1"/>
        <v>10887.89455</v>
      </c>
      <c r="F280" s="9">
        <f t="shared" si="2"/>
        <v>3.861950871</v>
      </c>
      <c r="G280" s="11">
        <f t="shared" si="3"/>
        <v>14692.25564</v>
      </c>
      <c r="H280" s="11">
        <f t="shared" si="4"/>
        <v>23110918.12</v>
      </c>
      <c r="I280" s="12" t="str">
        <f t="shared" si="5"/>
        <v>E</v>
      </c>
      <c r="J280" s="11">
        <f t="shared" si="6"/>
        <v>24829.91203</v>
      </c>
      <c r="K280" s="12" t="str">
        <f t="shared" si="7"/>
        <v>D</v>
      </c>
    </row>
    <row r="281">
      <c r="A281" s="8" t="s">
        <v>37</v>
      </c>
      <c r="B281" s="9">
        <v>606.0</v>
      </c>
      <c r="C281" s="9">
        <v>1186.4686468646864</v>
      </c>
      <c r="D281" s="9">
        <v>14950.137184115523</v>
      </c>
      <c r="E281" s="9">
        <f t="shared" si="1"/>
        <v>13763.66854</v>
      </c>
      <c r="F281" s="9">
        <f t="shared" si="2"/>
        <v>12.60053287</v>
      </c>
      <c r="G281" s="11">
        <f t="shared" si="3"/>
        <v>14950.13718</v>
      </c>
      <c r="H281" s="11">
        <f t="shared" si="4"/>
        <v>9059783.134</v>
      </c>
      <c r="I281" s="13" t="str">
        <f t="shared" si="5"/>
        <v>E</v>
      </c>
      <c r="J281" s="11">
        <f t="shared" si="6"/>
        <v>25265.73184</v>
      </c>
      <c r="K281" s="13" t="str">
        <f t="shared" si="7"/>
        <v>D1</v>
      </c>
    </row>
    <row r="282">
      <c r="A282" s="8" t="s">
        <v>155</v>
      </c>
      <c r="B282" s="9">
        <v>639.0</v>
      </c>
      <c r="C282" s="9">
        <v>15000.0</v>
      </c>
      <c r="D282" s="9">
        <v>15000.0</v>
      </c>
      <c r="E282" s="9">
        <f t="shared" si="1"/>
        <v>0</v>
      </c>
      <c r="F282" s="9">
        <f t="shared" si="2"/>
        <v>1</v>
      </c>
      <c r="G282" s="11">
        <f t="shared" si="3"/>
        <v>15000</v>
      </c>
      <c r="H282" s="11">
        <f t="shared" si="4"/>
        <v>9585000</v>
      </c>
      <c r="I282" s="12" t="str">
        <f t="shared" si="5"/>
        <v>E</v>
      </c>
      <c r="J282" s="11">
        <f t="shared" si="6"/>
        <v>25350</v>
      </c>
      <c r="K282" s="12" t="str">
        <f t="shared" si="7"/>
        <v>D1</v>
      </c>
    </row>
    <row r="283">
      <c r="A283" s="8" t="s">
        <v>109</v>
      </c>
      <c r="B283" s="9">
        <v>208.0</v>
      </c>
      <c r="C283" s="9">
        <v>16000.0</v>
      </c>
      <c r="D283" s="9">
        <v>16000.0</v>
      </c>
      <c r="E283" s="9">
        <f t="shared" si="1"/>
        <v>0</v>
      </c>
      <c r="F283" s="9">
        <f t="shared" si="2"/>
        <v>1</v>
      </c>
      <c r="G283" s="11">
        <f t="shared" si="3"/>
        <v>16000</v>
      </c>
      <c r="H283" s="11">
        <f t="shared" si="4"/>
        <v>3328000</v>
      </c>
      <c r="I283" s="12" t="str">
        <f t="shared" si="5"/>
        <v>E1</v>
      </c>
      <c r="J283" s="11">
        <f t="shared" si="6"/>
        <v>27040</v>
      </c>
      <c r="K283" s="12" t="str">
        <f t="shared" si="7"/>
        <v>D1</v>
      </c>
    </row>
    <row r="284">
      <c r="A284" s="8" t="s">
        <v>289</v>
      </c>
      <c r="B284" s="9">
        <v>83.0</v>
      </c>
      <c r="C284" s="9">
        <v>16000.0</v>
      </c>
      <c r="D284" s="9">
        <v>16000.0</v>
      </c>
      <c r="E284" s="9">
        <f t="shared" si="1"/>
        <v>0</v>
      </c>
      <c r="F284" s="9">
        <f t="shared" si="2"/>
        <v>1</v>
      </c>
      <c r="G284" s="11">
        <f t="shared" si="3"/>
        <v>16000</v>
      </c>
      <c r="H284" s="11">
        <f t="shared" si="4"/>
        <v>1328000</v>
      </c>
      <c r="I284" s="12" t="str">
        <f t="shared" si="5"/>
        <v>E1</v>
      </c>
      <c r="J284" s="11">
        <f t="shared" si="6"/>
        <v>27040</v>
      </c>
      <c r="K284" s="12" t="str">
        <f t="shared" si="7"/>
        <v>D1</v>
      </c>
    </row>
    <row r="285">
      <c r="A285" s="8" t="s">
        <v>147</v>
      </c>
      <c r="B285" s="9">
        <v>71.0</v>
      </c>
      <c r="C285" s="9">
        <v>30000.0</v>
      </c>
      <c r="D285" s="9">
        <v>16772.093023255813</v>
      </c>
      <c r="E285" s="9">
        <f t="shared" si="1"/>
        <v>-13227.90698</v>
      </c>
      <c r="F285" s="9">
        <f t="shared" si="2"/>
        <v>0.5590697674</v>
      </c>
      <c r="G285" s="11">
        <f t="shared" si="3"/>
        <v>30000</v>
      </c>
      <c r="H285" s="11">
        <f t="shared" si="4"/>
        <v>2130000</v>
      </c>
      <c r="I285" s="12" t="str">
        <f t="shared" si="5"/>
        <v>C</v>
      </c>
      <c r="J285" s="11">
        <f t="shared" si="6"/>
        <v>50700</v>
      </c>
      <c r="K285" s="12" t="str">
        <f t="shared" si="7"/>
        <v>A</v>
      </c>
    </row>
    <row r="286">
      <c r="A286" s="8" t="s">
        <v>83</v>
      </c>
      <c r="B286" s="9">
        <v>89.0</v>
      </c>
      <c r="C286" s="9">
        <v>17000.0</v>
      </c>
      <c r="D286" s="9">
        <v>17000.0</v>
      </c>
      <c r="E286" s="9">
        <f t="shared" si="1"/>
        <v>0</v>
      </c>
      <c r="F286" s="9">
        <f t="shared" si="2"/>
        <v>1</v>
      </c>
      <c r="G286" s="11">
        <f t="shared" si="3"/>
        <v>17000</v>
      </c>
      <c r="H286" s="11">
        <f t="shared" si="4"/>
        <v>1513000</v>
      </c>
      <c r="I286" s="12" t="str">
        <f t="shared" si="5"/>
        <v>E1</v>
      </c>
      <c r="J286" s="11">
        <f t="shared" si="6"/>
        <v>28730</v>
      </c>
      <c r="K286" s="12" t="str">
        <f t="shared" si="7"/>
        <v>D1</v>
      </c>
    </row>
    <row r="287">
      <c r="A287" s="8" t="s">
        <v>75</v>
      </c>
      <c r="B287" s="9">
        <v>862.0</v>
      </c>
      <c r="C287" s="9">
        <v>11500.0</v>
      </c>
      <c r="D287" s="9">
        <v>17500.0</v>
      </c>
      <c r="E287" s="9">
        <f t="shared" si="1"/>
        <v>6000</v>
      </c>
      <c r="F287" s="9">
        <f t="shared" si="2"/>
        <v>1.52173913</v>
      </c>
      <c r="G287" s="11">
        <f t="shared" si="3"/>
        <v>17500</v>
      </c>
      <c r="H287" s="11">
        <f t="shared" si="4"/>
        <v>15085000</v>
      </c>
      <c r="I287" s="12" t="str">
        <f t="shared" si="5"/>
        <v>E1</v>
      </c>
      <c r="J287" s="11">
        <f t="shared" si="6"/>
        <v>29575</v>
      </c>
      <c r="K287" s="12" t="str">
        <f t="shared" si="7"/>
        <v>D1</v>
      </c>
    </row>
    <row r="288">
      <c r="A288" s="8" t="s">
        <v>88</v>
      </c>
      <c r="B288" s="9">
        <v>644.0</v>
      </c>
      <c r="C288" s="9">
        <v>17632.919254658384</v>
      </c>
      <c r="D288" s="9">
        <v>17632.919254658384</v>
      </c>
      <c r="E288" s="9">
        <f t="shared" si="1"/>
        <v>0</v>
      </c>
      <c r="F288" s="9">
        <f t="shared" si="2"/>
        <v>1</v>
      </c>
      <c r="G288" s="11">
        <f t="shared" si="3"/>
        <v>17632.91925</v>
      </c>
      <c r="H288" s="11">
        <f t="shared" si="4"/>
        <v>11355600</v>
      </c>
      <c r="I288" s="12" t="str">
        <f t="shared" si="5"/>
        <v>E1</v>
      </c>
      <c r="J288" s="11">
        <f t="shared" si="6"/>
        <v>29799.63354</v>
      </c>
      <c r="K288" s="12" t="str">
        <f t="shared" si="7"/>
        <v>D1</v>
      </c>
    </row>
    <row r="289">
      <c r="A289" s="8" t="s">
        <v>174</v>
      </c>
      <c r="B289" s="9">
        <v>809.0</v>
      </c>
      <c r="C289" s="9">
        <v>10385.414091470951</v>
      </c>
      <c r="D289" s="9">
        <v>17701.908396946565</v>
      </c>
      <c r="E289" s="9">
        <f t="shared" si="1"/>
        <v>7316.494305</v>
      </c>
      <c r="F289" s="9">
        <f t="shared" si="2"/>
        <v>1.704497119</v>
      </c>
      <c r="G289" s="11">
        <f t="shared" si="3"/>
        <v>17701.9084</v>
      </c>
      <c r="H289" s="11">
        <f t="shared" si="4"/>
        <v>14320843.89</v>
      </c>
      <c r="I289" s="12" t="str">
        <f t="shared" si="5"/>
        <v>E1</v>
      </c>
      <c r="J289" s="11">
        <f t="shared" si="6"/>
        <v>29916.22519</v>
      </c>
      <c r="K289" s="12" t="str">
        <f t="shared" si="7"/>
        <v>D1</v>
      </c>
    </row>
    <row r="290">
      <c r="A290" s="8" t="s">
        <v>211</v>
      </c>
      <c r="B290" s="9">
        <v>79.0</v>
      </c>
      <c r="C290" s="9">
        <v>8000.0</v>
      </c>
      <c r="D290" s="9">
        <v>17758.75486381323</v>
      </c>
      <c r="E290" s="9">
        <f t="shared" si="1"/>
        <v>9758.754864</v>
      </c>
      <c r="F290" s="9">
        <f t="shared" si="2"/>
        <v>2.219844358</v>
      </c>
      <c r="G290" s="11">
        <f t="shared" si="3"/>
        <v>17758.75486</v>
      </c>
      <c r="H290" s="11">
        <f t="shared" si="4"/>
        <v>1402941.634</v>
      </c>
      <c r="I290" s="12" t="str">
        <f t="shared" si="5"/>
        <v>E1</v>
      </c>
      <c r="J290" s="11">
        <f t="shared" si="6"/>
        <v>30012.29572</v>
      </c>
      <c r="K290" s="12" t="str">
        <f t="shared" si="7"/>
        <v>C</v>
      </c>
    </row>
    <row r="291">
      <c r="A291" s="8" t="s">
        <v>162</v>
      </c>
      <c r="B291" s="9">
        <v>731.0</v>
      </c>
      <c r="C291" s="9">
        <v>19350.0</v>
      </c>
      <c r="D291" s="9">
        <v>19350.0</v>
      </c>
      <c r="E291" s="9">
        <f t="shared" si="1"/>
        <v>0</v>
      </c>
      <c r="F291" s="9">
        <f t="shared" si="2"/>
        <v>1</v>
      </c>
      <c r="G291" s="11">
        <f t="shared" si="3"/>
        <v>19350</v>
      </c>
      <c r="H291" s="11">
        <f t="shared" si="4"/>
        <v>14144850</v>
      </c>
      <c r="I291" s="12" t="str">
        <f t="shared" si="5"/>
        <v>E1</v>
      </c>
      <c r="J291" s="11">
        <f t="shared" si="6"/>
        <v>32701.5</v>
      </c>
      <c r="K291" s="12" t="str">
        <f t="shared" si="7"/>
        <v>C</v>
      </c>
    </row>
    <row r="292">
      <c r="A292" s="8" t="s">
        <v>167</v>
      </c>
      <c r="B292" s="9">
        <v>51.0</v>
      </c>
      <c r="C292" s="9">
        <v>19600.0</v>
      </c>
      <c r="D292" s="9">
        <v>19600.0</v>
      </c>
      <c r="E292" s="9">
        <f t="shared" si="1"/>
        <v>0</v>
      </c>
      <c r="F292" s="9">
        <f t="shared" si="2"/>
        <v>1</v>
      </c>
      <c r="G292" s="11">
        <f t="shared" si="3"/>
        <v>19600</v>
      </c>
      <c r="H292" s="11">
        <f t="shared" si="4"/>
        <v>999600</v>
      </c>
      <c r="I292" s="12" t="str">
        <f t="shared" si="5"/>
        <v>E1</v>
      </c>
      <c r="J292" s="11">
        <f t="shared" si="6"/>
        <v>33124</v>
      </c>
      <c r="K292" s="12" t="str">
        <f t="shared" si="7"/>
        <v>C</v>
      </c>
    </row>
    <row r="293">
      <c r="A293" s="8" t="s">
        <v>130</v>
      </c>
      <c r="B293" s="9">
        <v>862.0</v>
      </c>
      <c r="C293" s="9">
        <v>10218.445475638051</v>
      </c>
      <c r="D293" s="9">
        <v>19780.80495356037</v>
      </c>
      <c r="E293" s="9">
        <f t="shared" si="1"/>
        <v>9562.359478</v>
      </c>
      <c r="F293" s="9">
        <f t="shared" si="2"/>
        <v>1.935793952</v>
      </c>
      <c r="G293" s="11">
        <f t="shared" si="3"/>
        <v>19780.80495</v>
      </c>
      <c r="H293" s="11">
        <f t="shared" si="4"/>
        <v>17051053.87</v>
      </c>
      <c r="I293" s="12" t="str">
        <f t="shared" si="5"/>
        <v>E1</v>
      </c>
      <c r="J293" s="11">
        <f t="shared" si="6"/>
        <v>33429.56037</v>
      </c>
      <c r="K293" s="12" t="str">
        <f t="shared" si="7"/>
        <v>C</v>
      </c>
    </row>
    <row r="294">
      <c r="A294" s="8" t="s">
        <v>144</v>
      </c>
      <c r="B294" s="9">
        <v>689.0</v>
      </c>
      <c r="C294" s="9">
        <v>20098.693759071117</v>
      </c>
      <c r="D294" s="9">
        <v>20098.693759071117</v>
      </c>
      <c r="E294" s="9">
        <f t="shared" si="1"/>
        <v>0</v>
      </c>
      <c r="F294" s="9">
        <f t="shared" si="2"/>
        <v>1</v>
      </c>
      <c r="G294" s="11">
        <f t="shared" si="3"/>
        <v>20098.69376</v>
      </c>
      <c r="H294" s="11">
        <f t="shared" si="4"/>
        <v>13848000</v>
      </c>
      <c r="I294" s="12" t="str">
        <f t="shared" si="5"/>
        <v>D</v>
      </c>
      <c r="J294" s="11">
        <f t="shared" si="6"/>
        <v>33966.79245</v>
      </c>
      <c r="K294" s="12" t="str">
        <f t="shared" si="7"/>
        <v>C</v>
      </c>
    </row>
    <row r="295">
      <c r="A295" s="8" t="s">
        <v>332</v>
      </c>
      <c r="B295" s="9">
        <v>80.0</v>
      </c>
      <c r="C295" s="9">
        <v>4000.0</v>
      </c>
      <c r="D295" s="9">
        <v>21500.0</v>
      </c>
      <c r="E295" s="9">
        <f t="shared" si="1"/>
        <v>17500</v>
      </c>
      <c r="F295" s="9">
        <f t="shared" si="2"/>
        <v>5.375</v>
      </c>
      <c r="G295" s="11">
        <f t="shared" si="3"/>
        <v>21500</v>
      </c>
      <c r="H295" s="11">
        <f t="shared" si="4"/>
        <v>1720000</v>
      </c>
      <c r="I295" s="12" t="str">
        <f t="shared" si="5"/>
        <v>D</v>
      </c>
      <c r="J295" s="11">
        <f t="shared" si="6"/>
        <v>36335</v>
      </c>
      <c r="K295" s="12" t="str">
        <f t="shared" si="7"/>
        <v>C1</v>
      </c>
    </row>
    <row r="296">
      <c r="A296" s="8" t="s">
        <v>212</v>
      </c>
      <c r="B296" s="9">
        <v>1282.0</v>
      </c>
      <c r="C296" s="9">
        <v>7128.4711388455535</v>
      </c>
      <c r="D296" s="9">
        <v>21500.0</v>
      </c>
      <c r="E296" s="9">
        <f t="shared" si="1"/>
        <v>14371.52886</v>
      </c>
      <c r="F296" s="9">
        <f t="shared" si="2"/>
        <v>3.016074496</v>
      </c>
      <c r="G296" s="11">
        <f t="shared" si="3"/>
        <v>21500</v>
      </c>
      <c r="H296" s="11">
        <f t="shared" si="4"/>
        <v>27563000</v>
      </c>
      <c r="I296" s="12" t="str">
        <f t="shared" si="5"/>
        <v>D</v>
      </c>
      <c r="J296" s="11">
        <f t="shared" si="6"/>
        <v>36335</v>
      </c>
      <c r="K296" s="12" t="str">
        <f t="shared" si="7"/>
        <v>C1</v>
      </c>
    </row>
    <row r="297">
      <c r="A297" s="8" t="s">
        <v>86</v>
      </c>
      <c r="B297" s="9">
        <v>1343.0</v>
      </c>
      <c r="C297" s="9">
        <v>14614.743112434848</v>
      </c>
      <c r="D297" s="9">
        <v>21516.201117318436</v>
      </c>
      <c r="E297" s="9">
        <f t="shared" si="1"/>
        <v>6901.458005</v>
      </c>
      <c r="F297" s="9">
        <f t="shared" si="2"/>
        <v>1.472225748</v>
      </c>
      <c r="G297" s="11">
        <f t="shared" si="3"/>
        <v>21516.20112</v>
      </c>
      <c r="H297" s="11">
        <f t="shared" si="4"/>
        <v>28896258.1</v>
      </c>
      <c r="I297" s="12" t="str">
        <f t="shared" si="5"/>
        <v>D</v>
      </c>
      <c r="J297" s="11">
        <f t="shared" si="6"/>
        <v>36362.37989</v>
      </c>
      <c r="K297" s="12" t="str">
        <f t="shared" si="7"/>
        <v>C1</v>
      </c>
    </row>
    <row r="298">
      <c r="A298" s="8" t="s">
        <v>183</v>
      </c>
      <c r="B298" s="9">
        <v>513.0</v>
      </c>
      <c r="C298" s="9">
        <v>17020.311890838206</v>
      </c>
      <c r="D298" s="9">
        <v>24000.0</v>
      </c>
      <c r="E298" s="9">
        <f t="shared" si="1"/>
        <v>6979.688109</v>
      </c>
      <c r="F298" s="9">
        <f t="shared" si="2"/>
        <v>1.410079918</v>
      </c>
      <c r="G298" s="11">
        <f t="shared" si="3"/>
        <v>24000</v>
      </c>
      <c r="H298" s="11">
        <f t="shared" si="4"/>
        <v>12312000</v>
      </c>
      <c r="I298" s="12" t="str">
        <f t="shared" si="5"/>
        <v>D</v>
      </c>
      <c r="J298" s="11">
        <f t="shared" si="6"/>
        <v>40560</v>
      </c>
      <c r="K298" s="12" t="str">
        <f t="shared" si="7"/>
        <v>B</v>
      </c>
    </row>
    <row r="299">
      <c r="A299" s="8" t="s">
        <v>28</v>
      </c>
      <c r="B299" s="9">
        <v>1062.0</v>
      </c>
      <c r="C299" s="9">
        <v>16852.16572504708</v>
      </c>
      <c r="D299" s="9">
        <v>24898.80239520958</v>
      </c>
      <c r="E299" s="9">
        <f t="shared" si="1"/>
        <v>8046.63667</v>
      </c>
      <c r="F299" s="9">
        <f t="shared" si="2"/>
        <v>1.477483832</v>
      </c>
      <c r="G299" s="11">
        <f t="shared" si="3"/>
        <v>24898.8024</v>
      </c>
      <c r="H299" s="11">
        <f t="shared" si="4"/>
        <v>26442528.14</v>
      </c>
      <c r="I299" s="13" t="str">
        <f t="shared" si="5"/>
        <v>D</v>
      </c>
      <c r="J299" s="11">
        <f t="shared" si="6"/>
        <v>42078.97605</v>
      </c>
      <c r="K299" s="13" t="str">
        <f t="shared" si="7"/>
        <v>B</v>
      </c>
    </row>
    <row r="300">
      <c r="A300" s="8" t="s">
        <v>179</v>
      </c>
      <c r="B300" s="9">
        <v>55.0</v>
      </c>
      <c r="C300" s="9">
        <v>25000.0</v>
      </c>
      <c r="D300" s="9">
        <v>25000.0</v>
      </c>
      <c r="E300" s="9">
        <f t="shared" si="1"/>
        <v>0</v>
      </c>
      <c r="F300" s="9">
        <f t="shared" si="2"/>
        <v>1</v>
      </c>
      <c r="G300" s="11">
        <f t="shared" si="3"/>
        <v>25000</v>
      </c>
      <c r="H300" s="11">
        <f t="shared" si="4"/>
        <v>1375000</v>
      </c>
      <c r="I300" s="12" t="str">
        <f t="shared" si="5"/>
        <v>D1</v>
      </c>
      <c r="J300" s="11">
        <f t="shared" si="6"/>
        <v>42250</v>
      </c>
      <c r="K300" s="12" t="str">
        <f t="shared" si="7"/>
        <v>B</v>
      </c>
    </row>
    <row r="301">
      <c r="A301" s="8" t="s">
        <v>40</v>
      </c>
      <c r="B301" s="9">
        <v>1076.0</v>
      </c>
      <c r="C301" s="9">
        <v>7678.438661710037</v>
      </c>
      <c r="D301" s="9">
        <v>26000.0</v>
      </c>
      <c r="E301" s="9">
        <f t="shared" si="1"/>
        <v>18321.56134</v>
      </c>
      <c r="F301" s="9">
        <f t="shared" si="2"/>
        <v>3.386105059</v>
      </c>
      <c r="G301" s="11">
        <f t="shared" si="3"/>
        <v>26000</v>
      </c>
      <c r="H301" s="11">
        <f t="shared" si="4"/>
        <v>27976000</v>
      </c>
      <c r="I301" s="12" t="str">
        <f t="shared" si="5"/>
        <v>D1</v>
      </c>
      <c r="J301" s="11">
        <f t="shared" si="6"/>
        <v>43940</v>
      </c>
      <c r="K301" s="12" t="str">
        <f t="shared" si="7"/>
        <v>B</v>
      </c>
    </row>
    <row r="302">
      <c r="A302" s="8" t="s">
        <v>70</v>
      </c>
      <c r="B302" s="9">
        <v>62.0</v>
      </c>
      <c r="C302" s="9">
        <v>25000.0</v>
      </c>
      <c r="D302" s="9">
        <v>26000.0</v>
      </c>
      <c r="E302" s="9">
        <f t="shared" si="1"/>
        <v>1000</v>
      </c>
      <c r="F302" s="9">
        <f t="shared" si="2"/>
        <v>1.04</v>
      </c>
      <c r="G302" s="11">
        <f t="shared" si="3"/>
        <v>26000</v>
      </c>
      <c r="H302" s="11">
        <f t="shared" si="4"/>
        <v>1612000</v>
      </c>
      <c r="I302" s="12" t="str">
        <f t="shared" si="5"/>
        <v>D1</v>
      </c>
      <c r="J302" s="11">
        <f t="shared" si="6"/>
        <v>43940</v>
      </c>
      <c r="K302" s="12" t="str">
        <f t="shared" si="7"/>
        <v>B</v>
      </c>
    </row>
    <row r="303">
      <c r="A303" s="8" t="s">
        <v>22</v>
      </c>
      <c r="B303" s="9">
        <v>1406.0</v>
      </c>
      <c r="C303" s="9">
        <v>3465.896159317212</v>
      </c>
      <c r="D303" s="9">
        <v>27000.0</v>
      </c>
      <c r="E303" s="9">
        <f t="shared" si="1"/>
        <v>23534.10384</v>
      </c>
      <c r="F303" s="9">
        <f t="shared" si="2"/>
        <v>7.790193</v>
      </c>
      <c r="G303" s="11">
        <f t="shared" si="3"/>
        <v>27000</v>
      </c>
      <c r="H303" s="11">
        <f t="shared" si="4"/>
        <v>37962000</v>
      </c>
      <c r="I303" s="12" t="str">
        <f t="shared" si="5"/>
        <v>D1</v>
      </c>
      <c r="J303" s="11">
        <f t="shared" si="6"/>
        <v>45630</v>
      </c>
      <c r="K303" s="12" t="str">
        <f t="shared" si="7"/>
        <v>B1</v>
      </c>
    </row>
    <row r="304">
      <c r="A304" s="8" t="s">
        <v>102</v>
      </c>
      <c r="B304" s="9">
        <v>53.0</v>
      </c>
      <c r="C304" s="10">
        <v>30000.0</v>
      </c>
      <c r="D304" s="10">
        <v>30000.0</v>
      </c>
      <c r="E304" s="9">
        <f t="shared" si="1"/>
        <v>0</v>
      </c>
      <c r="F304" s="9">
        <f t="shared" si="2"/>
        <v>1</v>
      </c>
      <c r="G304" s="11">
        <f t="shared" si="3"/>
        <v>30000</v>
      </c>
      <c r="H304" s="11">
        <f t="shared" si="4"/>
        <v>1590000</v>
      </c>
      <c r="I304" s="12" t="str">
        <f t="shared" si="5"/>
        <v>C</v>
      </c>
      <c r="J304" s="11">
        <f t="shared" si="6"/>
        <v>50700</v>
      </c>
      <c r="K304" s="12" t="str">
        <f t="shared" si="7"/>
        <v>A</v>
      </c>
    </row>
    <row r="305">
      <c r="A305" s="8" t="s">
        <v>143</v>
      </c>
      <c r="B305" s="9">
        <v>72.0</v>
      </c>
      <c r="C305" s="9">
        <v>30000.0</v>
      </c>
      <c r="D305" s="9">
        <v>30000.0</v>
      </c>
      <c r="E305" s="9">
        <f t="shared" si="1"/>
        <v>0</v>
      </c>
      <c r="F305" s="9">
        <f t="shared" si="2"/>
        <v>1</v>
      </c>
      <c r="G305" s="11">
        <f t="shared" si="3"/>
        <v>30000</v>
      </c>
      <c r="H305" s="11">
        <f t="shared" si="4"/>
        <v>2160000</v>
      </c>
      <c r="I305" s="12" t="str">
        <f t="shared" si="5"/>
        <v>C</v>
      </c>
      <c r="J305" s="11">
        <f t="shared" si="6"/>
        <v>50700</v>
      </c>
      <c r="K305" s="12" t="str">
        <f t="shared" si="7"/>
        <v>A</v>
      </c>
    </row>
    <row r="306">
      <c r="A306" s="8" t="s">
        <v>288</v>
      </c>
      <c r="B306" s="9">
        <v>37.0</v>
      </c>
      <c r="C306" s="9">
        <v>30000.0</v>
      </c>
      <c r="D306" s="9">
        <v>30000.0</v>
      </c>
      <c r="E306" s="9">
        <f t="shared" si="1"/>
        <v>0</v>
      </c>
      <c r="F306" s="9">
        <f t="shared" si="2"/>
        <v>1</v>
      </c>
      <c r="G306" s="11">
        <f t="shared" si="3"/>
        <v>30000</v>
      </c>
      <c r="H306" s="11">
        <f t="shared" si="4"/>
        <v>1110000</v>
      </c>
      <c r="I306" s="12" t="str">
        <f t="shared" si="5"/>
        <v>C</v>
      </c>
      <c r="J306" s="11">
        <f t="shared" si="6"/>
        <v>50700</v>
      </c>
      <c r="K306" s="12" t="str">
        <f t="shared" si="7"/>
        <v>A</v>
      </c>
    </row>
    <row r="307">
      <c r="A307" s="8" t="s">
        <v>41</v>
      </c>
      <c r="B307" s="9">
        <v>603.0</v>
      </c>
      <c r="C307" s="9">
        <v>15000.0</v>
      </c>
      <c r="D307" s="9">
        <v>32000.0</v>
      </c>
      <c r="E307" s="9">
        <f t="shared" si="1"/>
        <v>17000</v>
      </c>
      <c r="F307" s="9">
        <f t="shared" si="2"/>
        <v>2.133333333</v>
      </c>
      <c r="G307" s="11">
        <f t="shared" si="3"/>
        <v>32000</v>
      </c>
      <c r="H307" s="11">
        <f t="shared" si="4"/>
        <v>19296000</v>
      </c>
      <c r="I307" s="13" t="str">
        <f t="shared" si="5"/>
        <v>C</v>
      </c>
      <c r="J307" s="11">
        <f t="shared" si="6"/>
        <v>54080</v>
      </c>
      <c r="K307" s="13" t="str">
        <f t="shared" si="7"/>
        <v>A</v>
      </c>
    </row>
    <row r="308">
      <c r="A308" s="8" t="s">
        <v>64</v>
      </c>
      <c r="B308" s="9">
        <v>27.0</v>
      </c>
      <c r="C308" s="9">
        <v>35000.0</v>
      </c>
      <c r="D308" s="9">
        <v>35000.0</v>
      </c>
      <c r="E308" s="9">
        <f t="shared" si="1"/>
        <v>0</v>
      </c>
      <c r="F308" s="9">
        <f t="shared" si="2"/>
        <v>1</v>
      </c>
      <c r="G308" s="11">
        <f t="shared" si="3"/>
        <v>35000</v>
      </c>
      <c r="H308" s="11">
        <f t="shared" si="4"/>
        <v>945000</v>
      </c>
      <c r="I308" s="12" t="str">
        <f t="shared" si="5"/>
        <v>C1</v>
      </c>
      <c r="J308" s="11">
        <f t="shared" si="6"/>
        <v>59150</v>
      </c>
      <c r="K308" s="12" t="str">
        <f t="shared" si="7"/>
        <v>A1</v>
      </c>
    </row>
    <row r="309">
      <c r="A309" s="8" t="s">
        <v>20</v>
      </c>
      <c r="B309" s="9">
        <v>104.0</v>
      </c>
      <c r="C309" s="9">
        <v>36057.692307692305</v>
      </c>
      <c r="D309" s="9">
        <v>36057.692307692305</v>
      </c>
      <c r="E309" s="9">
        <f t="shared" si="1"/>
        <v>0</v>
      </c>
      <c r="F309" s="9">
        <f t="shared" si="2"/>
        <v>1</v>
      </c>
      <c r="G309" s="11">
        <f t="shared" si="3"/>
        <v>36057.69231</v>
      </c>
      <c r="H309" s="11">
        <f t="shared" si="4"/>
        <v>3750000</v>
      </c>
      <c r="I309" s="13" t="str">
        <f t="shared" si="5"/>
        <v>C1</v>
      </c>
      <c r="J309" s="11">
        <f t="shared" si="6"/>
        <v>60937.5</v>
      </c>
      <c r="K309" s="13" t="str">
        <f t="shared" si="7"/>
        <v>S</v>
      </c>
    </row>
    <row r="310">
      <c r="A310" s="8" t="s">
        <v>36</v>
      </c>
      <c r="B310" s="9">
        <v>291.0</v>
      </c>
      <c r="C310" s="9">
        <v>8000.0</v>
      </c>
      <c r="D310" s="9">
        <v>40000.0</v>
      </c>
      <c r="E310" s="9">
        <f t="shared" si="1"/>
        <v>32000</v>
      </c>
      <c r="F310" s="9">
        <f t="shared" si="2"/>
        <v>5</v>
      </c>
      <c r="G310" s="11">
        <f t="shared" si="3"/>
        <v>40000</v>
      </c>
      <c r="H310" s="11">
        <f t="shared" si="4"/>
        <v>11640000</v>
      </c>
      <c r="I310" s="13" t="str">
        <f t="shared" si="5"/>
        <v>B</v>
      </c>
      <c r="J310" s="11">
        <f t="shared" si="6"/>
        <v>67600</v>
      </c>
      <c r="K310" s="13" t="str">
        <f t="shared" si="7"/>
        <v>S</v>
      </c>
    </row>
    <row r="311">
      <c r="A311" s="8" t="s">
        <v>121</v>
      </c>
      <c r="B311" s="9">
        <v>76.0</v>
      </c>
      <c r="C311" s="9">
        <v>28000.0</v>
      </c>
      <c r="D311" s="9">
        <v>40000.0</v>
      </c>
      <c r="E311" s="9">
        <f t="shared" si="1"/>
        <v>12000</v>
      </c>
      <c r="F311" s="9">
        <f t="shared" si="2"/>
        <v>1.428571429</v>
      </c>
      <c r="G311" s="11">
        <f t="shared" si="3"/>
        <v>40000</v>
      </c>
      <c r="H311" s="11">
        <f t="shared" si="4"/>
        <v>3040000</v>
      </c>
      <c r="I311" s="12" t="str">
        <f t="shared" si="5"/>
        <v>B</v>
      </c>
      <c r="J311" s="11">
        <f t="shared" si="6"/>
        <v>67600</v>
      </c>
      <c r="K311" s="12" t="str">
        <f t="shared" si="7"/>
        <v>S</v>
      </c>
    </row>
    <row r="312">
      <c r="A312" s="8" t="s">
        <v>320</v>
      </c>
      <c r="B312" s="9">
        <v>773.0</v>
      </c>
      <c r="C312" s="9">
        <v>28075.03234152652</v>
      </c>
      <c r="D312" s="9">
        <v>40415.36863966771</v>
      </c>
      <c r="E312" s="9">
        <f t="shared" si="1"/>
        <v>12340.3363</v>
      </c>
      <c r="F312" s="9">
        <f t="shared" si="2"/>
        <v>1.439548427</v>
      </c>
      <c r="G312" s="11">
        <f t="shared" si="3"/>
        <v>40415.36864</v>
      </c>
      <c r="H312" s="11">
        <f t="shared" si="4"/>
        <v>31241079.96</v>
      </c>
      <c r="I312" s="12" t="str">
        <f t="shared" si="5"/>
        <v>B</v>
      </c>
      <c r="J312" s="11">
        <f t="shared" si="6"/>
        <v>68301.973</v>
      </c>
      <c r="K312" s="12" t="str">
        <f t="shared" si="7"/>
        <v>S</v>
      </c>
    </row>
    <row r="313">
      <c r="A313" s="8" t="s">
        <v>24</v>
      </c>
      <c r="B313" s="9">
        <v>74.0</v>
      </c>
      <c r="C313" s="10">
        <v>41900.0</v>
      </c>
      <c r="D313" s="10">
        <v>41900.0</v>
      </c>
      <c r="E313" s="9">
        <f t="shared" si="1"/>
        <v>0</v>
      </c>
      <c r="F313" s="9">
        <f t="shared" si="2"/>
        <v>1</v>
      </c>
      <c r="G313" s="11">
        <f t="shared" si="3"/>
        <v>41900</v>
      </c>
      <c r="H313" s="11">
        <f t="shared" si="4"/>
        <v>3100600</v>
      </c>
      <c r="I313" s="13" t="str">
        <f t="shared" si="5"/>
        <v>B</v>
      </c>
      <c r="J313" s="11">
        <f t="shared" si="6"/>
        <v>70811</v>
      </c>
      <c r="K313" s="13" t="str">
        <f t="shared" si="7"/>
        <v>S</v>
      </c>
    </row>
    <row r="314">
      <c r="A314" s="1"/>
      <c r="B314" s="5"/>
      <c r="C314" s="5"/>
      <c r="D314" s="5"/>
      <c r="E314" s="14"/>
      <c r="F314" s="14"/>
      <c r="G314" s="11"/>
      <c r="H314" s="11"/>
      <c r="I314" s="12"/>
      <c r="J314" s="11"/>
      <c r="K314" s="12"/>
    </row>
    <row r="315">
      <c r="A315" s="1"/>
      <c r="B315" s="5"/>
      <c r="C315" s="5"/>
      <c r="D315" s="5"/>
      <c r="E315" s="14"/>
      <c r="F315" s="14"/>
      <c r="G315" s="11"/>
      <c r="H315" s="11"/>
      <c r="I315" s="12"/>
      <c r="J315" s="11"/>
      <c r="K315" s="12"/>
    </row>
    <row r="316">
      <c r="A316" s="1"/>
      <c r="B316" s="5"/>
      <c r="C316" s="5"/>
      <c r="D316" s="5"/>
      <c r="E316" s="14"/>
    </row>
    <row r="317">
      <c r="E317" s="14"/>
    </row>
    <row r="318">
      <c r="E318" s="14"/>
    </row>
    <row r="319">
      <c r="E319" s="14"/>
    </row>
    <row r="320">
      <c r="E320" s="14"/>
    </row>
    <row r="321">
      <c r="E321" s="14"/>
    </row>
    <row r="322">
      <c r="E322" s="14"/>
    </row>
    <row r="323">
      <c r="E323" s="14"/>
    </row>
    <row r="324">
      <c r="E324" s="14"/>
    </row>
    <row r="325">
      <c r="E325" s="14"/>
    </row>
    <row r="326">
      <c r="E326" s="14"/>
    </row>
    <row r="327">
      <c r="E327" s="14"/>
    </row>
    <row r="328">
      <c r="E328" s="14"/>
    </row>
    <row r="329">
      <c r="E329" s="14"/>
    </row>
    <row r="330">
      <c r="E330" s="14"/>
    </row>
    <row r="331">
      <c r="E331" s="14"/>
    </row>
    <row r="332">
      <c r="E332" s="14"/>
    </row>
    <row r="333">
      <c r="E333" s="14"/>
    </row>
    <row r="334">
      <c r="E334" s="14"/>
    </row>
    <row r="335">
      <c r="E335" s="14"/>
    </row>
    <row r="336">
      <c r="E336" s="14"/>
    </row>
    <row r="337">
      <c r="E337" s="14"/>
    </row>
    <row r="338">
      <c r="E338" s="14"/>
    </row>
    <row r="339">
      <c r="E339" s="14"/>
    </row>
    <row r="340">
      <c r="E340" s="14"/>
    </row>
    <row r="341">
      <c r="E341" s="14"/>
    </row>
    <row r="342">
      <c r="E342" s="14"/>
    </row>
    <row r="343">
      <c r="E343" s="14"/>
    </row>
    <row r="344">
      <c r="E344" s="14"/>
    </row>
    <row r="345">
      <c r="E345" s="14"/>
    </row>
    <row r="346">
      <c r="E346" s="14"/>
    </row>
    <row r="347">
      <c r="E347" s="14"/>
    </row>
    <row r="348">
      <c r="E348" s="14"/>
    </row>
    <row r="349">
      <c r="E349" s="14"/>
    </row>
    <row r="350">
      <c r="E350" s="14"/>
    </row>
    <row r="351">
      <c r="E351" s="14"/>
    </row>
    <row r="352">
      <c r="E352" s="14"/>
    </row>
    <row r="353">
      <c r="E353" s="14"/>
    </row>
    <row r="354">
      <c r="E354" s="14"/>
    </row>
    <row r="355">
      <c r="E355" s="14"/>
    </row>
    <row r="356">
      <c r="E356" s="14"/>
    </row>
    <row r="357">
      <c r="E357" s="14"/>
    </row>
    <row r="358">
      <c r="E358" s="14"/>
    </row>
    <row r="359">
      <c r="E359" s="14"/>
    </row>
    <row r="360">
      <c r="E360" s="14"/>
    </row>
    <row r="361">
      <c r="E361" s="14"/>
    </row>
    <row r="362">
      <c r="E362" s="14"/>
    </row>
    <row r="363">
      <c r="E363" s="14"/>
    </row>
    <row r="364">
      <c r="E364" s="14"/>
    </row>
    <row r="365">
      <c r="E365" s="14"/>
    </row>
    <row r="366">
      <c r="E366" s="14"/>
    </row>
    <row r="367">
      <c r="E367" s="14"/>
    </row>
    <row r="368">
      <c r="E368" s="14"/>
    </row>
    <row r="369">
      <c r="E369" s="14"/>
    </row>
    <row r="370">
      <c r="E370" s="14"/>
    </row>
    <row r="371">
      <c r="E371" s="14"/>
    </row>
    <row r="372">
      <c r="E372" s="14"/>
    </row>
    <row r="373">
      <c r="E373" s="14"/>
    </row>
    <row r="374">
      <c r="E374" s="14"/>
    </row>
    <row r="375">
      <c r="E375" s="14"/>
    </row>
    <row r="376">
      <c r="E376" s="14"/>
    </row>
    <row r="377">
      <c r="E377" s="14"/>
    </row>
    <row r="378">
      <c r="E378" s="14"/>
    </row>
    <row r="379">
      <c r="E379" s="14"/>
    </row>
    <row r="380">
      <c r="E380" s="14"/>
    </row>
    <row r="381">
      <c r="E381" s="14"/>
    </row>
    <row r="382">
      <c r="E382" s="14"/>
    </row>
    <row r="383">
      <c r="E383" s="14"/>
    </row>
    <row r="384">
      <c r="E384" s="14"/>
    </row>
    <row r="385">
      <c r="E385" s="14"/>
    </row>
    <row r="386">
      <c r="E386" s="14"/>
    </row>
    <row r="387">
      <c r="E387" s="14"/>
    </row>
    <row r="388">
      <c r="E388" s="14"/>
    </row>
    <row r="389">
      <c r="E389" s="14"/>
    </row>
    <row r="390">
      <c r="E390" s="14"/>
    </row>
    <row r="391">
      <c r="E391" s="14"/>
    </row>
    <row r="392">
      <c r="E392" s="14"/>
    </row>
    <row r="393">
      <c r="E393" s="14"/>
    </row>
    <row r="394">
      <c r="E394" s="14"/>
    </row>
    <row r="395">
      <c r="E395" s="14"/>
    </row>
    <row r="396">
      <c r="E396" s="14"/>
    </row>
    <row r="397">
      <c r="E397" s="14"/>
    </row>
    <row r="398">
      <c r="E398" s="14"/>
    </row>
    <row r="399">
      <c r="E399" s="14"/>
    </row>
    <row r="400">
      <c r="E400" s="14"/>
    </row>
    <row r="401">
      <c r="E401" s="14"/>
    </row>
    <row r="402">
      <c r="E402" s="14"/>
    </row>
    <row r="403">
      <c r="E403" s="14"/>
    </row>
    <row r="404">
      <c r="E404" s="14"/>
    </row>
    <row r="405">
      <c r="E405" s="14"/>
    </row>
    <row r="406">
      <c r="E406" s="14"/>
    </row>
    <row r="407">
      <c r="E407" s="14"/>
    </row>
    <row r="408">
      <c r="E408" s="14"/>
    </row>
    <row r="409">
      <c r="E409" s="14"/>
    </row>
    <row r="410">
      <c r="E410" s="14"/>
    </row>
    <row r="411">
      <c r="E411" s="14"/>
    </row>
    <row r="412">
      <c r="E412" s="14"/>
    </row>
    <row r="413">
      <c r="E413" s="14"/>
    </row>
    <row r="414">
      <c r="E414" s="14"/>
    </row>
    <row r="415">
      <c r="E415" s="14"/>
    </row>
    <row r="416">
      <c r="E416" s="14"/>
    </row>
    <row r="417">
      <c r="E417" s="14"/>
    </row>
    <row r="418">
      <c r="E418" s="14"/>
    </row>
    <row r="419">
      <c r="E419" s="14"/>
    </row>
    <row r="420">
      <c r="E420" s="14"/>
    </row>
    <row r="421">
      <c r="E421" s="14"/>
    </row>
    <row r="422">
      <c r="E422" s="14"/>
    </row>
    <row r="423">
      <c r="E423" s="14"/>
    </row>
    <row r="424">
      <c r="E424" s="14"/>
    </row>
    <row r="425">
      <c r="E425" s="14"/>
    </row>
    <row r="426">
      <c r="E426" s="14"/>
    </row>
    <row r="427">
      <c r="E427" s="14"/>
    </row>
    <row r="428">
      <c r="E428" s="14"/>
    </row>
    <row r="429">
      <c r="E429" s="14"/>
    </row>
    <row r="430">
      <c r="E430" s="14"/>
    </row>
    <row r="431">
      <c r="E431" s="14"/>
    </row>
    <row r="432">
      <c r="E432" s="14"/>
    </row>
    <row r="433">
      <c r="E433" s="14"/>
    </row>
    <row r="434">
      <c r="E434" s="14"/>
    </row>
    <row r="435">
      <c r="E435" s="14"/>
    </row>
    <row r="436">
      <c r="E436" s="14"/>
    </row>
    <row r="437">
      <c r="E437" s="14"/>
    </row>
    <row r="438">
      <c r="E438" s="14"/>
    </row>
    <row r="439">
      <c r="E439" s="14"/>
    </row>
    <row r="440">
      <c r="E440" s="14"/>
    </row>
    <row r="441">
      <c r="E441" s="14"/>
    </row>
    <row r="442">
      <c r="E442" s="14"/>
    </row>
    <row r="443">
      <c r="E443" s="14"/>
    </row>
    <row r="444">
      <c r="E444" s="14"/>
    </row>
    <row r="445">
      <c r="E445" s="14"/>
    </row>
    <row r="446">
      <c r="E446" s="14"/>
    </row>
    <row r="447">
      <c r="E447" s="14"/>
    </row>
    <row r="448">
      <c r="E448" s="14"/>
    </row>
    <row r="449">
      <c r="E449" s="14"/>
    </row>
    <row r="450">
      <c r="E450" s="14"/>
    </row>
    <row r="451">
      <c r="E451" s="14"/>
    </row>
    <row r="452">
      <c r="E452" s="14"/>
    </row>
    <row r="453">
      <c r="E453" s="14"/>
    </row>
    <row r="454">
      <c r="E454" s="14"/>
    </row>
    <row r="455">
      <c r="E455" s="14"/>
    </row>
    <row r="456">
      <c r="E456" s="14"/>
    </row>
    <row r="457">
      <c r="E457" s="14"/>
    </row>
    <row r="458">
      <c r="E458" s="14"/>
    </row>
    <row r="459">
      <c r="E459" s="14"/>
    </row>
    <row r="460">
      <c r="E460" s="14"/>
    </row>
    <row r="461">
      <c r="E461" s="14"/>
    </row>
    <row r="462">
      <c r="E462" s="14"/>
    </row>
    <row r="463">
      <c r="E463" s="14"/>
    </row>
    <row r="464">
      <c r="E464" s="14"/>
    </row>
    <row r="465">
      <c r="E465" s="14"/>
    </row>
    <row r="466">
      <c r="E466" s="14"/>
    </row>
    <row r="467">
      <c r="E467" s="14"/>
    </row>
    <row r="468">
      <c r="E468" s="14"/>
    </row>
    <row r="469">
      <c r="E469" s="14"/>
    </row>
    <row r="470">
      <c r="E470" s="14"/>
    </row>
    <row r="471">
      <c r="E471" s="14"/>
    </row>
    <row r="472">
      <c r="E472" s="14"/>
    </row>
    <row r="473">
      <c r="E473" s="14"/>
    </row>
    <row r="474">
      <c r="E474" s="14"/>
    </row>
    <row r="475">
      <c r="E475" s="14"/>
    </row>
    <row r="476">
      <c r="E476" s="14"/>
    </row>
    <row r="477">
      <c r="E477" s="14"/>
    </row>
    <row r="478">
      <c r="E478" s="14"/>
    </row>
    <row r="479">
      <c r="E479" s="14"/>
    </row>
    <row r="480">
      <c r="E480" s="14"/>
    </row>
    <row r="481">
      <c r="E481" s="14"/>
    </row>
    <row r="482">
      <c r="E482" s="14"/>
    </row>
    <row r="483">
      <c r="E483" s="14"/>
    </row>
    <row r="484">
      <c r="E484" s="14"/>
    </row>
    <row r="485">
      <c r="E485" s="14"/>
    </row>
    <row r="486">
      <c r="E486" s="14"/>
    </row>
    <row r="487">
      <c r="E487" s="14"/>
    </row>
    <row r="488">
      <c r="E488" s="14"/>
    </row>
    <row r="489">
      <c r="E489" s="14"/>
    </row>
    <row r="490">
      <c r="E490" s="14"/>
    </row>
    <row r="491">
      <c r="E491" s="14"/>
    </row>
    <row r="492">
      <c r="E492" s="14"/>
    </row>
    <row r="493">
      <c r="E493" s="14"/>
    </row>
    <row r="494">
      <c r="E494" s="14"/>
    </row>
    <row r="495">
      <c r="E495" s="14"/>
    </row>
    <row r="496">
      <c r="E496" s="14"/>
    </row>
    <row r="497">
      <c r="E497" s="14"/>
    </row>
    <row r="498">
      <c r="E498" s="14"/>
    </row>
    <row r="499">
      <c r="E499" s="14"/>
    </row>
    <row r="500">
      <c r="E500" s="14"/>
    </row>
    <row r="501">
      <c r="E501" s="14"/>
    </row>
    <row r="502">
      <c r="E502" s="14"/>
    </row>
    <row r="503">
      <c r="E503" s="14"/>
    </row>
    <row r="504">
      <c r="E504" s="14"/>
    </row>
    <row r="505">
      <c r="E505" s="14"/>
    </row>
    <row r="506">
      <c r="E506" s="14"/>
    </row>
    <row r="507">
      <c r="E507" s="14"/>
    </row>
    <row r="508">
      <c r="E508" s="14"/>
    </row>
    <row r="509">
      <c r="E509" s="14"/>
    </row>
    <row r="510">
      <c r="E510" s="14"/>
    </row>
    <row r="511">
      <c r="E511" s="14"/>
    </row>
    <row r="512">
      <c r="E512" s="14"/>
    </row>
    <row r="513">
      <c r="E513" s="14"/>
    </row>
    <row r="514">
      <c r="E514" s="14"/>
    </row>
    <row r="515">
      <c r="E515" s="14"/>
    </row>
    <row r="516">
      <c r="E516" s="14"/>
    </row>
    <row r="517">
      <c r="E517" s="14"/>
    </row>
    <row r="518">
      <c r="E518" s="14"/>
    </row>
    <row r="519">
      <c r="E519" s="14"/>
    </row>
    <row r="520">
      <c r="E520" s="14"/>
    </row>
    <row r="521">
      <c r="E521" s="14"/>
    </row>
    <row r="522">
      <c r="E522" s="14"/>
    </row>
    <row r="523">
      <c r="E523" s="14"/>
    </row>
    <row r="524">
      <c r="E524" s="14"/>
    </row>
    <row r="525">
      <c r="E525" s="14"/>
    </row>
    <row r="526">
      <c r="E526" s="14"/>
    </row>
    <row r="527">
      <c r="E527" s="14"/>
    </row>
    <row r="528">
      <c r="E528" s="14"/>
    </row>
    <row r="529">
      <c r="E529" s="14"/>
    </row>
    <row r="530">
      <c r="E530" s="14"/>
    </row>
    <row r="531">
      <c r="E531" s="14"/>
    </row>
    <row r="532">
      <c r="E532" s="14"/>
    </row>
    <row r="533">
      <c r="E533" s="14"/>
    </row>
    <row r="534">
      <c r="E534" s="14"/>
    </row>
    <row r="535">
      <c r="E535" s="14"/>
    </row>
    <row r="536">
      <c r="E536" s="14"/>
    </row>
    <row r="537">
      <c r="E537" s="14"/>
    </row>
    <row r="538">
      <c r="E538" s="14"/>
    </row>
    <row r="539">
      <c r="E539" s="14"/>
    </row>
    <row r="540">
      <c r="E540" s="14"/>
    </row>
    <row r="541">
      <c r="E541" s="14"/>
    </row>
    <row r="542">
      <c r="E542" s="14"/>
    </row>
    <row r="543">
      <c r="E543" s="14"/>
    </row>
    <row r="544">
      <c r="E544" s="14"/>
    </row>
    <row r="545">
      <c r="E545" s="14"/>
    </row>
    <row r="546">
      <c r="E546" s="14"/>
    </row>
    <row r="547">
      <c r="E547" s="14"/>
    </row>
    <row r="548">
      <c r="E548" s="14"/>
    </row>
    <row r="549">
      <c r="E549" s="14"/>
    </row>
    <row r="550">
      <c r="E550" s="14"/>
    </row>
    <row r="551">
      <c r="E551" s="14"/>
    </row>
    <row r="552">
      <c r="E552" s="14"/>
    </row>
    <row r="553">
      <c r="E553" s="14"/>
    </row>
    <row r="554">
      <c r="E554" s="14"/>
    </row>
    <row r="555">
      <c r="E555" s="14"/>
    </row>
    <row r="556">
      <c r="E556" s="14"/>
    </row>
    <row r="557">
      <c r="E557" s="14"/>
    </row>
    <row r="558">
      <c r="E558" s="14"/>
    </row>
    <row r="559">
      <c r="E559" s="14"/>
    </row>
    <row r="560">
      <c r="E560" s="14"/>
    </row>
    <row r="561">
      <c r="E561" s="14"/>
    </row>
    <row r="562">
      <c r="E562" s="14"/>
    </row>
    <row r="563">
      <c r="E563" s="14"/>
    </row>
    <row r="564">
      <c r="E564" s="14"/>
    </row>
    <row r="565">
      <c r="E565" s="14"/>
    </row>
    <row r="566">
      <c r="E566" s="14"/>
    </row>
    <row r="567">
      <c r="E567" s="14"/>
    </row>
    <row r="568">
      <c r="E568" s="14"/>
    </row>
    <row r="569">
      <c r="E569" s="14"/>
    </row>
    <row r="570">
      <c r="E570" s="14"/>
    </row>
    <row r="571">
      <c r="E571" s="14"/>
    </row>
    <row r="572">
      <c r="E572" s="14"/>
    </row>
    <row r="573">
      <c r="E573" s="14"/>
    </row>
    <row r="574">
      <c r="E574" s="14"/>
    </row>
    <row r="575">
      <c r="E575" s="14"/>
    </row>
    <row r="576">
      <c r="E576" s="14"/>
    </row>
    <row r="577">
      <c r="E577" s="14"/>
    </row>
    <row r="578">
      <c r="E578" s="14"/>
    </row>
    <row r="579">
      <c r="E579" s="14"/>
    </row>
    <row r="580">
      <c r="E580" s="14"/>
    </row>
    <row r="581">
      <c r="E581" s="14"/>
    </row>
    <row r="582">
      <c r="E582" s="14"/>
    </row>
    <row r="583">
      <c r="E583" s="14"/>
    </row>
    <row r="584">
      <c r="E584" s="14"/>
    </row>
    <row r="585">
      <c r="E585" s="14"/>
    </row>
    <row r="586">
      <c r="E586" s="14"/>
    </row>
    <row r="587">
      <c r="E587" s="14"/>
    </row>
    <row r="588">
      <c r="E588" s="14"/>
    </row>
    <row r="589">
      <c r="E589" s="14"/>
    </row>
    <row r="590">
      <c r="E590" s="14"/>
    </row>
    <row r="591">
      <c r="E591" s="14"/>
    </row>
    <row r="592">
      <c r="E592" s="14"/>
    </row>
    <row r="593">
      <c r="E593" s="14"/>
    </row>
    <row r="594">
      <c r="E594" s="14"/>
    </row>
    <row r="595">
      <c r="E595" s="14"/>
    </row>
    <row r="596">
      <c r="E596" s="14"/>
    </row>
    <row r="597">
      <c r="E597" s="14"/>
    </row>
    <row r="598">
      <c r="E598" s="14"/>
    </row>
    <row r="599">
      <c r="E599" s="14"/>
    </row>
    <row r="600">
      <c r="E600" s="14"/>
    </row>
    <row r="601">
      <c r="E601" s="14"/>
    </row>
    <row r="602">
      <c r="E602" s="14"/>
    </row>
    <row r="603">
      <c r="E603" s="14"/>
    </row>
    <row r="604">
      <c r="E604" s="14"/>
    </row>
    <row r="605">
      <c r="E605" s="14"/>
    </row>
    <row r="606">
      <c r="E606" s="14"/>
    </row>
    <row r="607">
      <c r="E607" s="14"/>
    </row>
    <row r="608">
      <c r="E608" s="14"/>
    </row>
    <row r="609">
      <c r="E609" s="14"/>
    </row>
    <row r="610">
      <c r="E610" s="14"/>
    </row>
    <row r="611">
      <c r="E611" s="14"/>
    </row>
    <row r="612">
      <c r="E612" s="14"/>
    </row>
    <row r="613">
      <c r="E613" s="14"/>
    </row>
    <row r="614">
      <c r="E614" s="14"/>
    </row>
    <row r="615">
      <c r="E615" s="14"/>
    </row>
    <row r="616">
      <c r="E616" s="14"/>
    </row>
    <row r="617">
      <c r="E617" s="14"/>
    </row>
    <row r="618">
      <c r="E618" s="14"/>
    </row>
    <row r="619">
      <c r="E619" s="14"/>
    </row>
    <row r="620">
      <c r="E620" s="14"/>
    </row>
    <row r="621">
      <c r="E621" s="14"/>
    </row>
    <row r="622">
      <c r="E622" s="14"/>
    </row>
    <row r="623">
      <c r="E623" s="14"/>
    </row>
    <row r="624">
      <c r="E624" s="14"/>
    </row>
    <row r="625">
      <c r="E625" s="14"/>
    </row>
    <row r="626">
      <c r="E626" s="14"/>
    </row>
    <row r="627">
      <c r="E627" s="14"/>
    </row>
    <row r="628">
      <c r="E628" s="14"/>
    </row>
    <row r="629">
      <c r="E629" s="14"/>
    </row>
    <row r="630">
      <c r="E630" s="14"/>
    </row>
    <row r="631">
      <c r="E631" s="14"/>
    </row>
    <row r="632">
      <c r="E632" s="14"/>
    </row>
    <row r="633">
      <c r="E633" s="14"/>
    </row>
    <row r="634">
      <c r="E634" s="14"/>
    </row>
    <row r="635">
      <c r="E635" s="14"/>
    </row>
    <row r="636">
      <c r="E636" s="14"/>
    </row>
    <row r="637">
      <c r="E637" s="14"/>
    </row>
    <row r="638">
      <c r="E638" s="14"/>
    </row>
    <row r="639">
      <c r="E639" s="14"/>
    </row>
    <row r="640">
      <c r="E640" s="14"/>
    </row>
    <row r="641">
      <c r="E641" s="14"/>
    </row>
    <row r="642">
      <c r="E642" s="14"/>
    </row>
    <row r="643">
      <c r="E643" s="14"/>
    </row>
    <row r="644">
      <c r="E644" s="14"/>
    </row>
    <row r="645">
      <c r="E645" s="14"/>
    </row>
    <row r="646">
      <c r="E646" s="14"/>
    </row>
    <row r="647">
      <c r="E647" s="14"/>
    </row>
    <row r="648">
      <c r="E648" s="14"/>
    </row>
    <row r="649">
      <c r="E649" s="14"/>
    </row>
    <row r="650">
      <c r="E650" s="14"/>
    </row>
    <row r="651">
      <c r="E651" s="14"/>
    </row>
    <row r="652">
      <c r="E652" s="14"/>
    </row>
    <row r="653">
      <c r="E653" s="14"/>
    </row>
    <row r="654">
      <c r="E654" s="14"/>
    </row>
    <row r="655">
      <c r="E655" s="14"/>
    </row>
    <row r="656">
      <c r="E656" s="14"/>
    </row>
    <row r="657">
      <c r="E657" s="14"/>
    </row>
    <row r="658">
      <c r="E658" s="14"/>
    </row>
    <row r="659">
      <c r="E659" s="14"/>
    </row>
    <row r="660">
      <c r="E660" s="14"/>
    </row>
    <row r="661">
      <c r="E661" s="14"/>
    </row>
    <row r="662">
      <c r="E662" s="14"/>
    </row>
    <row r="663">
      <c r="E663" s="14"/>
    </row>
    <row r="664">
      <c r="E664" s="14"/>
    </row>
    <row r="665">
      <c r="E665" s="14"/>
    </row>
    <row r="666">
      <c r="E666" s="14"/>
    </row>
    <row r="667">
      <c r="E667" s="14"/>
    </row>
    <row r="668">
      <c r="E668" s="14"/>
    </row>
    <row r="669">
      <c r="E669" s="14"/>
    </row>
    <row r="670">
      <c r="E670" s="14"/>
    </row>
    <row r="671">
      <c r="E671" s="14"/>
    </row>
    <row r="672">
      <c r="E672" s="14"/>
    </row>
    <row r="673">
      <c r="E673" s="14"/>
    </row>
    <row r="674">
      <c r="E674" s="14"/>
    </row>
    <row r="675">
      <c r="E675" s="14"/>
    </row>
    <row r="676">
      <c r="E676" s="14"/>
    </row>
    <row r="677">
      <c r="E677" s="14"/>
    </row>
    <row r="678">
      <c r="E678" s="14"/>
    </row>
    <row r="679">
      <c r="E679" s="14"/>
    </row>
    <row r="680">
      <c r="E680" s="14"/>
    </row>
    <row r="681">
      <c r="E681" s="14"/>
    </row>
    <row r="682">
      <c r="E682" s="14"/>
    </row>
    <row r="683">
      <c r="E683" s="14"/>
    </row>
    <row r="684">
      <c r="E684" s="14"/>
    </row>
    <row r="685">
      <c r="E685" s="14"/>
    </row>
    <row r="686">
      <c r="E686" s="14"/>
    </row>
    <row r="687">
      <c r="E687" s="14"/>
    </row>
    <row r="688">
      <c r="E688" s="14"/>
    </row>
    <row r="689">
      <c r="E689" s="14"/>
    </row>
    <row r="690">
      <c r="E690" s="14"/>
    </row>
    <row r="691">
      <c r="E691" s="14"/>
    </row>
    <row r="692">
      <c r="E692" s="14"/>
    </row>
    <row r="693">
      <c r="E693" s="14"/>
    </row>
    <row r="694">
      <c r="E694" s="14"/>
    </row>
    <row r="695">
      <c r="E695" s="14"/>
    </row>
    <row r="696">
      <c r="E696" s="14"/>
    </row>
    <row r="697">
      <c r="E697" s="14"/>
    </row>
    <row r="698">
      <c r="E698" s="14"/>
    </row>
    <row r="699">
      <c r="E699" s="14"/>
    </row>
    <row r="700">
      <c r="E700" s="14"/>
    </row>
    <row r="701">
      <c r="E701" s="14"/>
    </row>
    <row r="702">
      <c r="E702" s="14"/>
    </row>
    <row r="703">
      <c r="E703" s="14"/>
    </row>
    <row r="704">
      <c r="E704" s="14"/>
    </row>
    <row r="705">
      <c r="E705" s="14"/>
    </row>
    <row r="706">
      <c r="E706" s="14"/>
    </row>
    <row r="707">
      <c r="E707" s="14"/>
    </row>
    <row r="708">
      <c r="E708" s="14"/>
    </row>
    <row r="709">
      <c r="E709" s="14"/>
    </row>
    <row r="710">
      <c r="E710" s="14"/>
    </row>
    <row r="711">
      <c r="E711" s="14"/>
    </row>
    <row r="712">
      <c r="E712" s="14"/>
    </row>
    <row r="713">
      <c r="E713" s="14"/>
    </row>
    <row r="714">
      <c r="E714" s="14"/>
    </row>
    <row r="715">
      <c r="E715" s="14"/>
    </row>
    <row r="716">
      <c r="E716" s="14"/>
    </row>
    <row r="717">
      <c r="E717" s="14"/>
    </row>
    <row r="718">
      <c r="E718" s="14"/>
    </row>
    <row r="719">
      <c r="E719" s="14"/>
    </row>
    <row r="720">
      <c r="E720" s="14"/>
    </row>
    <row r="721">
      <c r="E721" s="14"/>
    </row>
    <row r="722">
      <c r="E722" s="14"/>
    </row>
    <row r="723">
      <c r="E723" s="14"/>
    </row>
    <row r="724">
      <c r="E724" s="14"/>
    </row>
    <row r="725">
      <c r="E725" s="14"/>
    </row>
    <row r="726">
      <c r="E726" s="14"/>
    </row>
    <row r="727">
      <c r="E727" s="14"/>
    </row>
    <row r="728">
      <c r="E728" s="14"/>
    </row>
    <row r="729">
      <c r="E729" s="14"/>
    </row>
    <row r="730">
      <c r="E730" s="14"/>
    </row>
    <row r="731">
      <c r="E731" s="14"/>
    </row>
    <row r="732">
      <c r="E732" s="14"/>
    </row>
    <row r="733">
      <c r="E733" s="14"/>
    </row>
    <row r="734">
      <c r="E734" s="14"/>
    </row>
    <row r="735">
      <c r="E735" s="14"/>
    </row>
    <row r="736">
      <c r="E736" s="14"/>
    </row>
    <row r="737">
      <c r="E737" s="14"/>
    </row>
    <row r="738">
      <c r="E738" s="14"/>
    </row>
    <row r="739">
      <c r="E739" s="14"/>
    </row>
    <row r="740">
      <c r="E740" s="14"/>
    </row>
    <row r="741">
      <c r="E741" s="14"/>
    </row>
    <row r="742">
      <c r="E742" s="14"/>
    </row>
    <row r="743">
      <c r="E743" s="14"/>
    </row>
    <row r="744">
      <c r="E744" s="14"/>
    </row>
    <row r="745">
      <c r="E745" s="14"/>
    </row>
    <row r="746">
      <c r="E746" s="14"/>
    </row>
    <row r="747">
      <c r="E747" s="14"/>
    </row>
    <row r="748">
      <c r="E748" s="14"/>
    </row>
    <row r="749">
      <c r="E749" s="14"/>
    </row>
    <row r="750">
      <c r="E750" s="14"/>
    </row>
    <row r="751">
      <c r="E751" s="14"/>
    </row>
    <row r="752">
      <c r="E752" s="14"/>
    </row>
    <row r="753">
      <c r="E753" s="14"/>
    </row>
    <row r="754">
      <c r="E754" s="14"/>
    </row>
    <row r="755">
      <c r="E755" s="14"/>
    </row>
    <row r="756">
      <c r="E756" s="14"/>
    </row>
    <row r="757">
      <c r="E757" s="14"/>
    </row>
    <row r="758">
      <c r="E758" s="14"/>
    </row>
    <row r="759">
      <c r="E759" s="14"/>
    </row>
    <row r="760">
      <c r="E760" s="14"/>
    </row>
    <row r="761">
      <c r="E761" s="14"/>
    </row>
    <row r="762">
      <c r="E762" s="14"/>
    </row>
    <row r="763">
      <c r="E763" s="14"/>
    </row>
    <row r="764">
      <c r="E764" s="14"/>
    </row>
    <row r="765">
      <c r="E765" s="14"/>
    </row>
    <row r="766">
      <c r="E766" s="14"/>
    </row>
    <row r="767">
      <c r="E767" s="14"/>
    </row>
    <row r="768">
      <c r="E768" s="14"/>
    </row>
    <row r="769">
      <c r="E769" s="14"/>
    </row>
    <row r="770">
      <c r="E770" s="14"/>
    </row>
    <row r="771">
      <c r="E771" s="14"/>
    </row>
    <row r="772">
      <c r="E772" s="14"/>
    </row>
    <row r="773">
      <c r="E773" s="14"/>
    </row>
    <row r="774">
      <c r="E774" s="14"/>
    </row>
    <row r="775">
      <c r="E775" s="14"/>
    </row>
    <row r="776">
      <c r="E776" s="14"/>
    </row>
    <row r="777">
      <c r="E777" s="14"/>
    </row>
    <row r="778">
      <c r="E778" s="14"/>
    </row>
    <row r="779">
      <c r="E779" s="14"/>
    </row>
    <row r="780">
      <c r="E780" s="14"/>
    </row>
    <row r="781">
      <c r="E781" s="14"/>
    </row>
    <row r="782">
      <c r="E782" s="14"/>
    </row>
    <row r="783">
      <c r="E783" s="14"/>
    </row>
    <row r="784">
      <c r="E784" s="14"/>
    </row>
    <row r="785">
      <c r="E785" s="14"/>
    </row>
    <row r="786">
      <c r="E786" s="14"/>
    </row>
    <row r="787">
      <c r="E787" s="14"/>
    </row>
    <row r="788">
      <c r="E788" s="14"/>
    </row>
    <row r="789">
      <c r="E789" s="14"/>
    </row>
    <row r="790">
      <c r="E790" s="14"/>
    </row>
    <row r="791">
      <c r="E791" s="14"/>
    </row>
    <row r="792">
      <c r="E792" s="14"/>
    </row>
    <row r="793">
      <c r="E793" s="14"/>
    </row>
    <row r="794">
      <c r="E794" s="14"/>
    </row>
    <row r="795">
      <c r="E795" s="14"/>
    </row>
    <row r="796">
      <c r="E796" s="14"/>
    </row>
    <row r="797">
      <c r="E797" s="14"/>
    </row>
    <row r="798">
      <c r="E798" s="14"/>
    </row>
    <row r="799">
      <c r="E799" s="14"/>
    </row>
    <row r="800">
      <c r="E800" s="14"/>
    </row>
    <row r="801">
      <c r="E801" s="14"/>
    </row>
    <row r="802">
      <c r="E802" s="14"/>
    </row>
    <row r="803">
      <c r="E803" s="14"/>
    </row>
    <row r="804">
      <c r="E804" s="14"/>
    </row>
    <row r="805">
      <c r="E805" s="14"/>
    </row>
    <row r="806">
      <c r="E806" s="14"/>
    </row>
    <row r="807">
      <c r="E807" s="14"/>
    </row>
    <row r="808">
      <c r="E808" s="14"/>
    </row>
    <row r="809">
      <c r="E809" s="14"/>
    </row>
    <row r="810">
      <c r="E810" s="14"/>
    </row>
    <row r="811">
      <c r="E811" s="14"/>
    </row>
    <row r="812">
      <c r="E812" s="14"/>
    </row>
    <row r="813">
      <c r="E813" s="14"/>
    </row>
    <row r="814">
      <c r="E814" s="14"/>
    </row>
    <row r="815">
      <c r="E815" s="14"/>
    </row>
    <row r="816">
      <c r="E816" s="14"/>
    </row>
    <row r="817">
      <c r="E817" s="14"/>
    </row>
    <row r="818">
      <c r="E818" s="14"/>
    </row>
    <row r="819">
      <c r="E819" s="14"/>
    </row>
    <row r="820">
      <c r="E820" s="14"/>
    </row>
    <row r="821">
      <c r="E821" s="14"/>
    </row>
    <row r="822">
      <c r="E822" s="14"/>
    </row>
    <row r="823">
      <c r="E823" s="14"/>
    </row>
    <row r="824">
      <c r="E824" s="14"/>
    </row>
    <row r="825">
      <c r="E825" s="14"/>
    </row>
    <row r="826">
      <c r="E826" s="14"/>
    </row>
    <row r="827">
      <c r="E827" s="14"/>
    </row>
    <row r="828">
      <c r="E828" s="14"/>
    </row>
    <row r="829">
      <c r="E829" s="14"/>
    </row>
    <row r="830">
      <c r="E830" s="14"/>
    </row>
    <row r="831">
      <c r="E831" s="14"/>
    </row>
    <row r="832">
      <c r="E832" s="14"/>
    </row>
    <row r="833">
      <c r="E833" s="14"/>
    </row>
    <row r="834">
      <c r="E834" s="14"/>
    </row>
    <row r="835">
      <c r="E835" s="14"/>
    </row>
    <row r="836">
      <c r="E836" s="14"/>
    </row>
    <row r="837">
      <c r="E837" s="14"/>
    </row>
    <row r="838">
      <c r="E838" s="14"/>
    </row>
    <row r="839">
      <c r="E839" s="14"/>
    </row>
    <row r="840">
      <c r="E840" s="14"/>
    </row>
    <row r="841">
      <c r="E841" s="14"/>
    </row>
    <row r="842">
      <c r="E842" s="14"/>
    </row>
    <row r="843">
      <c r="E843" s="14"/>
    </row>
    <row r="844">
      <c r="E844" s="14"/>
    </row>
    <row r="845">
      <c r="E845" s="14"/>
    </row>
    <row r="846">
      <c r="E846" s="14"/>
    </row>
    <row r="847">
      <c r="E847" s="14"/>
    </row>
    <row r="848">
      <c r="E848" s="14"/>
    </row>
    <row r="849">
      <c r="E849" s="14"/>
    </row>
    <row r="850">
      <c r="E850" s="14"/>
    </row>
    <row r="851">
      <c r="E851" s="14"/>
    </row>
    <row r="852">
      <c r="E852" s="14"/>
    </row>
    <row r="853">
      <c r="E853" s="14"/>
    </row>
    <row r="854">
      <c r="E854" s="14"/>
    </row>
    <row r="855">
      <c r="E855" s="14"/>
    </row>
    <row r="856">
      <c r="E856" s="14"/>
    </row>
    <row r="857">
      <c r="E857" s="14"/>
    </row>
    <row r="858">
      <c r="E858" s="14"/>
    </row>
    <row r="859">
      <c r="E859" s="14"/>
    </row>
    <row r="860">
      <c r="E860" s="14"/>
    </row>
    <row r="861">
      <c r="E861" s="14"/>
    </row>
    <row r="862">
      <c r="E862" s="14"/>
    </row>
    <row r="863">
      <c r="E863" s="14"/>
    </row>
    <row r="864">
      <c r="E864" s="14"/>
    </row>
    <row r="865">
      <c r="E865" s="14"/>
    </row>
    <row r="866">
      <c r="E866" s="14"/>
    </row>
    <row r="867">
      <c r="E867" s="14"/>
    </row>
    <row r="868">
      <c r="E868" s="14"/>
    </row>
    <row r="869">
      <c r="E869" s="14"/>
    </row>
    <row r="870">
      <c r="E870" s="14"/>
    </row>
    <row r="871">
      <c r="E871" s="14"/>
    </row>
    <row r="872">
      <c r="E872" s="14"/>
    </row>
    <row r="873">
      <c r="E873" s="14"/>
    </row>
    <row r="874">
      <c r="E874" s="14"/>
    </row>
    <row r="875">
      <c r="E875" s="14"/>
    </row>
    <row r="876">
      <c r="E876" s="14"/>
    </row>
    <row r="877">
      <c r="E877" s="14"/>
    </row>
    <row r="878">
      <c r="E878" s="14"/>
    </row>
    <row r="879">
      <c r="E879" s="14"/>
    </row>
    <row r="880">
      <c r="E880" s="14"/>
    </row>
    <row r="881">
      <c r="E881" s="14"/>
    </row>
    <row r="882">
      <c r="E882" s="14"/>
    </row>
    <row r="883">
      <c r="E883" s="14"/>
    </row>
    <row r="884">
      <c r="E884" s="14"/>
    </row>
    <row r="885">
      <c r="E885" s="14"/>
    </row>
    <row r="886">
      <c r="E886" s="14"/>
    </row>
    <row r="887">
      <c r="E887" s="14"/>
    </row>
    <row r="888">
      <c r="E888" s="14"/>
    </row>
    <row r="889">
      <c r="E889" s="14"/>
    </row>
    <row r="890">
      <c r="E890" s="14"/>
    </row>
    <row r="891">
      <c r="E891" s="14"/>
    </row>
    <row r="892">
      <c r="E892" s="14"/>
    </row>
    <row r="893">
      <c r="E893" s="14"/>
    </row>
    <row r="894">
      <c r="E894" s="14"/>
    </row>
    <row r="895">
      <c r="E895" s="14"/>
    </row>
    <row r="896">
      <c r="E896" s="14"/>
    </row>
    <row r="897">
      <c r="E897" s="14"/>
    </row>
    <row r="898">
      <c r="E898" s="14"/>
    </row>
    <row r="899">
      <c r="E899" s="14"/>
    </row>
    <row r="900">
      <c r="E900" s="14"/>
    </row>
    <row r="901">
      <c r="E901" s="14"/>
    </row>
    <row r="902">
      <c r="E902" s="14"/>
    </row>
    <row r="903">
      <c r="E903" s="14"/>
    </row>
    <row r="904">
      <c r="E904" s="14"/>
    </row>
    <row r="905">
      <c r="E905" s="14"/>
    </row>
    <row r="906">
      <c r="E906" s="14"/>
    </row>
    <row r="907">
      <c r="E907" s="14"/>
    </row>
    <row r="908">
      <c r="E908" s="14"/>
    </row>
    <row r="909">
      <c r="E909" s="14"/>
    </row>
    <row r="910">
      <c r="E910" s="14"/>
    </row>
    <row r="911">
      <c r="E911" s="14"/>
    </row>
    <row r="912">
      <c r="E912" s="14"/>
    </row>
    <row r="913">
      <c r="E913" s="14"/>
    </row>
    <row r="914">
      <c r="E914" s="14"/>
    </row>
    <row r="915">
      <c r="E915" s="14"/>
    </row>
    <row r="916">
      <c r="E916" s="14"/>
    </row>
    <row r="917">
      <c r="E917" s="14"/>
    </row>
    <row r="918">
      <c r="E918" s="14"/>
    </row>
    <row r="919">
      <c r="E919" s="14"/>
    </row>
    <row r="920">
      <c r="E920" s="14"/>
    </row>
    <row r="921">
      <c r="E921" s="14"/>
    </row>
    <row r="922">
      <c r="E922" s="14"/>
    </row>
    <row r="923">
      <c r="E923" s="14"/>
    </row>
    <row r="924">
      <c r="E924" s="14"/>
    </row>
    <row r="925">
      <c r="E925" s="14"/>
    </row>
    <row r="926">
      <c r="E926" s="14"/>
    </row>
    <row r="927">
      <c r="E927" s="14"/>
    </row>
    <row r="928">
      <c r="E928" s="14"/>
    </row>
    <row r="929">
      <c r="E929" s="14"/>
    </row>
    <row r="930">
      <c r="E930" s="14"/>
    </row>
    <row r="931">
      <c r="E931" s="14"/>
    </row>
    <row r="932">
      <c r="E932" s="14"/>
    </row>
    <row r="933">
      <c r="E933" s="14"/>
    </row>
    <row r="934">
      <c r="E934" s="14"/>
    </row>
    <row r="935">
      <c r="E935" s="14"/>
    </row>
    <row r="936">
      <c r="E936" s="14"/>
    </row>
    <row r="937">
      <c r="E937" s="14"/>
    </row>
    <row r="938">
      <c r="E938" s="14"/>
    </row>
    <row r="939">
      <c r="E939" s="14"/>
    </row>
    <row r="940">
      <c r="E940" s="14"/>
    </row>
    <row r="941">
      <c r="E941" s="14"/>
    </row>
    <row r="942">
      <c r="E942" s="14"/>
    </row>
    <row r="943">
      <c r="E943" s="14"/>
    </row>
    <row r="944">
      <c r="E944" s="14"/>
    </row>
    <row r="945">
      <c r="E945" s="14"/>
    </row>
    <row r="946">
      <c r="E946" s="14"/>
    </row>
    <row r="947">
      <c r="E947" s="14"/>
    </row>
    <row r="948">
      <c r="E948" s="14"/>
    </row>
    <row r="949">
      <c r="E949" s="14"/>
    </row>
    <row r="950">
      <c r="E950" s="14"/>
    </row>
    <row r="951">
      <c r="E951" s="14"/>
    </row>
    <row r="952">
      <c r="E952" s="14"/>
    </row>
    <row r="953">
      <c r="E953" s="14"/>
    </row>
    <row r="954">
      <c r="E954" s="14"/>
    </row>
    <row r="955">
      <c r="E955" s="14"/>
    </row>
    <row r="956">
      <c r="E956" s="14"/>
    </row>
    <row r="957">
      <c r="E957" s="14"/>
    </row>
    <row r="958">
      <c r="E958" s="14"/>
    </row>
    <row r="959">
      <c r="E959" s="14"/>
    </row>
    <row r="960">
      <c r="E960" s="14"/>
    </row>
    <row r="961">
      <c r="E961" s="14"/>
    </row>
    <row r="962">
      <c r="E962" s="14"/>
    </row>
    <row r="963">
      <c r="E963" s="14"/>
    </row>
    <row r="964">
      <c r="E964" s="14"/>
    </row>
    <row r="965">
      <c r="E965" s="14"/>
    </row>
    <row r="966">
      <c r="E966" s="14"/>
    </row>
    <row r="967">
      <c r="E967" s="14"/>
    </row>
    <row r="968">
      <c r="E968" s="14"/>
    </row>
    <row r="969">
      <c r="E969" s="14"/>
    </row>
    <row r="970">
      <c r="E970" s="14"/>
    </row>
    <row r="971">
      <c r="D971" s="12"/>
      <c r="E971" s="14"/>
    </row>
  </sheetData>
  <autoFilter ref="$A$1:$K$971">
    <sortState ref="A1:K971">
      <sortCondition ref="D1:D971"/>
      <sortCondition ref="C1:C97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5"/>
    <col customWidth="1" min="2" max="2" width="22.63"/>
  </cols>
  <sheetData>
    <row r="2">
      <c r="B2" s="15" t="s">
        <v>476</v>
      </c>
      <c r="C2" s="15"/>
    </row>
    <row r="3">
      <c r="B3" s="15" t="s">
        <v>479</v>
      </c>
      <c r="C3" s="15">
        <f>SUM(SalarioTrabajador)</f>
        <v>1423836</v>
      </c>
      <c r="S3" s="16"/>
      <c r="T3" s="16" t="s">
        <v>477</v>
      </c>
      <c r="U3" s="16" t="s">
        <v>480</v>
      </c>
    </row>
    <row r="4">
      <c r="B4" s="15" t="s">
        <v>481</v>
      </c>
      <c r="C4" s="15">
        <f>AVERAGE(Salarioo)</f>
        <v>10129.89306</v>
      </c>
      <c r="S4" s="16" t="s">
        <v>482</v>
      </c>
      <c r="T4" s="17">
        <f>AVERAGE(SalarioParejas)</f>
        <v>17119.51928</v>
      </c>
      <c r="U4" s="16">
        <f>AVERAGE(Salarioo)</f>
        <v>10129.89306</v>
      </c>
      <c r="V4" s="18">
        <f t="shared" ref="V4:V5" si="1">AVERAGE(T4:U4)</f>
        <v>13624.70617</v>
      </c>
      <c r="W4" s="18">
        <f t="shared" ref="W4:W5" si="2">V4*1.086</f>
        <v>14796.4309</v>
      </c>
    </row>
    <row r="5">
      <c r="B5" s="15" t="s">
        <v>483</v>
      </c>
      <c r="C5" s="15">
        <f>MEDIAN(Salarioo)</f>
        <v>7920.161485</v>
      </c>
      <c r="S5" s="16" t="s">
        <v>484</v>
      </c>
      <c r="T5" s="17">
        <f>MEDIAN(SalarioParejas)</f>
        <v>13385.07291</v>
      </c>
      <c r="U5" s="16">
        <f>MEDIAN(Salarioo)</f>
        <v>7920.161485</v>
      </c>
      <c r="V5" s="18">
        <f t="shared" si="1"/>
        <v>10652.6172</v>
      </c>
      <c r="W5" s="18">
        <f t="shared" si="2"/>
        <v>11568.74228</v>
      </c>
    </row>
    <row r="6">
      <c r="B6" s="19" t="s">
        <v>485</v>
      </c>
      <c r="C6" s="15">
        <f>C5*C3</f>
        <v>11277011048</v>
      </c>
    </row>
    <row r="7">
      <c r="B7" s="20"/>
      <c r="C7" s="20"/>
    </row>
    <row r="8">
      <c r="B8" s="15" t="s">
        <v>486</v>
      </c>
      <c r="C8" s="15"/>
    </row>
    <row r="9">
      <c r="B9" s="15" t="s">
        <v>487</v>
      </c>
      <c r="C9" s="15"/>
    </row>
    <row r="10">
      <c r="B10" s="15" t="s">
        <v>488</v>
      </c>
      <c r="C10" s="15">
        <f>AVERAGE(SalarioParejas)</f>
        <v>17119.51928</v>
      </c>
    </row>
    <row r="11">
      <c r="B11" s="15" t="s">
        <v>483</v>
      </c>
      <c r="C11" s="15">
        <f>MEDIAN(SalarioParejas)</f>
        <v>13385.07291</v>
      </c>
    </row>
    <row r="12">
      <c r="B12" s="19" t="s">
        <v>489</v>
      </c>
      <c r="C12" s="15">
        <f>C9*C11</f>
        <v>0</v>
      </c>
    </row>
    <row r="14">
      <c r="A14" s="1" t="s">
        <v>7</v>
      </c>
      <c r="B14" s="1" t="s">
        <v>11</v>
      </c>
      <c r="C14" s="1" t="s">
        <v>12</v>
      </c>
      <c r="D14" s="1" t="s">
        <v>16</v>
      </c>
      <c r="E14" s="7" t="s">
        <v>473</v>
      </c>
      <c r="F14" s="7" t="s">
        <v>473</v>
      </c>
      <c r="G14" s="7" t="s">
        <v>474</v>
      </c>
      <c r="H14" s="7" t="s">
        <v>475</v>
      </c>
      <c r="I14" s="7" t="s">
        <v>476</v>
      </c>
      <c r="J14" s="7" t="s">
        <v>477</v>
      </c>
      <c r="K14" s="7" t="s">
        <v>478</v>
      </c>
    </row>
    <row r="15">
      <c r="A15" s="8" t="s">
        <v>100</v>
      </c>
      <c r="B15" s="9">
        <v>547.0</v>
      </c>
      <c r="C15" s="9">
        <v>860.0</v>
      </c>
      <c r="D15" s="9">
        <v>860.0</v>
      </c>
      <c r="E15" s="9">
        <f t="shared" ref="E15:E326" si="3">D15-C15</f>
        <v>0</v>
      </c>
      <c r="F15" s="9">
        <f t="shared" ref="F15:F326" si="4">D15/C15</f>
        <v>1</v>
      </c>
      <c r="G15" s="11">
        <f t="shared" ref="G15:G326" si="5">MAX(C15,D15)</f>
        <v>860</v>
      </c>
      <c r="H15" s="11">
        <f t="shared" ref="H15:H326" si="6">G15*B15</f>
        <v>470420</v>
      </c>
      <c r="I15" s="12" t="str">
        <f t="shared" ref="I15:I326" si="7">IF(AND(G15&gt;=10, G15&lt;5000), "G", IF(AND(G15&gt;=5000, G15&lt;8000), "F", IF(AND(G15&gt;=8000, G15&lt;12000), "F1",IF(AND(G15&gt;=12000, G15&lt;16000), "E", IF(AND(G15&gt;=16000, G15&lt;20000), "E1", IF(AND(G15&gt;=20000, G15&lt;25000), "D", IF(AND(G15&gt;=25000, G15&lt;30000), "D1",IF(AND(G15&gt;=30000, G15&lt;35000), "C", IF(AND(G15&gt;=35000, G15&lt;40000),  "C1", IF(AND(G15&gt;=40000, G15&lt;45000), "B", IF(AND(G15&gt;=45000, G15&lt;50000), "B1",IF(AND(G15&gt;=50000, G15&lt;55000), "A", IF(AND(G15&gt;=55000, G15&lt;60000),  "A1",IF(AND(G15&gt;60000), "S"))))))))))))))</f>
        <v>G</v>
      </c>
      <c r="J15" s="11">
        <f t="shared" ref="J15:J326" si="8">PRODUCT(G15,1.69)</f>
        <v>1453.4</v>
      </c>
      <c r="K15" s="12" t="str">
        <f t="shared" ref="K15:K326" si="9">IF(AND(J15&gt;=10, J15&lt;5000), "G", IF(AND(J15&gt;=5000, J15&lt;8000), "F", IF(AND(J15&gt;=8000, J15&lt;12000), "F1",IF(AND(J15&gt;=12000, J15&lt;16000), "E", IF(AND(J15&gt;=16000, J15&lt;20000), "E1", IF(AND(J15&gt;=20000, J15&lt;25000), "D", IF(AND(J15&gt;=25000, J15&lt;30000), "D1",IF(AND(J15&gt;=30000, J15&lt;35000), "C", IF(AND(J15&gt;=35000, J15&lt;40000),  "C1", IF(AND(J15&gt;=40000, J15&lt;45000), "B", IF(AND(J15&gt;=45000, J15&lt;50000), "B1",IF(AND(J15&gt;=50000, J15&lt;55000), "A", IF(AND(J15&gt;=55000, J15&lt;60000),  "A1",IF(AND(J15&gt;60000), "S"))))))))))))))</f>
        <v>G</v>
      </c>
      <c r="L15" s="7" t="s">
        <v>490</v>
      </c>
      <c r="M15" s="21">
        <v>24501.57</v>
      </c>
      <c r="O15" s="22"/>
      <c r="P15" s="23" t="s">
        <v>491</v>
      </c>
      <c r="Q15" s="24" t="s">
        <v>492</v>
      </c>
      <c r="R15" s="24" t="s">
        <v>493</v>
      </c>
      <c r="S15" s="24" t="s">
        <v>494</v>
      </c>
      <c r="T15" s="24" t="s">
        <v>495</v>
      </c>
      <c r="U15" s="24" t="s">
        <v>496</v>
      </c>
      <c r="V15" s="24" t="s">
        <v>497</v>
      </c>
      <c r="W15" s="24" t="s">
        <v>498</v>
      </c>
      <c r="X15" s="24" t="s">
        <v>499</v>
      </c>
      <c r="Y15" s="24" t="s">
        <v>500</v>
      </c>
      <c r="Z15" s="24" t="s">
        <v>501</v>
      </c>
      <c r="AA15" s="24" t="s">
        <v>502</v>
      </c>
      <c r="AB15" s="24" t="s">
        <v>503</v>
      </c>
      <c r="AC15" s="24" t="s">
        <v>504</v>
      </c>
      <c r="AD15" s="25"/>
    </row>
    <row r="16">
      <c r="A16" s="8" t="s">
        <v>353</v>
      </c>
      <c r="B16" s="9">
        <v>12432.0</v>
      </c>
      <c r="C16" s="9">
        <v>1102.1846846846847</v>
      </c>
      <c r="D16" s="9">
        <v>1001.703468806627</v>
      </c>
      <c r="E16" s="9">
        <f t="shared" si="3"/>
        <v>-100.4812159</v>
      </c>
      <c r="F16" s="9">
        <f t="shared" si="4"/>
        <v>0.9088345018</v>
      </c>
      <c r="G16" s="11">
        <f t="shared" si="5"/>
        <v>1102.184685</v>
      </c>
      <c r="H16" s="11">
        <f t="shared" si="6"/>
        <v>13702360</v>
      </c>
      <c r="I16" s="12" t="str">
        <f t="shared" si="7"/>
        <v>G</v>
      </c>
      <c r="J16" s="11">
        <f t="shared" si="8"/>
        <v>1862.692117</v>
      </c>
      <c r="K16" s="12" t="str">
        <f t="shared" si="9"/>
        <v>G</v>
      </c>
      <c r="O16" s="26" t="s">
        <v>505</v>
      </c>
      <c r="P16" s="27">
        <f t="shared" ref="P16:AC16" si="10">P17/$AD$17</f>
        <v>0.1923076923</v>
      </c>
      <c r="Q16" s="27">
        <f t="shared" si="10"/>
        <v>0.3205128205</v>
      </c>
      <c r="R16" s="27">
        <f t="shared" si="10"/>
        <v>0.2403846154</v>
      </c>
      <c r="S16" s="27">
        <f t="shared" si="10"/>
        <v>0.1025641026</v>
      </c>
      <c r="T16" s="27">
        <f t="shared" si="10"/>
        <v>0.05769230769</v>
      </c>
      <c r="U16" s="27">
        <f t="shared" si="10"/>
        <v>0.03205128205</v>
      </c>
      <c r="V16" s="27">
        <f t="shared" si="10"/>
        <v>0.01282051282</v>
      </c>
      <c r="W16" s="27">
        <f t="shared" si="10"/>
        <v>0.01602564103</v>
      </c>
      <c r="X16" s="27">
        <f t="shared" si="10"/>
        <v>0.00641025641</v>
      </c>
      <c r="Y16" s="27">
        <f t="shared" si="10"/>
        <v>0.01602564103</v>
      </c>
      <c r="Z16" s="27">
        <f t="shared" si="10"/>
        <v>0</v>
      </c>
      <c r="AA16" s="27">
        <f t="shared" si="10"/>
        <v>0</v>
      </c>
      <c r="AB16" s="27">
        <f t="shared" si="10"/>
        <v>0</v>
      </c>
      <c r="AC16" s="27">
        <f t="shared" si="10"/>
        <v>0.003205128205</v>
      </c>
      <c r="AD16" s="27">
        <f t="shared" ref="AD16:AD17" si="11">SUM(P16:AC16)</f>
        <v>1</v>
      </c>
    </row>
    <row r="17">
      <c r="A17" s="8" t="s">
        <v>308</v>
      </c>
      <c r="B17" s="9">
        <v>6227.0</v>
      </c>
      <c r="C17" s="9">
        <v>1390.9001124136823</v>
      </c>
      <c r="D17" s="10">
        <v>1390.0</v>
      </c>
      <c r="E17" s="9">
        <f t="shared" si="3"/>
        <v>-0.9001124137</v>
      </c>
      <c r="F17" s="9">
        <f t="shared" si="4"/>
        <v>0.9993528562</v>
      </c>
      <c r="G17" s="11">
        <f t="shared" si="5"/>
        <v>1390.900112</v>
      </c>
      <c r="H17" s="11">
        <f t="shared" si="6"/>
        <v>8661135</v>
      </c>
      <c r="I17" s="12" t="str">
        <f t="shared" si="7"/>
        <v>G</v>
      </c>
      <c r="J17" s="11">
        <f t="shared" si="8"/>
        <v>2350.62119</v>
      </c>
      <c r="K17" s="12" t="str">
        <f t="shared" si="9"/>
        <v>G</v>
      </c>
      <c r="O17" s="26" t="s">
        <v>506</v>
      </c>
      <c r="P17" s="28">
        <f>COUNTIF(Salarioo,"&lt;5000")</f>
        <v>60</v>
      </c>
      <c r="Q17" s="28">
        <f>COUNTIFS(Salarioo,"&gt;=5000",Salarioo,"&lt;8000")</f>
        <v>100</v>
      </c>
      <c r="R17" s="29">
        <f>COUNTIFS(Salarioo,"&gt;=8000",Salarioo,"&lt;12000")</f>
        <v>75</v>
      </c>
      <c r="S17" s="29">
        <f>COUNTIFS(Salarioo,"&gt;=12000",Salarioo,"&lt;16000")</f>
        <v>32</v>
      </c>
      <c r="T17" s="30">
        <f>COUNTIFS(Salarioo,"&gt;=16000",Salarioo,"&lt;20000")</f>
        <v>18</v>
      </c>
      <c r="U17" s="30">
        <f>COUNTIFS(Salarioo,"&gt;=20000",Salarioo,"&lt;25000")</f>
        <v>10</v>
      </c>
      <c r="V17" s="30">
        <f>COUNTIFS(Salarioo,"&gt;=25000",Salarioo,"&lt;30000")</f>
        <v>4</v>
      </c>
      <c r="W17" s="30">
        <f>COUNTIFS(Salarioo,"&gt;=30000",Salarioo,"&lt;35000")</f>
        <v>5</v>
      </c>
      <c r="X17" s="29">
        <f>COUNTIFS(Salarioo,"&gt;=35000",Salarioo,"&lt;40000")</f>
        <v>2</v>
      </c>
      <c r="Y17" s="29">
        <f>COUNTIFS(Salarioo,"&gt;=40000",Salarioo,"&lt;45000")</f>
        <v>5</v>
      </c>
      <c r="Z17" s="29">
        <f>COUNTIFS(Salarioo,"&gt;=45000",Salarioo,"&lt;50000")</f>
        <v>0</v>
      </c>
      <c r="AA17" s="29">
        <f>COUNTIFS(Salarioo,"&gt;=50000",Salarioo,"&lt;55000")</f>
        <v>0</v>
      </c>
      <c r="AB17" s="29">
        <f>COUNTIFS(Salarioo,"&gt;=55000",Salarioo,"&lt;60000")</f>
        <v>0</v>
      </c>
      <c r="AC17" s="30">
        <f>COUNTIF(Salarioo,"&gt;60000")</f>
        <v>1</v>
      </c>
      <c r="AD17" s="29">
        <f t="shared" si="11"/>
        <v>312</v>
      </c>
    </row>
    <row r="18">
      <c r="A18" s="8" t="s">
        <v>307</v>
      </c>
      <c r="B18" s="9">
        <v>70.0</v>
      </c>
      <c r="C18" s="10">
        <v>1470.0</v>
      </c>
      <c r="D18" s="10">
        <v>1470.0</v>
      </c>
      <c r="E18" s="9">
        <f t="shared" si="3"/>
        <v>0</v>
      </c>
      <c r="F18" s="9">
        <f t="shared" si="4"/>
        <v>1</v>
      </c>
      <c r="G18" s="11">
        <f t="shared" si="5"/>
        <v>1470</v>
      </c>
      <c r="H18" s="11">
        <f t="shared" si="6"/>
        <v>102900</v>
      </c>
      <c r="I18" s="12" t="str">
        <f t="shared" si="7"/>
        <v>G</v>
      </c>
      <c r="J18" s="11">
        <f t="shared" si="8"/>
        <v>2484.3</v>
      </c>
      <c r="K18" s="12" t="str">
        <f t="shared" si="9"/>
        <v>G</v>
      </c>
      <c r="L18" s="31">
        <f>M20*100/L20</f>
        <v>6.47820395</v>
      </c>
      <c r="O18" s="26" t="s">
        <v>507</v>
      </c>
      <c r="P18" s="32">
        <f>AVERAGEIF(Salarioo,"&lt;5000")</f>
        <v>3401.117708</v>
      </c>
      <c r="Q18" s="33">
        <f>AVERAGEIFS(Salarioo,Salarioo,"&lt;8000",Salarioo,"&gt;=5,000")</f>
        <v>6506.927733</v>
      </c>
      <c r="R18" s="32">
        <f>AVERAGEIFS(Salarioo,Salarioo,"&lt;12000",Salarioo,"&gt;=8,000")</f>
        <v>9627.833188</v>
      </c>
      <c r="S18" s="33">
        <f>AVERAGEIFS(Salarioo,Salarioo,"&lt;16000",Salarioo,"&gt;=12000")</f>
        <v>13596.06288</v>
      </c>
      <c r="T18" s="33">
        <f>AVERAGEIFS(Salarioo,Salarioo,"&lt;20000",Salarioo,"&gt;=16000")</f>
        <v>17856.48245</v>
      </c>
      <c r="U18" s="34">
        <f>AVERAGEIFS(Salarioo,Salarioo,"&lt;25000",Salarioo,"&gt;=20000")</f>
        <v>22481.55535</v>
      </c>
      <c r="V18" s="35"/>
      <c r="W18" s="36">
        <f>AVERAGEIFS(Salarioo,Salarioo,"&lt;35000",Salarioo,"&gt;=30000")</f>
        <v>30400</v>
      </c>
      <c r="X18" s="37"/>
      <c r="Y18" s="36">
        <f>AVERAGEIFS(Salarioo,Salarioo,"&lt;45000",Salarioo,"&gt;=40000")</f>
        <v>41063.07373</v>
      </c>
      <c r="Z18" s="37"/>
      <c r="AA18" s="37"/>
      <c r="AB18" s="37"/>
      <c r="AC18" s="37"/>
      <c r="AD18" s="33">
        <f>SUM(P18:V18)</f>
        <v>73469.9793</v>
      </c>
    </row>
    <row r="19">
      <c r="A19" s="8" t="s">
        <v>294</v>
      </c>
      <c r="B19" s="9">
        <v>62741.0</v>
      </c>
      <c r="C19" s="9">
        <v>1506.2777131381392</v>
      </c>
      <c r="D19" s="9">
        <v>1405.2115108417697</v>
      </c>
      <c r="E19" s="9">
        <f t="shared" si="3"/>
        <v>-101.0662023</v>
      </c>
      <c r="F19" s="9">
        <f t="shared" si="4"/>
        <v>0.9329033409</v>
      </c>
      <c r="G19" s="11">
        <f t="shared" si="5"/>
        <v>1506.277713</v>
      </c>
      <c r="H19" s="11">
        <f t="shared" si="6"/>
        <v>94505370</v>
      </c>
      <c r="I19" s="12" t="str">
        <f t="shared" si="7"/>
        <v>G</v>
      </c>
      <c r="J19" s="11">
        <f t="shared" si="8"/>
        <v>2545.609335</v>
      </c>
      <c r="K19" s="12" t="str">
        <f t="shared" si="9"/>
        <v>G</v>
      </c>
      <c r="L19" s="38">
        <f>M20/L20</f>
        <v>0.0647820395</v>
      </c>
      <c r="O19" s="26" t="s">
        <v>508</v>
      </c>
      <c r="P19" s="30">
        <f>SUMIFS(SalarioTrabajador,SalarioCategoriaa,"G")</f>
        <v>647254</v>
      </c>
      <c r="Q19" s="29">
        <f>SUMIFS(SalarioTrabajador,SalarioCategoriaa,"F")</f>
        <v>512979</v>
      </c>
      <c r="R19" s="29">
        <f>SUMIFS(SalarioTrabajador,SalarioCategoriaa,"F1")</f>
        <v>192326</v>
      </c>
      <c r="S19" s="29">
        <f>SUMIFS(SalarioTrabajador,SalarioCategoriaa,"E")</f>
        <v>34422</v>
      </c>
      <c r="T19" s="29">
        <f>SUMIFS(SalarioTrabajador,SalarioCategoriaa,"E1")</f>
        <v>25392</v>
      </c>
      <c r="U19" s="29">
        <f>SUMIFS(SalarioTrabajador,SalarioCategoriaa,"D")</f>
        <v>6592</v>
      </c>
      <c r="V19" s="29">
        <f>SUMIFS(SalarioTrabajador,SalarioCategoriaa,"D1")</f>
        <v>2599</v>
      </c>
      <c r="W19" s="29">
        <f>SUMIFS(SalarioTrabajador,SalarioCategoriaa,"C")</f>
        <v>836</v>
      </c>
      <c r="X19" s="30">
        <f>SUMIFS(SalarioTrabajador,SalarioCategoriaa,"C1")</f>
        <v>131</v>
      </c>
      <c r="Y19" s="29">
        <f>SUMIFS(SalarioTrabajador,SalarioCategoriaa,"B")</f>
        <v>1265</v>
      </c>
      <c r="Z19" s="29">
        <f>SUMIFS(SalarioTrabajador,SalarioCategoriaa,"B1")</f>
        <v>0</v>
      </c>
      <c r="AA19" s="30">
        <f>SUMIFS(SalarioTrabajador,SalarioCategoriaa,"A")</f>
        <v>0</v>
      </c>
      <c r="AB19" s="30">
        <f>SUMIFS(SalarioTrabajador,SalarioCategoriaa,"A1")</f>
        <v>0</v>
      </c>
      <c r="AC19" s="30">
        <f>SUMIFS(SalarioTrabajador,SalarioCategoriaa,"S")</f>
        <v>40</v>
      </c>
      <c r="AD19" s="30">
        <f>SUM(P19:AC19)</f>
        <v>1423836</v>
      </c>
    </row>
    <row r="20">
      <c r="A20" s="8" t="s">
        <v>93</v>
      </c>
      <c r="B20" s="9">
        <v>142.0</v>
      </c>
      <c r="C20" s="10">
        <v>1600.0</v>
      </c>
      <c r="D20" s="9">
        <v>1600.0</v>
      </c>
      <c r="E20" s="9">
        <f t="shared" si="3"/>
        <v>0</v>
      </c>
      <c r="F20" s="9">
        <f t="shared" si="4"/>
        <v>1</v>
      </c>
      <c r="G20" s="11">
        <f t="shared" si="5"/>
        <v>1600</v>
      </c>
      <c r="H20" s="11">
        <f t="shared" si="6"/>
        <v>227200</v>
      </c>
      <c r="I20" s="12" t="str">
        <f t="shared" si="7"/>
        <v>G</v>
      </c>
      <c r="J20" s="11">
        <f t="shared" si="8"/>
        <v>2704</v>
      </c>
      <c r="K20" s="12" t="str">
        <f t="shared" si="9"/>
        <v>G</v>
      </c>
      <c r="L20" s="31">
        <f>SUM(B15:B328)</f>
        <v>1423836</v>
      </c>
      <c r="M20" s="31">
        <f>SUM(B19:B35)</f>
        <v>92239</v>
      </c>
      <c r="O20" s="26" t="s">
        <v>483</v>
      </c>
      <c r="P20" s="39">
        <f>IFERROR(__xludf.DUMMYFUNCTION("MEDIAN(filter(Salarioo,Salarioo&lt;5000))"),3617.7279862143923)</f>
        <v>3617.727986</v>
      </c>
      <c r="Q20" s="39">
        <f>IFERROR(__xludf.DUMMYFUNCTION("MEDIAN(filter(Salarioo,Salarioo&lt;8000,Salarioo&gt;=5000))"),6489.666666666666)</f>
        <v>6489.666667</v>
      </c>
      <c r="R20" s="39">
        <f>IFERROR(__xludf.DUMMYFUNCTION("MEDIAN(filter(Salarioo,Salarioo&lt;12000,Salarioo&gt;=8000))"),9586.666666666666)</f>
        <v>9586.666667</v>
      </c>
      <c r="S20" s="39">
        <f>IFERROR(__xludf.DUMMYFUNCTION("MEDIAN(filter(Salarioo,Salarioo&lt;16000,Salarioo&gt;=12000))"),13545.346255803586)</f>
        <v>13545.34626</v>
      </c>
      <c r="T20" s="39">
        <f>IFERROR(__xludf.DUMMYFUNCTION("MEDIAN(filter(Salarioo,Salarioo&lt;20000,Salarioo&gt;=16000))"),17667.413825802476)</f>
        <v>17667.41383</v>
      </c>
      <c r="U20" s="39">
        <f>IFERROR(__xludf.DUMMYFUNCTION("MEDIAN(filter(Salarioo,Salarioo&lt;25000,Salarioo&gt;=20000))"),21611.702253574473)</f>
        <v>21611.70225</v>
      </c>
      <c r="V20" s="39">
        <f>IFERROR(__xludf.DUMMYFUNCTION("MEDIAN(filter(Salarioo,Salarioo&lt;30000,Salarioo&gt;=25000))"),26000.0)</f>
        <v>26000</v>
      </c>
      <c r="W20" s="40">
        <f>IFERROR(__xludf.DUMMYFUNCTION("MEDIAN(filter(Salarioo,Salarioo&lt;35000,Salarioo&gt;=30000))"),30000.0)</f>
        <v>30000</v>
      </c>
      <c r="X20" s="40">
        <f>IFERROR(__xludf.DUMMYFUNCTION("MEDIAN(filter(Salarioo,Salarioo&lt;40000,Salarioo&gt;=35000))"),35528.846153846156)</f>
        <v>35528.84615</v>
      </c>
      <c r="Y20" s="40">
        <f>IFERROR(__xludf.DUMMYFUNCTION("MEDIAN(filter(Salarioo,Salarioo&lt;45000,Salarioo&gt;=40000))"),40415.36863966771)</f>
        <v>40415.36864</v>
      </c>
      <c r="Z20" s="40" t="str">
        <f>IFERROR(__xludf.DUMMYFUNCTION("MEDIAN(filter(Salarioo,Salarioo&lt;50000,Salarioo&gt;=45000))"),"#N/A")</f>
        <v>#N/A</v>
      </c>
      <c r="AA20" s="36" t="str">
        <f>IFERROR(__xludf.DUMMYFUNCTION("MEDIAN(filter(Salarioo,Salarioo&lt;55000,Salarioo&gt;=50000))"),"#N/A")</f>
        <v>#N/A</v>
      </c>
      <c r="AB20" s="36" t="str">
        <f>IFERROR(__xludf.DUMMYFUNCTION("MEDIAN(filter(Salarioo,Salarioo&lt;60000,Salarioo&gt;=55000))"),"#N/A")</f>
        <v>#N/A</v>
      </c>
      <c r="AC20" s="41">
        <f>IFERROR(__xludf.DUMMYFUNCTION("MEDIAN(filter(Salarioo,Salarioo&gt;60000))"),70000.0)</f>
        <v>70000</v>
      </c>
      <c r="AD20" s="37"/>
    </row>
    <row r="21">
      <c r="A21" s="8" t="s">
        <v>280</v>
      </c>
      <c r="B21" s="9">
        <v>674.0</v>
      </c>
      <c r="C21" s="9">
        <v>1231.454005934718</v>
      </c>
      <c r="D21" s="9">
        <v>1615.7801418439717</v>
      </c>
      <c r="E21" s="9">
        <f t="shared" si="3"/>
        <v>384.3261359</v>
      </c>
      <c r="F21" s="9">
        <f t="shared" si="4"/>
        <v>1.312091344</v>
      </c>
      <c r="G21" s="11">
        <f t="shared" si="5"/>
        <v>1615.780142</v>
      </c>
      <c r="H21" s="11">
        <f t="shared" si="6"/>
        <v>1089035.816</v>
      </c>
      <c r="I21" s="12" t="str">
        <f t="shared" si="7"/>
        <v>G</v>
      </c>
      <c r="J21" s="11">
        <f t="shared" si="8"/>
        <v>2730.66844</v>
      </c>
      <c r="K21" s="12" t="str">
        <f t="shared" si="9"/>
        <v>G</v>
      </c>
      <c r="O21" s="26" t="s">
        <v>509</v>
      </c>
      <c r="P21" s="27">
        <f t="shared" ref="P21:AC21" si="12">P19/$AD$19</f>
        <v>0.4545846572</v>
      </c>
      <c r="Q21" s="27">
        <f t="shared" si="12"/>
        <v>0.3602795547</v>
      </c>
      <c r="R21" s="27">
        <f t="shared" si="12"/>
        <v>0.1350759498</v>
      </c>
      <c r="S21" s="27">
        <f t="shared" si="12"/>
        <v>0.02417553707</v>
      </c>
      <c r="T21" s="27">
        <f t="shared" si="12"/>
        <v>0.01783351453</v>
      </c>
      <c r="U21" s="27">
        <f t="shared" si="12"/>
        <v>0.004629746684</v>
      </c>
      <c r="V21" s="27">
        <f t="shared" si="12"/>
        <v>0.001825350672</v>
      </c>
      <c r="W21" s="27">
        <f t="shared" si="12"/>
        <v>0.0005871462725</v>
      </c>
      <c r="X21" s="27">
        <f t="shared" si="12"/>
        <v>0.0000920049781</v>
      </c>
      <c r="Y21" s="27">
        <f t="shared" si="12"/>
        <v>0.0008884450175</v>
      </c>
      <c r="Z21" s="27">
        <f t="shared" si="12"/>
        <v>0</v>
      </c>
      <c r="AA21" s="27">
        <f t="shared" si="12"/>
        <v>0</v>
      </c>
      <c r="AB21" s="27">
        <f t="shared" si="12"/>
        <v>0</v>
      </c>
      <c r="AC21" s="27">
        <f t="shared" si="12"/>
        <v>0.00002809312308</v>
      </c>
      <c r="AD21" s="33">
        <v>6.704780198367489E9</v>
      </c>
    </row>
    <row r="22">
      <c r="A22" s="8" t="s">
        <v>462</v>
      </c>
      <c r="B22" s="9">
        <v>971.0</v>
      </c>
      <c r="C22" s="10">
        <v>1617.0</v>
      </c>
      <c r="D22" s="9">
        <v>1617.5808457711444</v>
      </c>
      <c r="E22" s="9">
        <f t="shared" si="3"/>
        <v>0.5808457711</v>
      </c>
      <c r="F22" s="9">
        <f t="shared" si="4"/>
        <v>1.000359212</v>
      </c>
      <c r="G22" s="11">
        <f t="shared" si="5"/>
        <v>1617.580846</v>
      </c>
      <c r="H22" s="11">
        <f t="shared" si="6"/>
        <v>1570671.001</v>
      </c>
      <c r="I22" s="12" t="str">
        <f t="shared" si="7"/>
        <v>G</v>
      </c>
      <c r="J22" s="11">
        <f t="shared" si="8"/>
        <v>2733.711629</v>
      </c>
      <c r="K22" s="12" t="str">
        <f t="shared" si="9"/>
        <v>G</v>
      </c>
      <c r="L22" s="31">
        <f>M20*0.05</f>
        <v>4611.95</v>
      </c>
      <c r="O22" s="42" t="s">
        <v>510</v>
      </c>
      <c r="P22" s="39">
        <f>SUMIFS(Volumen,SalarioCategoriaa,"G")</f>
        <v>2361385895</v>
      </c>
      <c r="Q22" s="39">
        <f>SUMIFS(Volumen,SalarioCategoriaa,"F")</f>
        <v>3258043299</v>
      </c>
      <c r="R22" s="39">
        <f>SUMIFS(Volumen,SalarioCategoriaa,"F1")</f>
        <v>1771178750</v>
      </c>
      <c r="S22" s="39">
        <f>SUMIFS(Volumen,SalarioCategoriaa,"E")</f>
        <v>461825365</v>
      </c>
      <c r="T22" s="39">
        <f>SUMIFS(Volumen,SalarioCategoriaa,"E1")</f>
        <v>454966479.4</v>
      </c>
      <c r="U22" s="39">
        <f>SUMIFS(Volumen,SalarioCategoriaa,"D")</f>
        <v>146915461.2</v>
      </c>
      <c r="V22" s="39">
        <f>SUMIFS(Volumen,SalarioCategoriaa,"D1")</f>
        <v>68925000</v>
      </c>
      <c r="W22" s="39">
        <f>SUMIFS(Volumen,SalarioCategoriaa,"C")</f>
        <v>26286000</v>
      </c>
      <c r="X22" s="39">
        <f>SUMIFS(Volumen,SalarioCategoriaa,"C1")</f>
        <v>4695000</v>
      </c>
      <c r="Y22" s="39">
        <f>SUMIFS(Volumen,SalarioCategoriaa,"B")</f>
        <v>51214679.96</v>
      </c>
      <c r="Z22" s="39">
        <f>SUMIFS(Volumen,SalarioCategoriaa,"B1")</f>
        <v>0</v>
      </c>
      <c r="AA22" s="39">
        <f>SUMIFS(Volumen,SalarioCategoriaa,"A")</f>
        <v>0</v>
      </c>
      <c r="AB22" s="39">
        <f>SUMIFS(Volumen,SalarioCategoriaa,"A1")</f>
        <v>0</v>
      </c>
      <c r="AC22" s="39">
        <f>SUMIFS(Volumen,SalarioCategoriaa,"S")</f>
        <v>2800000</v>
      </c>
      <c r="AD22" s="30">
        <f>AD21/AD21</f>
        <v>1</v>
      </c>
    </row>
    <row r="23">
      <c r="A23" s="8" t="s">
        <v>349</v>
      </c>
      <c r="B23" s="9">
        <v>1447.0</v>
      </c>
      <c r="C23" s="9">
        <v>1148.7643400138218</v>
      </c>
      <c r="D23" s="9">
        <v>1739.633437639696</v>
      </c>
      <c r="E23" s="9">
        <f t="shared" si="3"/>
        <v>590.8690976</v>
      </c>
      <c r="F23" s="9">
        <f t="shared" si="4"/>
        <v>1.51435188</v>
      </c>
      <c r="G23" s="11">
        <f t="shared" si="5"/>
        <v>1739.633438</v>
      </c>
      <c r="H23" s="11">
        <f t="shared" si="6"/>
        <v>2517249.584</v>
      </c>
      <c r="I23" s="12" t="str">
        <f t="shared" si="7"/>
        <v>G</v>
      </c>
      <c r="J23" s="11">
        <f t="shared" si="8"/>
        <v>2939.98051</v>
      </c>
      <c r="K23" s="12" t="str">
        <f t="shared" si="9"/>
        <v>G</v>
      </c>
      <c r="L23" s="31">
        <f>M20*0.2</f>
        <v>18447.8</v>
      </c>
      <c r="O23" s="26" t="s">
        <v>511</v>
      </c>
      <c r="P23" s="27">
        <f t="shared" ref="P23:AC23" si="13">P22/$AD$21</f>
        <v>0.3521943785</v>
      </c>
      <c r="Q23" s="27">
        <f t="shared" si="13"/>
        <v>0.4859284276</v>
      </c>
      <c r="R23" s="27">
        <f t="shared" si="13"/>
        <v>0.2641665645</v>
      </c>
      <c r="S23" s="27">
        <f t="shared" si="13"/>
        <v>0.06888001565</v>
      </c>
      <c r="T23" s="27">
        <f t="shared" si="13"/>
        <v>0.06785703124</v>
      </c>
      <c r="U23" s="27">
        <f t="shared" si="13"/>
        <v>0.02191204736</v>
      </c>
      <c r="V23" s="27">
        <f t="shared" si="13"/>
        <v>0.01027997905</v>
      </c>
      <c r="W23" s="27">
        <f t="shared" si="13"/>
        <v>0.003920486462</v>
      </c>
      <c r="X23" s="27">
        <f t="shared" si="13"/>
        <v>0.000700246669</v>
      </c>
      <c r="Y23" s="27">
        <f t="shared" si="13"/>
        <v>0.007638532277</v>
      </c>
      <c r="Z23" s="27">
        <f t="shared" si="13"/>
        <v>0</v>
      </c>
      <c r="AA23" s="27">
        <f t="shared" si="13"/>
        <v>0</v>
      </c>
      <c r="AB23" s="27">
        <f t="shared" si="13"/>
        <v>0</v>
      </c>
      <c r="AC23" s="27">
        <f t="shared" si="13"/>
        <v>0.0004176124969</v>
      </c>
      <c r="AD23" s="37"/>
    </row>
    <row r="24">
      <c r="A24" s="8" t="s">
        <v>195</v>
      </c>
      <c r="B24" s="9">
        <v>1140.0</v>
      </c>
      <c r="C24" s="10">
        <v>1995.0</v>
      </c>
      <c r="D24" s="9">
        <v>1995.6283422459894</v>
      </c>
      <c r="E24" s="9">
        <f t="shared" si="3"/>
        <v>0.628342246</v>
      </c>
      <c r="F24" s="9">
        <f t="shared" si="4"/>
        <v>1.000314959</v>
      </c>
      <c r="G24" s="11">
        <f t="shared" si="5"/>
        <v>1995.628342</v>
      </c>
      <c r="H24" s="11">
        <f t="shared" si="6"/>
        <v>2275016.31</v>
      </c>
      <c r="I24" s="12" t="str">
        <f t="shared" si="7"/>
        <v>G</v>
      </c>
      <c r="J24" s="11">
        <f t="shared" si="8"/>
        <v>3372.611898</v>
      </c>
      <c r="K24" s="12" t="str">
        <f t="shared" si="9"/>
        <v>G</v>
      </c>
      <c r="L24" s="31">
        <f>AVERAGE(L22:L23)</f>
        <v>11529.875</v>
      </c>
      <c r="O24" s="43" t="s">
        <v>512</v>
      </c>
      <c r="P24" s="44">
        <f t="shared" ref="P24:AD24" si="14">P20*1.7</f>
        <v>6150.137577</v>
      </c>
      <c r="Q24" s="44">
        <f t="shared" si="14"/>
        <v>11032.43333</v>
      </c>
      <c r="R24" s="44">
        <f t="shared" si="14"/>
        <v>16297.33333</v>
      </c>
      <c r="S24" s="44">
        <f t="shared" si="14"/>
        <v>23027.08863</v>
      </c>
      <c r="T24" s="44">
        <f t="shared" si="14"/>
        <v>30034.6035</v>
      </c>
      <c r="U24" s="44">
        <f t="shared" si="14"/>
        <v>36739.89383</v>
      </c>
      <c r="V24" s="44">
        <f t="shared" si="14"/>
        <v>44200</v>
      </c>
      <c r="W24" s="45">
        <f t="shared" si="14"/>
        <v>51000</v>
      </c>
      <c r="X24" s="45">
        <f t="shared" si="14"/>
        <v>60399.03846</v>
      </c>
      <c r="Y24" s="45">
        <f t="shared" si="14"/>
        <v>68706.12669</v>
      </c>
      <c r="Z24" s="45" t="str">
        <f t="shared" si="14"/>
        <v>#N/A</v>
      </c>
      <c r="AA24" s="46" t="str">
        <f t="shared" si="14"/>
        <v>#N/A</v>
      </c>
      <c r="AB24" s="46" t="str">
        <f t="shared" si="14"/>
        <v>#N/A</v>
      </c>
      <c r="AC24" s="47">
        <f t="shared" si="14"/>
        <v>119000</v>
      </c>
      <c r="AD24" s="48">
        <f t="shared" si="14"/>
        <v>0</v>
      </c>
    </row>
    <row r="25">
      <c r="A25" s="8" t="s">
        <v>421</v>
      </c>
      <c r="B25" s="9">
        <v>275.0</v>
      </c>
      <c r="C25" s="10">
        <v>2060.0</v>
      </c>
      <c r="D25" s="10">
        <v>2060.0</v>
      </c>
      <c r="E25" s="9">
        <f t="shared" si="3"/>
        <v>0</v>
      </c>
      <c r="F25" s="9">
        <f t="shared" si="4"/>
        <v>1</v>
      </c>
      <c r="G25" s="11">
        <f t="shared" si="5"/>
        <v>2060</v>
      </c>
      <c r="H25" s="11">
        <f t="shared" si="6"/>
        <v>566500</v>
      </c>
      <c r="I25" s="12" t="str">
        <f t="shared" si="7"/>
        <v>G</v>
      </c>
      <c r="J25" s="11">
        <f t="shared" si="8"/>
        <v>3481.4</v>
      </c>
      <c r="K25" s="12" t="str">
        <f t="shared" si="9"/>
        <v>G</v>
      </c>
    </row>
    <row r="26">
      <c r="A26" s="8" t="s">
        <v>457</v>
      </c>
      <c r="B26" s="9">
        <v>93.0</v>
      </c>
      <c r="C26" s="9">
        <v>2150.0</v>
      </c>
      <c r="D26" s="9">
        <v>2150.0</v>
      </c>
      <c r="E26" s="9">
        <f t="shared" si="3"/>
        <v>0</v>
      </c>
      <c r="F26" s="9">
        <f t="shared" si="4"/>
        <v>1</v>
      </c>
      <c r="G26" s="11">
        <f t="shared" si="5"/>
        <v>2150</v>
      </c>
      <c r="H26" s="11">
        <f t="shared" si="6"/>
        <v>199950</v>
      </c>
      <c r="I26" s="12" t="str">
        <f t="shared" si="7"/>
        <v>G</v>
      </c>
      <c r="J26" s="11">
        <f t="shared" si="8"/>
        <v>3633.5</v>
      </c>
      <c r="K26" s="12" t="str">
        <f t="shared" si="9"/>
        <v>G</v>
      </c>
    </row>
    <row r="27">
      <c r="A27" s="8" t="s">
        <v>254</v>
      </c>
      <c r="B27" s="9">
        <v>639.0</v>
      </c>
      <c r="C27" s="10">
        <v>2350.0</v>
      </c>
      <c r="D27" s="10">
        <v>2350.0</v>
      </c>
      <c r="E27" s="9">
        <f t="shared" si="3"/>
        <v>0</v>
      </c>
      <c r="F27" s="9">
        <f t="shared" si="4"/>
        <v>1</v>
      </c>
      <c r="G27" s="11">
        <f t="shared" si="5"/>
        <v>2350</v>
      </c>
      <c r="H27" s="11">
        <f t="shared" si="6"/>
        <v>1501650</v>
      </c>
      <c r="I27" s="12" t="str">
        <f t="shared" si="7"/>
        <v>G</v>
      </c>
      <c r="J27" s="11">
        <f t="shared" si="8"/>
        <v>3971.5</v>
      </c>
      <c r="K27" s="12" t="str">
        <f t="shared" si="9"/>
        <v>G</v>
      </c>
    </row>
    <row r="28">
      <c r="A28" s="8" t="s">
        <v>273</v>
      </c>
      <c r="B28" s="9">
        <v>581.0</v>
      </c>
      <c r="C28" s="9">
        <v>1335.8864027538727</v>
      </c>
      <c r="D28" s="9">
        <v>2387.9333333333334</v>
      </c>
      <c r="E28" s="9">
        <f t="shared" si="3"/>
        <v>1052.046931</v>
      </c>
      <c r="F28" s="9">
        <f t="shared" si="4"/>
        <v>1.787527239</v>
      </c>
      <c r="G28" s="11">
        <f t="shared" si="5"/>
        <v>2387.933333</v>
      </c>
      <c r="H28" s="11">
        <f t="shared" si="6"/>
        <v>1387389.267</v>
      </c>
      <c r="I28" s="12" t="str">
        <f t="shared" si="7"/>
        <v>G</v>
      </c>
      <c r="J28" s="11">
        <f t="shared" si="8"/>
        <v>4035.607333</v>
      </c>
      <c r="K28" s="12" t="str">
        <f t="shared" si="9"/>
        <v>G</v>
      </c>
      <c r="O28" s="22"/>
      <c r="P28" s="23" t="s">
        <v>491</v>
      </c>
      <c r="Q28" s="23" t="s">
        <v>513</v>
      </c>
      <c r="R28" s="23" t="s">
        <v>514</v>
      </c>
      <c r="S28" s="24" t="s">
        <v>494</v>
      </c>
      <c r="T28" s="24" t="s">
        <v>495</v>
      </c>
      <c r="U28" s="24" t="s">
        <v>496</v>
      </c>
      <c r="V28" s="24" t="s">
        <v>497</v>
      </c>
      <c r="W28" s="24" t="s">
        <v>498</v>
      </c>
      <c r="X28" s="24" t="s">
        <v>499</v>
      </c>
      <c r="Y28" s="24" t="s">
        <v>500</v>
      </c>
      <c r="Z28" s="24" t="s">
        <v>501</v>
      </c>
      <c r="AA28" s="24" t="s">
        <v>502</v>
      </c>
      <c r="AB28" s="24" t="s">
        <v>503</v>
      </c>
      <c r="AC28" s="24" t="s">
        <v>504</v>
      </c>
      <c r="AD28" s="25"/>
    </row>
    <row r="29">
      <c r="A29" s="8" t="s">
        <v>299</v>
      </c>
      <c r="B29" s="9">
        <v>966.0</v>
      </c>
      <c r="C29" s="10">
        <v>2400.0</v>
      </c>
      <c r="D29" s="9">
        <v>2400.0</v>
      </c>
      <c r="E29" s="9">
        <f t="shared" si="3"/>
        <v>0</v>
      </c>
      <c r="F29" s="9">
        <f t="shared" si="4"/>
        <v>1</v>
      </c>
      <c r="G29" s="11">
        <f t="shared" si="5"/>
        <v>2400</v>
      </c>
      <c r="H29" s="11">
        <f t="shared" si="6"/>
        <v>2318400</v>
      </c>
      <c r="I29" s="12" t="str">
        <f t="shared" si="7"/>
        <v>G</v>
      </c>
      <c r="J29" s="11">
        <f t="shared" si="8"/>
        <v>4056</v>
      </c>
      <c r="K29" s="12" t="str">
        <f t="shared" si="9"/>
        <v>G</v>
      </c>
      <c r="O29" s="26" t="s">
        <v>505</v>
      </c>
      <c r="P29" s="27">
        <f t="shared" ref="P29:AC29" si="15">P30/$AD$17</f>
        <v>0.06730769231</v>
      </c>
      <c r="Q29" s="27">
        <f t="shared" si="15"/>
        <v>0.08974358974</v>
      </c>
      <c r="R29" s="27">
        <f t="shared" si="15"/>
        <v>0.2532051282</v>
      </c>
      <c r="S29" s="27">
        <f t="shared" si="15"/>
        <v>0.2179487179</v>
      </c>
      <c r="T29" s="27">
        <f t="shared" si="15"/>
        <v>0.125</v>
      </c>
      <c r="U29" s="27">
        <f t="shared" si="15"/>
        <v>0.08012820513</v>
      </c>
      <c r="V29" s="27">
        <f t="shared" si="15"/>
        <v>0.05448717949</v>
      </c>
      <c r="W29" s="27">
        <f t="shared" si="15"/>
        <v>0.02884615385</v>
      </c>
      <c r="X29" s="27">
        <f t="shared" si="15"/>
        <v>0.01923076923</v>
      </c>
      <c r="Y29" s="27">
        <f t="shared" si="15"/>
        <v>0.01923076923</v>
      </c>
      <c r="Z29" s="27">
        <f t="shared" si="15"/>
        <v>0.003205128205</v>
      </c>
      <c r="AA29" s="27">
        <f t="shared" si="15"/>
        <v>0.01602564103</v>
      </c>
      <c r="AB29" s="27">
        <f t="shared" si="15"/>
        <v>0.003205128205</v>
      </c>
      <c r="AC29" s="27">
        <f t="shared" si="15"/>
        <v>0.02243589744</v>
      </c>
      <c r="AD29" s="27">
        <f t="shared" ref="AD29:AD30" si="16">SUM(P29:AC29)</f>
        <v>1</v>
      </c>
    </row>
    <row r="30">
      <c r="A30" s="8" t="s">
        <v>251</v>
      </c>
      <c r="B30" s="9">
        <v>7168.0</v>
      </c>
      <c r="C30" s="9">
        <v>2515.7282366071427</v>
      </c>
      <c r="D30" s="9">
        <v>1902.9318541996831</v>
      </c>
      <c r="E30" s="9">
        <f t="shared" si="3"/>
        <v>-612.7963824</v>
      </c>
      <c r="F30" s="9">
        <f t="shared" si="4"/>
        <v>0.7564139188</v>
      </c>
      <c r="G30" s="11">
        <f t="shared" si="5"/>
        <v>2515.728237</v>
      </c>
      <c r="H30" s="11">
        <f t="shared" si="6"/>
        <v>18032740</v>
      </c>
      <c r="I30" s="12" t="str">
        <f t="shared" si="7"/>
        <v>G</v>
      </c>
      <c r="J30" s="11">
        <f t="shared" si="8"/>
        <v>4251.58072</v>
      </c>
      <c r="K30" s="12" t="str">
        <f t="shared" si="9"/>
        <v>G</v>
      </c>
      <c r="O30" s="26" t="s">
        <v>506</v>
      </c>
      <c r="P30" s="28">
        <f>COUNTIF(SalarioParejas,"&lt;5000")</f>
        <v>21</v>
      </c>
      <c r="Q30" s="28">
        <f>COUNTIFS(SalarioParejas,"&gt;=5000",SalarioParejas,"&lt;8000")</f>
        <v>28</v>
      </c>
      <c r="R30" s="29">
        <f>COUNTIFS(SalarioParejas,"&gt;=8000",SalarioParejas,"&lt;12000")</f>
        <v>79</v>
      </c>
      <c r="S30" s="29">
        <f>COUNTIFS(SalarioParejas,"&gt;=12000",SalarioParejas,"&lt;16000")</f>
        <v>68</v>
      </c>
      <c r="T30" s="30">
        <f>COUNTIFS(SalarioParejas,"&gt;=16000",SalarioParejas,"&lt;20000")</f>
        <v>39</v>
      </c>
      <c r="U30" s="30">
        <f>COUNTIFS(SalarioParejas,"&gt;=20000",SalarioParejas,"&lt;25000")</f>
        <v>25</v>
      </c>
      <c r="V30" s="30">
        <f>COUNTIFS(SalarioParejas,"&gt;=25000",SalarioParejas,"&lt;30000")</f>
        <v>17</v>
      </c>
      <c r="W30" s="30">
        <f>COUNTIFS(SalarioParejas,"&gt;=30000",SalarioParejas,"&lt;35000")</f>
        <v>9</v>
      </c>
      <c r="X30" s="29">
        <f>COUNTIFS(SalarioParejas,"&gt;=35000",SalarioParejas,"&lt;40000")</f>
        <v>6</v>
      </c>
      <c r="Y30" s="29">
        <f>COUNTIFS(SalarioParejas,"&gt;=40000",SalarioParejas,"&lt;45000")</f>
        <v>6</v>
      </c>
      <c r="Z30" s="29">
        <f>COUNTIFS(SalarioParejas,"&gt;=45000",SalarioParejas,"&lt;50000")</f>
        <v>1</v>
      </c>
      <c r="AA30" s="29">
        <f>COUNTIFS(SalarioParejas,"&gt;=50000",SalarioParejas,"&lt;55000")</f>
        <v>5</v>
      </c>
      <c r="AB30" s="29">
        <f>COUNTIFS(SalarioParejas,"&gt;=55000",SalarioParejas,"&lt;60000")</f>
        <v>1</v>
      </c>
      <c r="AC30" s="30">
        <f>COUNTIF(SalarioParejas,"&gt;60000")</f>
        <v>7</v>
      </c>
      <c r="AD30" s="29">
        <f t="shared" si="16"/>
        <v>312</v>
      </c>
    </row>
    <row r="31">
      <c r="A31" s="8" t="s">
        <v>298</v>
      </c>
      <c r="B31" s="9">
        <v>6140.0</v>
      </c>
      <c r="C31" s="9">
        <v>2295.3421824104234</v>
      </c>
      <c r="D31" s="9">
        <v>2600.2938624826947</v>
      </c>
      <c r="E31" s="9">
        <f t="shared" si="3"/>
        <v>304.9516801</v>
      </c>
      <c r="F31" s="9">
        <f t="shared" si="4"/>
        <v>1.13285674</v>
      </c>
      <c r="G31" s="11">
        <f t="shared" si="5"/>
        <v>2600.293862</v>
      </c>
      <c r="H31" s="11">
        <f t="shared" si="6"/>
        <v>15965804.32</v>
      </c>
      <c r="I31" s="12" t="str">
        <f t="shared" si="7"/>
        <v>G</v>
      </c>
      <c r="J31" s="11">
        <f t="shared" si="8"/>
        <v>4394.496628</v>
      </c>
      <c r="K31" s="12" t="str">
        <f t="shared" si="9"/>
        <v>G</v>
      </c>
      <c r="O31" s="26" t="s">
        <v>507</v>
      </c>
      <c r="P31" s="32">
        <f>AVERAGEIF(SalarioParejas,"&lt;5000")</f>
        <v>3431.399517</v>
      </c>
      <c r="Q31" s="33">
        <f>AVERAGEIFS(SalarioParejas,SalarioParejas,"&lt;8000",SalarioParejas,"&gt;=5,000")</f>
        <v>6522.419784</v>
      </c>
      <c r="R31" s="32">
        <f>AVERAGEIFS(SalarioParejas,SalarioParejas,"&lt;12000",SalarioParejas,"&gt;=8,000")</f>
        <v>9922.799648</v>
      </c>
      <c r="S31" s="33">
        <f>AVERAGEIFS(SalarioParejas,SalarioParejas,"&lt;16000",SalarioParejas,"&gt;=12000")</f>
        <v>13666.20078</v>
      </c>
      <c r="T31" s="33">
        <f>AVERAGEIFS(SalarioParejas,SalarioParejas,"&lt;20000",SalarioParejas,"&gt;=16000")</f>
        <v>17871.33359</v>
      </c>
      <c r="U31" s="33">
        <f>AVERAGEIFS(SalarioParejas,SalarioParejas,"&lt;25000",SalarioParejas,"&gt;=20000")</f>
        <v>22243.38363</v>
      </c>
      <c r="V31" s="33">
        <f>AVERAGEIFS(SalarioParejas,SalarioParejas,"&lt;30000",SalarioParejas,"&gt;=25000")</f>
        <v>27250.96167</v>
      </c>
      <c r="W31" s="33">
        <f>AVERAGEIFS(SalarioParejas,SalarioParejas,"&lt;35000",SalarioParejas,"&gt;=30000")</f>
        <v>32565.01444</v>
      </c>
      <c r="X31" s="35"/>
      <c r="Y31" s="35"/>
      <c r="Z31" s="35"/>
      <c r="AA31" s="37"/>
      <c r="AB31" s="36">
        <f>AVERAGEIFS(SalarioParejas,SalarioParejas,"&lt;60000",SalarioParejas,"&gt;=55000")</f>
        <v>59150</v>
      </c>
      <c r="AC31" s="36">
        <f>AVERAGEIF(SalarioParejas,"&gt;=60000")</f>
        <v>75174.35329</v>
      </c>
      <c r="AD31" s="33">
        <f>SUM(P31:Z31)</f>
        <v>133473.5131</v>
      </c>
    </row>
    <row r="32">
      <c r="A32" s="8" t="s">
        <v>329</v>
      </c>
      <c r="B32" s="9">
        <v>2111.0</v>
      </c>
      <c r="C32" s="9">
        <v>2749.372335386073</v>
      </c>
      <c r="D32" s="9">
        <v>2386.198888447797</v>
      </c>
      <c r="E32" s="9">
        <f t="shared" si="3"/>
        <v>-363.1734469</v>
      </c>
      <c r="F32" s="9">
        <f t="shared" si="4"/>
        <v>0.8679067792</v>
      </c>
      <c r="G32" s="11">
        <f t="shared" si="5"/>
        <v>2749.372335</v>
      </c>
      <c r="H32" s="11">
        <f t="shared" si="6"/>
        <v>5803925</v>
      </c>
      <c r="I32" s="12" t="str">
        <f t="shared" si="7"/>
        <v>G</v>
      </c>
      <c r="J32" s="11">
        <f t="shared" si="8"/>
        <v>4646.439247</v>
      </c>
      <c r="K32" s="12" t="str">
        <f t="shared" si="9"/>
        <v>G</v>
      </c>
      <c r="O32" s="49" t="s">
        <v>508</v>
      </c>
      <c r="P32" s="30">
        <f>SUMIFS(SalarioTrabajador,CategoriaParejas,"G")</f>
        <v>111515</v>
      </c>
      <c r="Q32" s="30">
        <f>SUMIFS(SalarioTrabajador,CategoriaParejas,"F")</f>
        <v>423154</v>
      </c>
      <c r="R32" s="30">
        <f>SUMIFS(SalarioTrabajador,CategoriaParejas,"F1")</f>
        <v>480521</v>
      </c>
      <c r="S32" s="30">
        <f>SUMIFS(SalarioTrabajador,CategoriaParejas,"E")</f>
        <v>276740</v>
      </c>
      <c r="T32" s="30">
        <f>SUMIFS(SalarioTrabajador,CategoriaParejas,"E1")</f>
        <v>60629</v>
      </c>
      <c r="U32" s="30">
        <f>SUMIFS(SalarioTrabajador,CategoriaParejas,"D")</f>
        <v>29336</v>
      </c>
      <c r="V32" s="30">
        <f>SUMIFS(SalarioTrabajador,CategoriaParejas,"D1")</f>
        <v>19217</v>
      </c>
      <c r="W32" s="30">
        <f>SUMIFS(SalarioTrabajador,CategoriaParejas,"C")</f>
        <v>11950</v>
      </c>
      <c r="X32" s="30">
        <f>SUMIFS(SalarioTrabajador,CategoriaParejas,"C1")</f>
        <v>4200</v>
      </c>
      <c r="Y32" s="30">
        <f>SUMIFS(SalarioTrabajador,CategoriaParejas,"B")</f>
        <v>2896</v>
      </c>
      <c r="Z32" s="30">
        <f>SUMIFS(SalarioTrabajador,CategoriaParejas,"B1")</f>
        <v>1406</v>
      </c>
      <c r="AA32" s="30">
        <f>SUMIFS(SalarioTrabajador,CategoriaParejas,"A")</f>
        <v>836</v>
      </c>
      <c r="AB32" s="30">
        <f>SUMIFS(SalarioTrabajador,CategoriaParejas,"A1")</f>
        <v>27</v>
      </c>
      <c r="AC32" s="30">
        <f>SUMIFS(SalarioTrabajador,CategoriaParejas,"S")</f>
        <v>1409</v>
      </c>
      <c r="AD32" s="30">
        <f>SUM(P32:AC32)</f>
        <v>1423836</v>
      </c>
    </row>
    <row r="33">
      <c r="A33" s="8" t="s">
        <v>190</v>
      </c>
      <c r="B33" s="9">
        <v>2944.0</v>
      </c>
      <c r="C33" s="9">
        <v>2786.0835597826085</v>
      </c>
      <c r="D33" s="10">
        <v>2786.0</v>
      </c>
      <c r="E33" s="9">
        <f t="shared" si="3"/>
        <v>-0.08355978261</v>
      </c>
      <c r="F33" s="9">
        <f t="shared" si="4"/>
        <v>0.9999700082</v>
      </c>
      <c r="G33" s="11">
        <f t="shared" si="5"/>
        <v>2786.08356</v>
      </c>
      <c r="H33" s="11">
        <f t="shared" si="6"/>
        <v>8202230</v>
      </c>
      <c r="I33" s="12" t="str">
        <f t="shared" si="7"/>
        <v>G</v>
      </c>
      <c r="J33" s="11">
        <f t="shared" si="8"/>
        <v>4708.481216</v>
      </c>
      <c r="K33" s="12" t="str">
        <f t="shared" si="9"/>
        <v>G</v>
      </c>
      <c r="O33" s="26" t="s">
        <v>483</v>
      </c>
      <c r="P33" s="39">
        <f>IFERROR(__xludf.DUMMYFUNCTION("MEDIAN(filter(SalarioParejas,Salarioo&lt;5000))"),6113.960296702323)</f>
        <v>6113.960297</v>
      </c>
      <c r="Q33" s="39">
        <f>IFERROR(__xludf.DUMMYFUNCTION("MEDIAN(filter(SalarioParejas,SalarioParejas&lt;8000,SalarioParejas&gt;=5000))"),6469.858092600292)</f>
        <v>6469.858093</v>
      </c>
      <c r="R33" s="39">
        <f>IFERROR(__xludf.DUMMYFUNCTION("MEDIAN(filter(SalarioParejas,Salarioo&lt;12000,Salarioo&gt;=8000))"),16201.466666666665)</f>
        <v>16201.46667</v>
      </c>
      <c r="S33" s="39">
        <f>IFERROR(__xludf.DUMMYFUNCTION("MEDIAN(filter(SalarioParejas,SalarioParejas&lt;16000,SalarioParejas&gt;=12000))"),13689.565332783728)</f>
        <v>13689.56533</v>
      </c>
      <c r="T33" s="39">
        <f>IFERROR(__xludf.DUMMYFUNCTION("MEDIAN(filter(SalarioParejas,SalarioParejas&lt;20000,SalarioParejas&gt;=16000))"),17993.02744237102)</f>
        <v>17993.02744</v>
      </c>
      <c r="U33" s="39">
        <f>IFERROR(__xludf.DUMMYFUNCTION("MEDIAN(filter(SalarioParejas,SalarioParejas&lt;25000,SalarioParejas&gt;=20000))"),22294.411098527748)</f>
        <v>22294.4111</v>
      </c>
      <c r="V33" s="39">
        <f>IFERROR(__xludf.DUMMYFUNCTION("MEDIAN(filter(SalarioParejas,SalarioParejas&lt;30000,SalarioParejas&gt;=25000))"),27040.0)</f>
        <v>27040</v>
      </c>
      <c r="W33" s="41">
        <f>IFERROR(__xludf.DUMMYFUNCTION("MEDIAN(filter(SalarioParejas,SalarioParejas&lt;35000,SalarioParejas&gt;=30000))"),32701.5)</f>
        <v>32701.5</v>
      </c>
      <c r="X33" s="41">
        <f>IFERROR(__xludf.DUMMYFUNCTION("MEDIAN(filter(SalarioParejas,SalarioParejas&lt;40000,SalarioParejas&gt;=35000))"),36348.68994413408)</f>
        <v>36348.68994</v>
      </c>
      <c r="Y33" s="41">
        <f>IFERROR(__xludf.DUMMYFUNCTION("MEDIAN(filter(SalarioParejas,SalarioParejas&lt;45000,SalarioParejas&gt;=40000))"),42164.48802395209)</f>
        <v>42164.48802</v>
      </c>
      <c r="Z33" s="41">
        <f>IFERROR(__xludf.DUMMYFUNCTION("MEDIAN(filter(SalarioParejas,SalarioParejas&lt;50000,SalarioParejas&gt;=45000))"),45630.0)</f>
        <v>45630</v>
      </c>
      <c r="AA33" s="40">
        <f>IFERROR(__xludf.DUMMYFUNCTION("MEDIAN(filter(SalarioParejas,SalarioParejas&lt;55000,SalarioParejas&gt;=50000))"),50700.0)</f>
        <v>50700</v>
      </c>
      <c r="AB33" s="50">
        <f>IFERROR(__xludf.DUMMYFUNCTION("MEDIAN(filter(SalarioParejas,SalarioParejas&lt;60000,SalarioParejas&gt;=55000))"),59150.0)</f>
        <v>59150</v>
      </c>
      <c r="AC33" s="41">
        <f>IFERROR(__xludf.DUMMYFUNCTION("MEDIAN(filter(SalarioParejas,SalarioParejas&gt;60000))"),68301.97300103842)</f>
        <v>68301.973</v>
      </c>
      <c r="AD33" s="37"/>
    </row>
    <row r="34">
      <c r="A34" s="8" t="s">
        <v>424</v>
      </c>
      <c r="B34" s="9">
        <v>268.0</v>
      </c>
      <c r="C34" s="10">
        <v>2790.0</v>
      </c>
      <c r="D34" s="10">
        <v>2790.0</v>
      </c>
      <c r="E34" s="9">
        <f t="shared" si="3"/>
        <v>0</v>
      </c>
      <c r="F34" s="9">
        <f t="shared" si="4"/>
        <v>1</v>
      </c>
      <c r="G34" s="11">
        <f t="shared" si="5"/>
        <v>2790</v>
      </c>
      <c r="H34" s="11">
        <f t="shared" si="6"/>
        <v>747720</v>
      </c>
      <c r="I34" s="12" t="str">
        <f t="shared" si="7"/>
        <v>G</v>
      </c>
      <c r="J34" s="11">
        <f t="shared" si="8"/>
        <v>4715.1</v>
      </c>
      <c r="K34" s="12" t="str">
        <f t="shared" si="9"/>
        <v>G</v>
      </c>
      <c r="O34" s="26" t="s">
        <v>509</v>
      </c>
      <c r="P34" s="27">
        <f>P32/$AD$32</f>
        <v>0.07832011552</v>
      </c>
      <c r="Q34" s="27">
        <f t="shared" ref="Q34:AC34" si="17">Q32/$AD$19</f>
        <v>0.2971929351</v>
      </c>
      <c r="R34" s="27">
        <f t="shared" si="17"/>
        <v>0.3374833899</v>
      </c>
      <c r="S34" s="27">
        <f t="shared" si="17"/>
        <v>0.1943622721</v>
      </c>
      <c r="T34" s="27">
        <f t="shared" si="17"/>
        <v>0.04258144899</v>
      </c>
      <c r="U34" s="27">
        <f t="shared" si="17"/>
        <v>0.02060349647</v>
      </c>
      <c r="V34" s="27">
        <f t="shared" si="17"/>
        <v>0.01349663866</v>
      </c>
      <c r="W34" s="27">
        <f t="shared" si="17"/>
        <v>0.008392820521</v>
      </c>
      <c r="X34" s="27">
        <f t="shared" si="17"/>
        <v>0.002949777924</v>
      </c>
      <c r="Y34" s="27">
        <f t="shared" si="17"/>
        <v>0.002033942111</v>
      </c>
      <c r="Z34" s="27">
        <f t="shared" si="17"/>
        <v>0.0009874732764</v>
      </c>
      <c r="AA34" s="27">
        <f t="shared" si="17"/>
        <v>0.0005871462725</v>
      </c>
      <c r="AB34" s="27">
        <f t="shared" si="17"/>
        <v>0.00001896285808</v>
      </c>
      <c r="AC34" s="27">
        <f t="shared" si="17"/>
        <v>0.0009895802606</v>
      </c>
      <c r="AD34" s="33">
        <f>SUM(P35:AC35)</f>
        <v>8608235931</v>
      </c>
    </row>
    <row r="35">
      <c r="A35" s="8" t="s">
        <v>281</v>
      </c>
      <c r="B35" s="9">
        <v>3939.0</v>
      </c>
      <c r="C35" s="9">
        <v>1577.976643818228</v>
      </c>
      <c r="D35" s="9">
        <v>2951.295620437956</v>
      </c>
      <c r="E35" s="9">
        <f t="shared" si="3"/>
        <v>1373.318977</v>
      </c>
      <c r="F35" s="9">
        <f t="shared" si="4"/>
        <v>1.870303741</v>
      </c>
      <c r="G35" s="11">
        <f t="shared" si="5"/>
        <v>2951.29562</v>
      </c>
      <c r="H35" s="11">
        <f t="shared" si="6"/>
        <v>11625153.45</v>
      </c>
      <c r="I35" s="12" t="str">
        <f t="shared" si="7"/>
        <v>G</v>
      </c>
      <c r="J35" s="11">
        <f t="shared" si="8"/>
        <v>4987.689599</v>
      </c>
      <c r="K35" s="12" t="str">
        <f t="shared" si="9"/>
        <v>G</v>
      </c>
      <c r="O35" s="42" t="s">
        <v>510</v>
      </c>
      <c r="P35" s="33">
        <f>SUMIFS(Volumen,CategoriaParejas,"G")</f>
        <v>191472819.7</v>
      </c>
      <c r="Q35" s="33">
        <f>SUMIFS(Volumen,CategoriaParejas,"F")</f>
        <v>1623871128</v>
      </c>
      <c r="R35" s="33">
        <f>SUMIFS(Volumen,CategoriaParejas,"F1")</f>
        <v>2719198649</v>
      </c>
      <c r="S35" s="33">
        <f>SUMIFS(Volumen,CategoriaParejas,"E")</f>
        <v>2218364680</v>
      </c>
      <c r="T35" s="33">
        <f>SUMIFS(Volumen,CategoriaParejas,"E1")</f>
        <v>637700667.5</v>
      </c>
      <c r="U35" s="33">
        <f>SUMIFS(Volumen,CategoriaParejas,"D")</f>
        <v>384589231.9</v>
      </c>
      <c r="V35" s="33">
        <f>SUMIFS(Volumen,CategoriaParejas,"D1")</f>
        <v>314921477</v>
      </c>
      <c r="W35" s="33">
        <f>SUMIFS(Volumen,CategoriaParejas,"C")</f>
        <v>231129135.5</v>
      </c>
      <c r="X35" s="33">
        <f>SUMIFS(Volumen,CategoriaParejas,"C1")</f>
        <v>91139733.1</v>
      </c>
      <c r="Y35" s="33">
        <f>SUMIFS(Volumen,CategoriaParejas,"B")</f>
        <v>72890728.14</v>
      </c>
      <c r="Z35" s="33">
        <f>SUMIFS(Volumen,CategoriaParejas,"B1")</f>
        <v>37962000</v>
      </c>
      <c r="AA35" s="33">
        <f>SUMIFS(Volumen,CategoriaParejas,"A")</f>
        <v>26286000</v>
      </c>
      <c r="AB35" s="33">
        <f>SUMIFS(Volumen,CategoriaParejas,"A1")</f>
        <v>945000</v>
      </c>
      <c r="AC35" s="33">
        <f>SUMIFS(Volumen,CategoriaParejas,"S")</f>
        <v>57764679.96</v>
      </c>
      <c r="AD35" s="30">
        <f>AD34/AD34</f>
        <v>1</v>
      </c>
    </row>
    <row r="36">
      <c r="A36" s="8" t="s">
        <v>302</v>
      </c>
      <c r="B36" s="9">
        <v>4892.0</v>
      </c>
      <c r="C36" s="9">
        <v>3061.2019623875717</v>
      </c>
      <c r="D36" s="9">
        <v>1129.359413202934</v>
      </c>
      <c r="E36" s="9">
        <f t="shared" si="3"/>
        <v>-1931.842549</v>
      </c>
      <c r="F36" s="9">
        <f t="shared" si="4"/>
        <v>0.3689267899</v>
      </c>
      <c r="G36" s="11">
        <f t="shared" si="5"/>
        <v>3061.201962</v>
      </c>
      <c r="H36" s="11">
        <f t="shared" si="6"/>
        <v>14975400</v>
      </c>
      <c r="I36" s="12" t="str">
        <f t="shared" si="7"/>
        <v>G</v>
      </c>
      <c r="J36" s="11">
        <f t="shared" si="8"/>
        <v>5173.431316</v>
      </c>
      <c r="K36" s="12" t="str">
        <f t="shared" si="9"/>
        <v>F</v>
      </c>
      <c r="O36" s="26" t="s">
        <v>511</v>
      </c>
      <c r="P36" s="27">
        <f t="shared" ref="P36:AC36" si="18">P35/$AD$34</f>
        <v>0.02224298001</v>
      </c>
      <c r="Q36" s="27">
        <f t="shared" si="18"/>
        <v>0.1886415686</v>
      </c>
      <c r="R36" s="27">
        <f t="shared" si="18"/>
        <v>0.3158833786</v>
      </c>
      <c r="S36" s="27">
        <f t="shared" si="18"/>
        <v>0.2577025883</v>
      </c>
      <c r="T36" s="27">
        <f t="shared" si="18"/>
        <v>0.0740802962</v>
      </c>
      <c r="U36" s="27">
        <f t="shared" si="18"/>
        <v>0.04467689257</v>
      </c>
      <c r="V36" s="27">
        <f t="shared" si="18"/>
        <v>0.03658374138</v>
      </c>
      <c r="W36" s="27">
        <f t="shared" si="18"/>
        <v>0.02684976775</v>
      </c>
      <c r="X36" s="27">
        <f t="shared" si="18"/>
        <v>0.01058750409</v>
      </c>
      <c r="Y36" s="27">
        <f t="shared" si="18"/>
        <v>0.008467556969</v>
      </c>
      <c r="Z36" s="27">
        <f t="shared" si="18"/>
        <v>0.004409962774</v>
      </c>
      <c r="AA36" s="27">
        <f t="shared" si="18"/>
        <v>0.00305358731</v>
      </c>
      <c r="AB36" s="27">
        <f t="shared" si="18"/>
        <v>0.0001097785897</v>
      </c>
      <c r="AC36" s="27">
        <f t="shared" si="18"/>
        <v>0.00671039693</v>
      </c>
      <c r="AD36" s="37"/>
    </row>
    <row r="37">
      <c r="A37" s="8" t="s">
        <v>423</v>
      </c>
      <c r="B37" s="9">
        <v>625.0</v>
      </c>
      <c r="C37" s="9">
        <v>1505.0</v>
      </c>
      <c r="D37" s="9">
        <v>3196.4993564993565</v>
      </c>
      <c r="E37" s="9">
        <f t="shared" si="3"/>
        <v>1691.499356</v>
      </c>
      <c r="F37" s="9">
        <f t="shared" si="4"/>
        <v>2.123919838</v>
      </c>
      <c r="G37" s="11">
        <f t="shared" si="5"/>
        <v>3196.499356</v>
      </c>
      <c r="H37" s="11">
        <f t="shared" si="6"/>
        <v>1997812.098</v>
      </c>
      <c r="I37" s="12" t="str">
        <f t="shared" si="7"/>
        <v>G</v>
      </c>
      <c r="J37" s="11">
        <f t="shared" si="8"/>
        <v>5402.083912</v>
      </c>
      <c r="K37" s="12" t="str">
        <f t="shared" si="9"/>
        <v>F</v>
      </c>
      <c r="P37" s="51"/>
    </row>
    <row r="38">
      <c r="A38" s="8" t="s">
        <v>441</v>
      </c>
      <c r="B38" s="9">
        <v>16173.0</v>
      </c>
      <c r="C38" s="9">
        <v>2607.8037469857168</v>
      </c>
      <c r="D38" s="9">
        <v>3219.388197627883</v>
      </c>
      <c r="E38" s="9">
        <f t="shared" si="3"/>
        <v>611.5844506</v>
      </c>
      <c r="F38" s="9">
        <f t="shared" si="4"/>
        <v>1.234520888</v>
      </c>
      <c r="G38" s="11">
        <f t="shared" si="5"/>
        <v>3219.388198</v>
      </c>
      <c r="H38" s="11">
        <f t="shared" si="6"/>
        <v>52067165.32</v>
      </c>
      <c r="I38" s="12" t="str">
        <f t="shared" si="7"/>
        <v>G</v>
      </c>
      <c r="J38" s="11">
        <f t="shared" si="8"/>
        <v>5440.766054</v>
      </c>
      <c r="K38" s="12" t="str">
        <f t="shared" si="9"/>
        <v>F</v>
      </c>
      <c r="P38" s="52" t="s">
        <v>515</v>
      </c>
      <c r="Q38" s="52" t="s">
        <v>516</v>
      </c>
      <c r="R38" s="52" t="s">
        <v>517</v>
      </c>
      <c r="S38" s="52" t="s">
        <v>518</v>
      </c>
      <c r="T38" s="52" t="s">
        <v>519</v>
      </c>
      <c r="U38" s="52" t="s">
        <v>520</v>
      </c>
      <c r="V38" s="52" t="s">
        <v>521</v>
      </c>
      <c r="W38" s="52" t="s">
        <v>522</v>
      </c>
      <c r="X38" s="52" t="s">
        <v>523</v>
      </c>
      <c r="Y38" s="52" t="s">
        <v>524</v>
      </c>
      <c r="Z38" s="52" t="s">
        <v>525</v>
      </c>
      <c r="AA38" s="52" t="s">
        <v>526</v>
      </c>
      <c r="AB38" s="52" t="s">
        <v>527</v>
      </c>
      <c r="AC38" s="52" t="s">
        <v>528</v>
      </c>
    </row>
    <row r="39">
      <c r="A39" s="8" t="s">
        <v>235</v>
      </c>
      <c r="B39" s="9">
        <v>911.0</v>
      </c>
      <c r="C39" s="9">
        <v>3333.0406147091107</v>
      </c>
      <c r="D39" s="10">
        <v>3333.0</v>
      </c>
      <c r="E39" s="9">
        <f t="shared" si="3"/>
        <v>-0.04061470911</v>
      </c>
      <c r="F39" s="9">
        <f t="shared" si="4"/>
        <v>0.9999878145</v>
      </c>
      <c r="G39" s="11">
        <f t="shared" si="5"/>
        <v>3333.040615</v>
      </c>
      <c r="H39" s="11">
        <f t="shared" si="6"/>
        <v>3036400</v>
      </c>
      <c r="I39" s="12" t="str">
        <f t="shared" si="7"/>
        <v>G</v>
      </c>
      <c r="J39" s="11">
        <f t="shared" si="8"/>
        <v>5632.838639</v>
      </c>
      <c r="K39" s="12" t="str">
        <f t="shared" si="9"/>
        <v>F</v>
      </c>
      <c r="P39" s="38">
        <f t="shared" ref="P39:AC39" si="19">(P41/$AD$39)</f>
        <v>0.02224298001</v>
      </c>
      <c r="Q39" s="38">
        <f t="shared" si="19"/>
        <v>0.1886415686</v>
      </c>
      <c r="R39" s="38">
        <f t="shared" si="19"/>
        <v>0.3158833786</v>
      </c>
      <c r="S39" s="38">
        <f t="shared" si="19"/>
        <v>0.2577025883</v>
      </c>
      <c r="T39" s="38">
        <f t="shared" si="19"/>
        <v>0.0740802962</v>
      </c>
      <c r="U39" s="38">
        <f t="shared" si="19"/>
        <v>0.04467689257</v>
      </c>
      <c r="V39" s="38">
        <f t="shared" si="19"/>
        <v>0.03658374138</v>
      </c>
      <c r="W39" s="38">
        <f t="shared" si="19"/>
        <v>0.02684976775</v>
      </c>
      <c r="X39" s="38">
        <f t="shared" si="19"/>
        <v>0.01058750409</v>
      </c>
      <c r="Y39" s="38">
        <f t="shared" si="19"/>
        <v>0.008467556969</v>
      </c>
      <c r="Z39" s="38">
        <f t="shared" si="19"/>
        <v>0.004409962774</v>
      </c>
      <c r="AA39" s="38">
        <f t="shared" si="19"/>
        <v>0.00305358731</v>
      </c>
      <c r="AB39" s="38">
        <f t="shared" si="19"/>
        <v>0.0001097785897</v>
      </c>
      <c r="AC39" s="38">
        <f t="shared" si="19"/>
        <v>0.00671039693</v>
      </c>
      <c r="AD39" s="33">
        <f>SUM(P41:AC41)</f>
        <v>8608235931</v>
      </c>
    </row>
    <row r="40">
      <c r="A40" s="8" t="s">
        <v>313</v>
      </c>
      <c r="B40" s="9">
        <v>181.0</v>
      </c>
      <c r="C40" s="9">
        <v>3440.0</v>
      </c>
      <c r="D40" s="10">
        <v>3440.0</v>
      </c>
      <c r="E40" s="9">
        <f t="shared" si="3"/>
        <v>0</v>
      </c>
      <c r="F40" s="9">
        <f t="shared" si="4"/>
        <v>1</v>
      </c>
      <c r="G40" s="11">
        <f t="shared" si="5"/>
        <v>3440</v>
      </c>
      <c r="H40" s="11">
        <f t="shared" si="6"/>
        <v>622640</v>
      </c>
      <c r="I40" s="12" t="str">
        <f t="shared" si="7"/>
        <v>G</v>
      </c>
      <c r="J40" s="11">
        <f t="shared" si="8"/>
        <v>5813.6</v>
      </c>
      <c r="K40" s="12" t="str">
        <f t="shared" si="9"/>
        <v>F</v>
      </c>
    </row>
    <row r="41">
      <c r="A41" s="8" t="s">
        <v>306</v>
      </c>
      <c r="B41" s="9">
        <v>1311.0</v>
      </c>
      <c r="C41" s="9">
        <v>3347.7040427154843</v>
      </c>
      <c r="D41" s="9">
        <v>3447.535079513564</v>
      </c>
      <c r="E41" s="9">
        <f t="shared" si="3"/>
        <v>99.8310368</v>
      </c>
      <c r="F41" s="9">
        <f t="shared" si="4"/>
        <v>1.029820747</v>
      </c>
      <c r="G41" s="11">
        <f t="shared" si="5"/>
        <v>3447.53508</v>
      </c>
      <c r="H41" s="11">
        <f t="shared" si="6"/>
        <v>4519718.489</v>
      </c>
      <c r="I41" s="12" t="str">
        <f t="shared" si="7"/>
        <v>G</v>
      </c>
      <c r="J41" s="11">
        <f t="shared" si="8"/>
        <v>5826.334284</v>
      </c>
      <c r="K41" s="12" t="str">
        <f t="shared" si="9"/>
        <v>F</v>
      </c>
      <c r="P41" s="53">
        <f>SUMIFS(Volumen,CategoriaParejas,"G")</f>
        <v>191472819.7</v>
      </c>
      <c r="Q41" s="53">
        <f>SUMIFS(Volumen,CategoriaParejas,"F")</f>
        <v>1623871128</v>
      </c>
      <c r="R41" s="53">
        <f>SUMIFS(Volumen,CategoriaParejas,"F1")</f>
        <v>2719198649</v>
      </c>
      <c r="S41" s="53">
        <f>SUMIFS(Volumen,CategoriaParejas,"E")</f>
        <v>2218364680</v>
      </c>
      <c r="T41" s="53">
        <f>SUMIFS(Volumen,CategoriaParejas,"E1")</f>
        <v>637700667.5</v>
      </c>
      <c r="U41" s="53">
        <f>SUMIFS(Volumen,CategoriaParejas,"D")</f>
        <v>384589231.9</v>
      </c>
      <c r="V41" s="53">
        <f>SUMIFS(Volumen,CategoriaParejas,"D1")</f>
        <v>314921477</v>
      </c>
      <c r="W41" s="53">
        <f>SUMIFS(Volumen,CategoriaParejas,"C")</f>
        <v>231129135.5</v>
      </c>
      <c r="X41" s="53">
        <f>SUMIFS(Volumen,CategoriaParejas,"C1")</f>
        <v>91139733.1</v>
      </c>
      <c r="Y41" s="53">
        <f>SUMIFS(Volumen,CategoriaParejas,"B")</f>
        <v>72890728.14</v>
      </c>
      <c r="Z41" s="53">
        <f>SUMIFS(Volumen,CategoriaParejas,"B1")</f>
        <v>37962000</v>
      </c>
      <c r="AA41" s="53">
        <f>SUMIFS(Volumen,CategoriaParejas,"A")</f>
        <v>26286000</v>
      </c>
      <c r="AB41" s="53">
        <f>SUMIFS(Volumen,CategoriaParejas,"A1")</f>
        <v>945000</v>
      </c>
      <c r="AC41" s="53">
        <f>SUMIFS(Volumen,CategoriaParejas,"S")</f>
        <v>57764679.96</v>
      </c>
    </row>
    <row r="42">
      <c r="A42" s="8" t="s">
        <v>186</v>
      </c>
      <c r="B42" s="9">
        <v>1100.0</v>
      </c>
      <c r="C42" s="9">
        <v>2008.4</v>
      </c>
      <c r="D42" s="9">
        <v>3534.8837209302324</v>
      </c>
      <c r="E42" s="9">
        <f t="shared" si="3"/>
        <v>1526.483721</v>
      </c>
      <c r="F42" s="9">
        <f t="shared" si="4"/>
        <v>1.760049652</v>
      </c>
      <c r="G42" s="11">
        <f t="shared" si="5"/>
        <v>3534.883721</v>
      </c>
      <c r="H42" s="11">
        <f t="shared" si="6"/>
        <v>3888372.093</v>
      </c>
      <c r="I42" s="12" t="str">
        <f t="shared" si="7"/>
        <v>G</v>
      </c>
      <c r="J42" s="11">
        <f t="shared" si="8"/>
        <v>5973.953488</v>
      </c>
      <c r="K42" s="12" t="str">
        <f t="shared" si="9"/>
        <v>F</v>
      </c>
    </row>
    <row r="43">
      <c r="A43" s="8" t="s">
        <v>436</v>
      </c>
      <c r="B43" s="9">
        <v>3114.0</v>
      </c>
      <c r="C43" s="9">
        <v>3579.0526653821453</v>
      </c>
      <c r="D43" s="9">
        <v>2211.206896551724</v>
      </c>
      <c r="E43" s="9">
        <f t="shared" si="3"/>
        <v>-1367.845769</v>
      </c>
      <c r="F43" s="9">
        <f t="shared" si="4"/>
        <v>0.6178190441</v>
      </c>
      <c r="G43" s="11">
        <f t="shared" si="5"/>
        <v>3579.052665</v>
      </c>
      <c r="H43" s="11">
        <f t="shared" si="6"/>
        <v>11145170</v>
      </c>
      <c r="I43" s="12" t="str">
        <f t="shared" si="7"/>
        <v>G</v>
      </c>
      <c r="J43" s="11">
        <f t="shared" si="8"/>
        <v>6048.599004</v>
      </c>
      <c r="K43" s="12" t="str">
        <f t="shared" si="9"/>
        <v>F</v>
      </c>
    </row>
    <row r="44">
      <c r="A44" s="8" t="s">
        <v>419</v>
      </c>
      <c r="B44" s="9">
        <v>105451.0</v>
      </c>
      <c r="C44" s="9">
        <v>3541.3694322481533</v>
      </c>
      <c r="D44" s="9">
        <v>3611.950058515847</v>
      </c>
      <c r="E44" s="9">
        <f t="shared" si="3"/>
        <v>70.58062627</v>
      </c>
      <c r="F44" s="9">
        <f t="shared" si="4"/>
        <v>1.01993032</v>
      </c>
      <c r="G44" s="11">
        <f t="shared" si="5"/>
        <v>3611.950059</v>
      </c>
      <c r="H44" s="11">
        <f t="shared" si="6"/>
        <v>380883745.6</v>
      </c>
      <c r="I44" s="12" t="str">
        <f t="shared" si="7"/>
        <v>G</v>
      </c>
      <c r="J44" s="11">
        <f t="shared" si="8"/>
        <v>6104.195599</v>
      </c>
      <c r="K44" s="12" t="str">
        <f t="shared" si="9"/>
        <v>F</v>
      </c>
    </row>
    <row r="45">
      <c r="A45" s="8" t="s">
        <v>304</v>
      </c>
      <c r="B45" s="9">
        <v>12418.0</v>
      </c>
      <c r="C45" s="9">
        <v>1273.5951038814624</v>
      </c>
      <c r="D45" s="9">
        <v>3623.5059139129376</v>
      </c>
      <c r="E45" s="9">
        <f t="shared" si="3"/>
        <v>2349.91081</v>
      </c>
      <c r="F45" s="9">
        <f t="shared" si="4"/>
        <v>2.84510038</v>
      </c>
      <c r="G45" s="11">
        <f t="shared" si="5"/>
        <v>3623.505914</v>
      </c>
      <c r="H45" s="11">
        <f t="shared" si="6"/>
        <v>44996696.44</v>
      </c>
      <c r="I45" s="12" t="str">
        <f t="shared" si="7"/>
        <v>G</v>
      </c>
      <c r="J45" s="11">
        <f t="shared" si="8"/>
        <v>6123.724995</v>
      </c>
      <c r="K45" s="12" t="str">
        <f t="shared" si="9"/>
        <v>F</v>
      </c>
    </row>
    <row r="46">
      <c r="A46" s="8" t="s">
        <v>449</v>
      </c>
      <c r="B46" s="9">
        <v>54846.0</v>
      </c>
      <c r="C46" s="9">
        <v>3671.0764139590856</v>
      </c>
      <c r="D46" s="9">
        <v>3650.387865230274</v>
      </c>
      <c r="E46" s="9">
        <f t="shared" si="3"/>
        <v>-20.68854873</v>
      </c>
      <c r="F46" s="9">
        <f t="shared" si="4"/>
        <v>0.9943644462</v>
      </c>
      <c r="G46" s="11">
        <f t="shared" si="5"/>
        <v>3671.076414</v>
      </c>
      <c r="H46" s="11">
        <f t="shared" si="6"/>
        <v>201343857</v>
      </c>
      <c r="I46" s="12" t="str">
        <f t="shared" si="7"/>
        <v>G</v>
      </c>
      <c r="J46" s="11">
        <f t="shared" si="8"/>
        <v>6204.11914</v>
      </c>
      <c r="K46" s="12" t="str">
        <f t="shared" si="9"/>
        <v>F</v>
      </c>
    </row>
    <row r="47">
      <c r="A47" s="8" t="s">
        <v>420</v>
      </c>
      <c r="B47" s="9">
        <v>9670.0</v>
      </c>
      <c r="C47" s="9">
        <v>3686.5747673216133</v>
      </c>
      <c r="D47" s="9">
        <v>2157.4475225225224</v>
      </c>
      <c r="E47" s="9">
        <f t="shared" si="3"/>
        <v>-1529.127245</v>
      </c>
      <c r="F47" s="9">
        <f t="shared" si="4"/>
        <v>0.5852173518</v>
      </c>
      <c r="G47" s="11">
        <f t="shared" si="5"/>
        <v>3686.574767</v>
      </c>
      <c r="H47" s="11">
        <f t="shared" si="6"/>
        <v>35649178</v>
      </c>
      <c r="I47" s="12" t="str">
        <f t="shared" si="7"/>
        <v>G</v>
      </c>
      <c r="J47" s="11">
        <f t="shared" si="8"/>
        <v>6230.311357</v>
      </c>
      <c r="K47" s="12" t="str">
        <f t="shared" si="9"/>
        <v>F</v>
      </c>
    </row>
    <row r="48">
      <c r="A48" s="8" t="s">
        <v>463</v>
      </c>
      <c r="B48" s="9">
        <v>727.0</v>
      </c>
      <c r="C48" s="10">
        <v>3730.0</v>
      </c>
      <c r="D48" s="10">
        <v>3730.0</v>
      </c>
      <c r="E48" s="9">
        <f t="shared" si="3"/>
        <v>0</v>
      </c>
      <c r="F48" s="9">
        <f t="shared" si="4"/>
        <v>1</v>
      </c>
      <c r="G48" s="11">
        <f t="shared" si="5"/>
        <v>3730</v>
      </c>
      <c r="H48" s="11">
        <f t="shared" si="6"/>
        <v>2711710</v>
      </c>
      <c r="I48" s="12" t="str">
        <f t="shared" si="7"/>
        <v>G</v>
      </c>
      <c r="J48" s="11">
        <f t="shared" si="8"/>
        <v>6303.7</v>
      </c>
      <c r="K48" s="12" t="str">
        <f t="shared" si="9"/>
        <v>F</v>
      </c>
    </row>
    <row r="49">
      <c r="A49" s="8" t="s">
        <v>244</v>
      </c>
      <c r="B49" s="9">
        <v>6375.0</v>
      </c>
      <c r="C49" s="9">
        <v>2933.102117647059</v>
      </c>
      <c r="D49" s="9">
        <v>3737.496384418008</v>
      </c>
      <c r="E49" s="9">
        <f t="shared" si="3"/>
        <v>804.3942668</v>
      </c>
      <c r="F49" s="9">
        <f t="shared" si="4"/>
        <v>1.274246935</v>
      </c>
      <c r="G49" s="11">
        <f t="shared" si="5"/>
        <v>3737.496384</v>
      </c>
      <c r="H49" s="11">
        <f t="shared" si="6"/>
        <v>23826539.45</v>
      </c>
      <c r="I49" s="12" t="str">
        <f t="shared" si="7"/>
        <v>G</v>
      </c>
      <c r="J49" s="11">
        <f t="shared" si="8"/>
        <v>6316.36889</v>
      </c>
      <c r="K49" s="12" t="str">
        <f t="shared" si="9"/>
        <v>F</v>
      </c>
    </row>
    <row r="50">
      <c r="A50" s="8" t="s">
        <v>444</v>
      </c>
      <c r="B50" s="9">
        <v>22840.0</v>
      </c>
      <c r="C50" s="9">
        <v>3919.140411558669</v>
      </c>
      <c r="D50" s="9">
        <v>3902.462252544458</v>
      </c>
      <c r="E50" s="9">
        <f t="shared" si="3"/>
        <v>-16.67815901</v>
      </c>
      <c r="F50" s="9">
        <f t="shared" si="4"/>
        <v>0.9957444344</v>
      </c>
      <c r="G50" s="11">
        <f t="shared" si="5"/>
        <v>3919.140412</v>
      </c>
      <c r="H50" s="11">
        <f t="shared" si="6"/>
        <v>89513167</v>
      </c>
      <c r="I50" s="12" t="str">
        <f t="shared" si="7"/>
        <v>G</v>
      </c>
      <c r="J50" s="11">
        <f t="shared" si="8"/>
        <v>6623.347296</v>
      </c>
      <c r="K50" s="12" t="str">
        <f t="shared" si="9"/>
        <v>F</v>
      </c>
    </row>
    <row r="51">
      <c r="A51" s="8" t="s">
        <v>435</v>
      </c>
      <c r="B51" s="9">
        <v>22945.0</v>
      </c>
      <c r="C51" s="9">
        <v>3005.5696230115495</v>
      </c>
      <c r="D51" s="9">
        <v>3935.270624552613</v>
      </c>
      <c r="E51" s="9">
        <f t="shared" si="3"/>
        <v>929.7010015</v>
      </c>
      <c r="F51" s="9">
        <f t="shared" si="4"/>
        <v>1.309326057</v>
      </c>
      <c r="G51" s="11">
        <f t="shared" si="5"/>
        <v>3935.270625</v>
      </c>
      <c r="H51" s="11">
        <f t="shared" si="6"/>
        <v>90294784.48</v>
      </c>
      <c r="I51" s="12" t="str">
        <f t="shared" si="7"/>
        <v>G</v>
      </c>
      <c r="J51" s="11">
        <f t="shared" si="8"/>
        <v>6650.607355</v>
      </c>
      <c r="K51" s="12" t="str">
        <f t="shared" si="9"/>
        <v>F</v>
      </c>
    </row>
    <row r="52">
      <c r="A52" s="8" t="s">
        <v>243</v>
      </c>
      <c r="B52" s="9">
        <v>92052.0</v>
      </c>
      <c r="C52" s="9">
        <v>3955.109340372833</v>
      </c>
      <c r="D52" s="9">
        <v>3008.270702804177</v>
      </c>
      <c r="E52" s="9">
        <f t="shared" si="3"/>
        <v>-946.8386376</v>
      </c>
      <c r="F52" s="9">
        <f t="shared" si="4"/>
        <v>0.7606036759</v>
      </c>
      <c r="G52" s="11">
        <f t="shared" si="5"/>
        <v>3955.10934</v>
      </c>
      <c r="H52" s="11">
        <f t="shared" si="6"/>
        <v>364075725</v>
      </c>
      <c r="I52" s="12" t="str">
        <f t="shared" si="7"/>
        <v>G</v>
      </c>
      <c r="J52" s="11">
        <f t="shared" si="8"/>
        <v>6684.134785</v>
      </c>
      <c r="K52" s="12" t="str">
        <f t="shared" si="9"/>
        <v>F</v>
      </c>
    </row>
    <row r="53">
      <c r="A53" s="8" t="s">
        <v>181</v>
      </c>
      <c r="B53" s="9">
        <v>292.0</v>
      </c>
      <c r="C53" s="9">
        <v>4000.0</v>
      </c>
      <c r="D53" s="9">
        <v>4000.0</v>
      </c>
      <c r="E53" s="9">
        <f t="shared" si="3"/>
        <v>0</v>
      </c>
      <c r="F53" s="9">
        <f t="shared" si="4"/>
        <v>1</v>
      </c>
      <c r="G53" s="11">
        <f t="shared" si="5"/>
        <v>4000</v>
      </c>
      <c r="H53" s="11">
        <f t="shared" si="6"/>
        <v>1168000</v>
      </c>
      <c r="I53" s="12" t="str">
        <f t="shared" si="7"/>
        <v>G</v>
      </c>
      <c r="J53" s="11">
        <f t="shared" si="8"/>
        <v>6760</v>
      </c>
      <c r="K53" s="12" t="str">
        <f t="shared" si="9"/>
        <v>F</v>
      </c>
    </row>
    <row r="54">
      <c r="A54" s="8" t="s">
        <v>393</v>
      </c>
      <c r="B54" s="9">
        <v>287.0</v>
      </c>
      <c r="C54" s="9">
        <v>4000.0</v>
      </c>
      <c r="D54" s="9">
        <v>4000.0</v>
      </c>
      <c r="E54" s="9">
        <f t="shared" si="3"/>
        <v>0</v>
      </c>
      <c r="F54" s="9">
        <f t="shared" si="4"/>
        <v>1</v>
      </c>
      <c r="G54" s="11">
        <f t="shared" si="5"/>
        <v>4000</v>
      </c>
      <c r="H54" s="11">
        <f t="shared" si="6"/>
        <v>1148000</v>
      </c>
      <c r="I54" s="12" t="str">
        <f t="shared" si="7"/>
        <v>G</v>
      </c>
      <c r="J54" s="11">
        <f t="shared" si="8"/>
        <v>6760</v>
      </c>
      <c r="K54" s="12" t="str">
        <f t="shared" si="9"/>
        <v>F</v>
      </c>
    </row>
    <row r="55">
      <c r="A55" s="8" t="s">
        <v>456</v>
      </c>
      <c r="B55" s="9">
        <v>2804.0</v>
      </c>
      <c r="C55" s="9">
        <v>3036.462196861626</v>
      </c>
      <c r="D55" s="9">
        <v>4033.204863749864</v>
      </c>
      <c r="E55" s="9">
        <f t="shared" si="3"/>
        <v>996.7426669</v>
      </c>
      <c r="F55" s="9">
        <f t="shared" si="4"/>
        <v>1.328257888</v>
      </c>
      <c r="G55" s="11">
        <f t="shared" si="5"/>
        <v>4033.204864</v>
      </c>
      <c r="H55" s="11">
        <f t="shared" si="6"/>
        <v>11309106.44</v>
      </c>
      <c r="I55" s="12" t="str">
        <f t="shared" si="7"/>
        <v>G</v>
      </c>
      <c r="J55" s="11">
        <f t="shared" si="8"/>
        <v>6816.11622</v>
      </c>
      <c r="K55" s="12" t="str">
        <f t="shared" si="9"/>
        <v>F</v>
      </c>
    </row>
    <row r="56">
      <c r="A56" s="8" t="s">
        <v>446</v>
      </c>
      <c r="B56" s="9">
        <v>19366.0</v>
      </c>
      <c r="C56" s="9">
        <v>2755.114840442012</v>
      </c>
      <c r="D56" s="9">
        <v>4138.819724805322</v>
      </c>
      <c r="E56" s="9">
        <f t="shared" si="3"/>
        <v>1383.704884</v>
      </c>
      <c r="F56" s="9">
        <f t="shared" si="4"/>
        <v>1.502231291</v>
      </c>
      <c r="G56" s="11">
        <f t="shared" si="5"/>
        <v>4138.819725</v>
      </c>
      <c r="H56" s="11">
        <f t="shared" si="6"/>
        <v>80152382.79</v>
      </c>
      <c r="I56" s="12" t="str">
        <f t="shared" si="7"/>
        <v>G</v>
      </c>
      <c r="J56" s="11">
        <f t="shared" si="8"/>
        <v>6994.605335</v>
      </c>
      <c r="K56" s="12" t="str">
        <f t="shared" si="9"/>
        <v>F</v>
      </c>
    </row>
    <row r="57">
      <c r="A57" s="8" t="s">
        <v>369</v>
      </c>
      <c r="B57" s="9">
        <v>1459.0</v>
      </c>
      <c r="C57" s="9">
        <v>4187.416038382454</v>
      </c>
      <c r="D57" s="9">
        <v>4187.416038382454</v>
      </c>
      <c r="E57" s="9">
        <f t="shared" si="3"/>
        <v>0</v>
      </c>
      <c r="F57" s="9">
        <f t="shared" si="4"/>
        <v>1</v>
      </c>
      <c r="G57" s="11">
        <f t="shared" si="5"/>
        <v>4187.416038</v>
      </c>
      <c r="H57" s="11">
        <f t="shared" si="6"/>
        <v>6109440</v>
      </c>
      <c r="I57" s="12" t="str">
        <f t="shared" si="7"/>
        <v>G</v>
      </c>
      <c r="J57" s="11">
        <f t="shared" si="8"/>
        <v>7076.733105</v>
      </c>
      <c r="K57" s="12" t="str">
        <f t="shared" si="9"/>
        <v>F</v>
      </c>
    </row>
    <row r="58">
      <c r="A58" s="8" t="s">
        <v>191</v>
      </c>
      <c r="B58" s="9">
        <v>628.0</v>
      </c>
      <c r="C58" s="9">
        <v>4248.407643312102</v>
      </c>
      <c r="D58" s="9">
        <v>4248.407643312102</v>
      </c>
      <c r="E58" s="9">
        <f t="shared" si="3"/>
        <v>0</v>
      </c>
      <c r="F58" s="9">
        <f t="shared" si="4"/>
        <v>1</v>
      </c>
      <c r="G58" s="11">
        <f t="shared" si="5"/>
        <v>4248.407643</v>
      </c>
      <c r="H58" s="11">
        <f t="shared" si="6"/>
        <v>2668000</v>
      </c>
      <c r="I58" s="12" t="str">
        <f t="shared" si="7"/>
        <v>G</v>
      </c>
      <c r="J58" s="11">
        <f t="shared" si="8"/>
        <v>7179.808917</v>
      </c>
      <c r="K58" s="12" t="str">
        <f t="shared" si="9"/>
        <v>F</v>
      </c>
    </row>
    <row r="59">
      <c r="A59" s="8" t="s">
        <v>434</v>
      </c>
      <c r="B59" s="9">
        <v>6385.0</v>
      </c>
      <c r="C59" s="9">
        <v>4481.939702427565</v>
      </c>
      <c r="D59" s="9">
        <v>4238.770816890292</v>
      </c>
      <c r="E59" s="9">
        <f t="shared" si="3"/>
        <v>-243.1688855</v>
      </c>
      <c r="F59" s="9">
        <f t="shared" si="4"/>
        <v>0.9457447218</v>
      </c>
      <c r="G59" s="11">
        <f t="shared" si="5"/>
        <v>4481.939702</v>
      </c>
      <c r="H59" s="11">
        <f t="shared" si="6"/>
        <v>28617185</v>
      </c>
      <c r="I59" s="12" t="str">
        <f t="shared" si="7"/>
        <v>G</v>
      </c>
      <c r="J59" s="11">
        <f t="shared" si="8"/>
        <v>7574.478097</v>
      </c>
      <c r="K59" s="12" t="str">
        <f t="shared" si="9"/>
        <v>F</v>
      </c>
    </row>
    <row r="60">
      <c r="A60" s="8" t="s">
        <v>230</v>
      </c>
      <c r="B60" s="9">
        <v>5724.0</v>
      </c>
      <c r="C60" s="9">
        <v>4502.954227812718</v>
      </c>
      <c r="D60" s="9">
        <v>4264.621282962409</v>
      </c>
      <c r="E60" s="9">
        <f t="shared" si="3"/>
        <v>-238.3329449</v>
      </c>
      <c r="F60" s="9">
        <f t="shared" si="4"/>
        <v>0.9470718704</v>
      </c>
      <c r="G60" s="11">
        <f t="shared" si="5"/>
        <v>4502.954228</v>
      </c>
      <c r="H60" s="11">
        <f t="shared" si="6"/>
        <v>25774910</v>
      </c>
      <c r="I60" s="12" t="str">
        <f t="shared" si="7"/>
        <v>G</v>
      </c>
      <c r="J60" s="11">
        <f t="shared" si="8"/>
        <v>7609.992645</v>
      </c>
      <c r="K60" s="12" t="str">
        <f t="shared" si="9"/>
        <v>F</v>
      </c>
    </row>
    <row r="61">
      <c r="A61" s="8" t="s">
        <v>209</v>
      </c>
      <c r="B61" s="9">
        <v>194.0</v>
      </c>
      <c r="C61" s="9">
        <v>4548.2474226804125</v>
      </c>
      <c r="D61" s="9">
        <v>2107.9462102689486</v>
      </c>
      <c r="E61" s="9">
        <f t="shared" si="3"/>
        <v>-2440.301212</v>
      </c>
      <c r="F61" s="9">
        <f t="shared" si="4"/>
        <v>0.4634633991</v>
      </c>
      <c r="G61" s="11">
        <f t="shared" si="5"/>
        <v>4548.247423</v>
      </c>
      <c r="H61" s="11">
        <f t="shared" si="6"/>
        <v>882360</v>
      </c>
      <c r="I61" s="12" t="str">
        <f t="shared" si="7"/>
        <v>G</v>
      </c>
      <c r="J61" s="11">
        <f t="shared" si="8"/>
        <v>7686.538144</v>
      </c>
      <c r="K61" s="12" t="str">
        <f t="shared" si="9"/>
        <v>F</v>
      </c>
    </row>
    <row r="62">
      <c r="A62" s="8" t="s">
        <v>343</v>
      </c>
      <c r="B62" s="9">
        <v>588.0</v>
      </c>
      <c r="C62" s="10">
        <v>4616.0</v>
      </c>
      <c r="D62" s="9">
        <v>4616.971428571429</v>
      </c>
      <c r="E62" s="9">
        <f t="shared" si="3"/>
        <v>0.9714285714</v>
      </c>
      <c r="F62" s="9">
        <f t="shared" si="4"/>
        <v>1.000210448</v>
      </c>
      <c r="G62" s="11">
        <f t="shared" si="5"/>
        <v>4616.971429</v>
      </c>
      <c r="H62" s="11">
        <f t="shared" si="6"/>
        <v>2714779.2</v>
      </c>
      <c r="I62" s="12" t="str">
        <f t="shared" si="7"/>
        <v>G</v>
      </c>
      <c r="J62" s="11">
        <f t="shared" si="8"/>
        <v>7802.681714</v>
      </c>
      <c r="K62" s="12" t="str">
        <f t="shared" si="9"/>
        <v>F</v>
      </c>
    </row>
    <row r="63">
      <c r="A63" s="8" t="s">
        <v>351</v>
      </c>
      <c r="B63" s="9">
        <v>29796.0</v>
      </c>
      <c r="C63" s="9">
        <v>3641.089978520607</v>
      </c>
      <c r="D63" s="9">
        <v>4624.07316442606</v>
      </c>
      <c r="E63" s="9">
        <f t="shared" si="3"/>
        <v>982.9831859</v>
      </c>
      <c r="F63" s="9">
        <f t="shared" si="4"/>
        <v>1.269969485</v>
      </c>
      <c r="G63" s="11">
        <f t="shared" si="5"/>
        <v>4624.073164</v>
      </c>
      <c r="H63" s="11">
        <f t="shared" si="6"/>
        <v>137778884</v>
      </c>
      <c r="I63" s="12" t="str">
        <f t="shared" si="7"/>
        <v>G</v>
      </c>
      <c r="J63" s="11">
        <f t="shared" si="8"/>
        <v>7814.683648</v>
      </c>
      <c r="K63" s="12" t="str">
        <f t="shared" si="9"/>
        <v>F</v>
      </c>
    </row>
    <row r="64">
      <c r="A64" s="8" t="s">
        <v>274</v>
      </c>
      <c r="B64" s="9">
        <v>6530.0</v>
      </c>
      <c r="C64" s="9">
        <v>4744.333078101072</v>
      </c>
      <c r="D64" s="9">
        <v>3484.4283783783785</v>
      </c>
      <c r="E64" s="9">
        <f t="shared" si="3"/>
        <v>-1259.9047</v>
      </c>
      <c r="F64" s="9">
        <f t="shared" si="4"/>
        <v>0.7344400827</v>
      </c>
      <c r="G64" s="11">
        <f t="shared" si="5"/>
        <v>4744.333078</v>
      </c>
      <c r="H64" s="11">
        <f t="shared" si="6"/>
        <v>30980495</v>
      </c>
      <c r="I64" s="12" t="str">
        <f t="shared" si="7"/>
        <v>G</v>
      </c>
      <c r="J64" s="11">
        <f t="shared" si="8"/>
        <v>8017.922902</v>
      </c>
      <c r="K64" s="12" t="str">
        <f t="shared" si="9"/>
        <v>F1</v>
      </c>
    </row>
    <row r="65">
      <c r="A65" s="8" t="s">
        <v>347</v>
      </c>
      <c r="B65" s="9">
        <v>1127.0</v>
      </c>
      <c r="C65" s="9">
        <v>1963.425022182786</v>
      </c>
      <c r="D65" s="9">
        <v>4770.3125</v>
      </c>
      <c r="E65" s="9">
        <f t="shared" si="3"/>
        <v>2806.887478</v>
      </c>
      <c r="F65" s="9">
        <f t="shared" si="4"/>
        <v>2.429587301</v>
      </c>
      <c r="G65" s="11">
        <f t="shared" si="5"/>
        <v>4770.3125</v>
      </c>
      <c r="H65" s="11">
        <f t="shared" si="6"/>
        <v>5376142.188</v>
      </c>
      <c r="I65" s="12" t="str">
        <f t="shared" si="7"/>
        <v>G</v>
      </c>
      <c r="J65" s="11">
        <f t="shared" si="8"/>
        <v>8061.828125</v>
      </c>
      <c r="K65" s="12" t="str">
        <f t="shared" si="9"/>
        <v>F1</v>
      </c>
    </row>
    <row r="66">
      <c r="A66" s="8" t="s">
        <v>169</v>
      </c>
      <c r="B66" s="9">
        <v>885.0</v>
      </c>
      <c r="C66" s="9">
        <v>4772.881355932203</v>
      </c>
      <c r="D66" s="9">
        <v>4772.881355932203</v>
      </c>
      <c r="E66" s="9">
        <f t="shared" si="3"/>
        <v>0</v>
      </c>
      <c r="F66" s="9">
        <f t="shared" si="4"/>
        <v>1</v>
      </c>
      <c r="G66" s="11">
        <f t="shared" si="5"/>
        <v>4772.881356</v>
      </c>
      <c r="H66" s="11">
        <f t="shared" si="6"/>
        <v>4224000</v>
      </c>
      <c r="I66" s="12" t="str">
        <f t="shared" si="7"/>
        <v>G</v>
      </c>
      <c r="J66" s="11">
        <f t="shared" si="8"/>
        <v>8066.169492</v>
      </c>
      <c r="K66" s="12" t="str">
        <f t="shared" si="9"/>
        <v>F1</v>
      </c>
    </row>
    <row r="67">
      <c r="A67" s="8" t="s">
        <v>433</v>
      </c>
      <c r="B67" s="9">
        <v>4145.0</v>
      </c>
      <c r="C67" s="9">
        <v>4781.869722557298</v>
      </c>
      <c r="D67" s="9">
        <v>3022.817807514153</v>
      </c>
      <c r="E67" s="9">
        <f t="shared" si="3"/>
        <v>-1759.051915</v>
      </c>
      <c r="F67" s="9">
        <f t="shared" si="4"/>
        <v>0.6321413972</v>
      </c>
      <c r="G67" s="11">
        <f t="shared" si="5"/>
        <v>4781.869723</v>
      </c>
      <c r="H67" s="11">
        <f t="shared" si="6"/>
        <v>19820850</v>
      </c>
      <c r="I67" s="12" t="str">
        <f t="shared" si="7"/>
        <v>G</v>
      </c>
      <c r="J67" s="11">
        <f t="shared" si="8"/>
        <v>8081.359831</v>
      </c>
      <c r="K67" s="12" t="str">
        <f t="shared" si="9"/>
        <v>F1</v>
      </c>
    </row>
    <row r="68">
      <c r="A68" s="8" t="s">
        <v>440</v>
      </c>
      <c r="B68" s="9">
        <v>6469.0</v>
      </c>
      <c r="C68" s="9">
        <v>3238.288761786984</v>
      </c>
      <c r="D68" s="9">
        <v>4784.231830726771</v>
      </c>
      <c r="E68" s="9">
        <f t="shared" si="3"/>
        <v>1545.943069</v>
      </c>
      <c r="F68" s="9">
        <f t="shared" si="4"/>
        <v>1.477395063</v>
      </c>
      <c r="G68" s="11">
        <f t="shared" si="5"/>
        <v>4784.231831</v>
      </c>
      <c r="H68" s="11">
        <f t="shared" si="6"/>
        <v>30949195.71</v>
      </c>
      <c r="I68" s="12" t="str">
        <f t="shared" si="7"/>
        <v>G</v>
      </c>
      <c r="J68" s="11">
        <f t="shared" si="8"/>
        <v>8085.351794</v>
      </c>
      <c r="K68" s="12" t="str">
        <f t="shared" si="9"/>
        <v>F1</v>
      </c>
    </row>
    <row r="69">
      <c r="A69" s="8" t="s">
        <v>239</v>
      </c>
      <c r="B69" s="9">
        <v>76981.0</v>
      </c>
      <c r="C69" s="9">
        <v>4370.26323378496</v>
      </c>
      <c r="D69" s="9">
        <v>4849.031886656679</v>
      </c>
      <c r="E69" s="9">
        <f t="shared" si="3"/>
        <v>478.7686529</v>
      </c>
      <c r="F69" s="9">
        <f t="shared" si="4"/>
        <v>1.109551445</v>
      </c>
      <c r="G69" s="11">
        <f t="shared" si="5"/>
        <v>4849.031887</v>
      </c>
      <c r="H69" s="11">
        <f t="shared" si="6"/>
        <v>373283323.7</v>
      </c>
      <c r="I69" s="12" t="str">
        <f t="shared" si="7"/>
        <v>G</v>
      </c>
      <c r="J69" s="11">
        <f t="shared" si="8"/>
        <v>8194.863888</v>
      </c>
      <c r="K69" s="12" t="str">
        <f t="shared" si="9"/>
        <v>F1</v>
      </c>
    </row>
    <row r="70">
      <c r="A70" s="8" t="s">
        <v>314</v>
      </c>
      <c r="B70" s="9">
        <v>573.0</v>
      </c>
      <c r="C70" s="9">
        <v>3010.0</v>
      </c>
      <c r="D70" s="9">
        <v>4852.925207756232</v>
      </c>
      <c r="E70" s="9">
        <f t="shared" si="3"/>
        <v>1842.925208</v>
      </c>
      <c r="F70" s="9">
        <f t="shared" si="4"/>
        <v>1.612267511</v>
      </c>
      <c r="G70" s="11">
        <f t="shared" si="5"/>
        <v>4852.925208</v>
      </c>
      <c r="H70" s="11">
        <f t="shared" si="6"/>
        <v>2780726.144</v>
      </c>
      <c r="I70" s="12" t="str">
        <f t="shared" si="7"/>
        <v>G</v>
      </c>
      <c r="J70" s="11">
        <f t="shared" si="8"/>
        <v>8201.443601</v>
      </c>
      <c r="K70" s="12" t="str">
        <f t="shared" si="9"/>
        <v>F1</v>
      </c>
    </row>
    <row r="71">
      <c r="A71" s="8" t="s">
        <v>352</v>
      </c>
      <c r="B71" s="9">
        <v>146.0</v>
      </c>
      <c r="C71" s="9">
        <v>4933.219178082192</v>
      </c>
      <c r="D71" s="9">
        <v>4150.112676056338</v>
      </c>
      <c r="E71" s="9">
        <f t="shared" si="3"/>
        <v>-783.106502</v>
      </c>
      <c r="F71" s="9">
        <f t="shared" si="4"/>
        <v>0.8412585223</v>
      </c>
      <c r="G71" s="11">
        <f t="shared" si="5"/>
        <v>4933.219178</v>
      </c>
      <c r="H71" s="11">
        <f t="shared" si="6"/>
        <v>720250</v>
      </c>
      <c r="I71" s="12" t="str">
        <f t="shared" si="7"/>
        <v>G</v>
      </c>
      <c r="J71" s="11">
        <f t="shared" si="8"/>
        <v>8337.140411</v>
      </c>
      <c r="K71" s="12" t="str">
        <f t="shared" si="9"/>
        <v>F1</v>
      </c>
    </row>
    <row r="72">
      <c r="A72" s="8" t="s">
        <v>261</v>
      </c>
      <c r="B72" s="9">
        <v>7066.0</v>
      </c>
      <c r="C72" s="9">
        <v>4925.513020096236</v>
      </c>
      <c r="D72" s="9">
        <v>4951.086448598131</v>
      </c>
      <c r="E72" s="9">
        <f t="shared" si="3"/>
        <v>25.5734285</v>
      </c>
      <c r="F72" s="9">
        <f t="shared" si="4"/>
        <v>1.005192033</v>
      </c>
      <c r="G72" s="11">
        <f t="shared" si="5"/>
        <v>4951.086449</v>
      </c>
      <c r="H72" s="11">
        <f t="shared" si="6"/>
        <v>34984376.85</v>
      </c>
      <c r="I72" s="12" t="str">
        <f t="shared" si="7"/>
        <v>G</v>
      </c>
      <c r="J72" s="11">
        <f t="shared" si="8"/>
        <v>8367.336098</v>
      </c>
      <c r="K72" s="12" t="str">
        <f t="shared" si="9"/>
        <v>F1</v>
      </c>
    </row>
    <row r="73">
      <c r="A73" s="8" t="s">
        <v>392</v>
      </c>
      <c r="B73" s="9">
        <v>8372.0</v>
      </c>
      <c r="C73" s="9">
        <v>3887.3088867654087</v>
      </c>
      <c r="D73" s="9">
        <v>4954.150985413651</v>
      </c>
      <c r="E73" s="9">
        <f t="shared" si="3"/>
        <v>1066.842099</v>
      </c>
      <c r="F73" s="9">
        <f t="shared" si="4"/>
        <v>1.274442328</v>
      </c>
      <c r="G73" s="11">
        <f t="shared" si="5"/>
        <v>4954.150985</v>
      </c>
      <c r="H73" s="11">
        <f t="shared" si="6"/>
        <v>41476152.05</v>
      </c>
      <c r="I73" s="12" t="str">
        <f t="shared" si="7"/>
        <v>G</v>
      </c>
      <c r="J73" s="11">
        <f t="shared" si="8"/>
        <v>8372.515165</v>
      </c>
      <c r="K73" s="12" t="str">
        <f t="shared" si="9"/>
        <v>F1</v>
      </c>
    </row>
    <row r="74">
      <c r="A74" s="8" t="s">
        <v>363</v>
      </c>
      <c r="B74" s="9">
        <v>291.0</v>
      </c>
      <c r="C74" s="9">
        <v>4970.568335588633</v>
      </c>
      <c r="D74" s="9">
        <v>4970.568335588633</v>
      </c>
      <c r="E74" s="9">
        <f t="shared" si="3"/>
        <v>0</v>
      </c>
      <c r="F74" s="9">
        <f t="shared" si="4"/>
        <v>1</v>
      </c>
      <c r="G74" s="11">
        <f t="shared" si="5"/>
        <v>4970.568336</v>
      </c>
      <c r="H74" s="11">
        <f t="shared" si="6"/>
        <v>1446435.386</v>
      </c>
      <c r="I74" s="12" t="str">
        <f t="shared" si="7"/>
        <v>G</v>
      </c>
      <c r="J74" s="11">
        <f t="shared" si="8"/>
        <v>8400.260487</v>
      </c>
      <c r="K74" s="12" t="str">
        <f t="shared" si="9"/>
        <v>F1</v>
      </c>
    </row>
    <row r="75">
      <c r="A75" s="8" t="s">
        <v>411</v>
      </c>
      <c r="B75" s="9">
        <v>1680.0</v>
      </c>
      <c r="C75" s="9">
        <v>3156.0119047619046</v>
      </c>
      <c r="D75" s="9">
        <v>5020.92781858831</v>
      </c>
      <c r="E75" s="9">
        <f t="shared" si="3"/>
        <v>1864.915914</v>
      </c>
      <c r="F75" s="9">
        <f t="shared" si="4"/>
        <v>1.590909024</v>
      </c>
      <c r="G75" s="11">
        <f t="shared" si="5"/>
        <v>5020.927819</v>
      </c>
      <c r="H75" s="11">
        <f t="shared" si="6"/>
        <v>8435158.735</v>
      </c>
      <c r="I75" s="12" t="str">
        <f t="shared" si="7"/>
        <v>F</v>
      </c>
      <c r="J75" s="11">
        <f t="shared" si="8"/>
        <v>8485.368013</v>
      </c>
      <c r="K75" s="12" t="str">
        <f t="shared" si="9"/>
        <v>F1</v>
      </c>
    </row>
    <row r="76">
      <c r="A76" s="8" t="s">
        <v>263</v>
      </c>
      <c r="B76" s="9">
        <v>773.0</v>
      </c>
      <c r="C76" s="9">
        <v>5030.109961190168</v>
      </c>
      <c r="D76" s="9">
        <v>5030.109961190168</v>
      </c>
      <c r="E76" s="9">
        <f t="shared" si="3"/>
        <v>0</v>
      </c>
      <c r="F76" s="9">
        <f t="shared" si="4"/>
        <v>1</v>
      </c>
      <c r="G76" s="11">
        <f t="shared" si="5"/>
        <v>5030.109961</v>
      </c>
      <c r="H76" s="11">
        <f t="shared" si="6"/>
        <v>3888275</v>
      </c>
      <c r="I76" s="12" t="str">
        <f t="shared" si="7"/>
        <v>F</v>
      </c>
      <c r="J76" s="11">
        <f t="shared" si="8"/>
        <v>8500.885834</v>
      </c>
      <c r="K76" s="12" t="str">
        <f t="shared" si="9"/>
        <v>F1</v>
      </c>
    </row>
    <row r="77">
      <c r="A77" s="8" t="s">
        <v>448</v>
      </c>
      <c r="B77" s="9">
        <v>301.0</v>
      </c>
      <c r="C77" s="9">
        <v>3052.4916943521594</v>
      </c>
      <c r="D77" s="9">
        <v>5056.8421052631575</v>
      </c>
      <c r="E77" s="9">
        <f t="shared" si="3"/>
        <v>2004.350411</v>
      </c>
      <c r="F77" s="9">
        <f t="shared" si="4"/>
        <v>1.656627638</v>
      </c>
      <c r="G77" s="11">
        <f t="shared" si="5"/>
        <v>5056.842105</v>
      </c>
      <c r="H77" s="11">
        <f t="shared" si="6"/>
        <v>1522109.474</v>
      </c>
      <c r="I77" s="12" t="str">
        <f t="shared" si="7"/>
        <v>F</v>
      </c>
      <c r="J77" s="11">
        <f t="shared" si="8"/>
        <v>8546.063158</v>
      </c>
      <c r="K77" s="12" t="str">
        <f t="shared" si="9"/>
        <v>F1</v>
      </c>
    </row>
    <row r="78">
      <c r="A78" s="8" t="s">
        <v>460</v>
      </c>
      <c r="B78" s="9">
        <v>1888.0</v>
      </c>
      <c r="C78" s="9">
        <v>5146.7902542372885</v>
      </c>
      <c r="D78" s="9">
        <v>3252.5017667844522</v>
      </c>
      <c r="E78" s="9">
        <f t="shared" si="3"/>
        <v>-1894.288487</v>
      </c>
      <c r="F78" s="9">
        <f t="shared" si="4"/>
        <v>0.6319476035</v>
      </c>
      <c r="G78" s="11">
        <f t="shared" si="5"/>
        <v>5146.790254</v>
      </c>
      <c r="H78" s="11">
        <f t="shared" si="6"/>
        <v>9717140</v>
      </c>
      <c r="I78" s="12" t="str">
        <f t="shared" si="7"/>
        <v>F</v>
      </c>
      <c r="J78" s="11">
        <f t="shared" si="8"/>
        <v>8698.07553</v>
      </c>
      <c r="K78" s="12" t="str">
        <f t="shared" si="9"/>
        <v>F1</v>
      </c>
    </row>
    <row r="79">
      <c r="A79" s="8" t="s">
        <v>368</v>
      </c>
      <c r="B79" s="9">
        <v>2152.0</v>
      </c>
      <c r="C79" s="9">
        <v>4985.861988847583</v>
      </c>
      <c r="D79" s="9">
        <v>5150.24703087886</v>
      </c>
      <c r="E79" s="9">
        <f t="shared" si="3"/>
        <v>164.385042</v>
      </c>
      <c r="F79" s="9">
        <f t="shared" si="4"/>
        <v>1.032970235</v>
      </c>
      <c r="G79" s="11">
        <f t="shared" si="5"/>
        <v>5150.247031</v>
      </c>
      <c r="H79" s="11">
        <f t="shared" si="6"/>
        <v>11083331.61</v>
      </c>
      <c r="I79" s="12" t="str">
        <f t="shared" si="7"/>
        <v>F</v>
      </c>
      <c r="J79" s="11">
        <f t="shared" si="8"/>
        <v>8703.917482</v>
      </c>
      <c r="K79" s="12" t="str">
        <f t="shared" si="9"/>
        <v>F1</v>
      </c>
    </row>
    <row r="80">
      <c r="A80" s="8" t="s">
        <v>324</v>
      </c>
      <c r="B80" s="9">
        <v>67.0</v>
      </c>
      <c r="C80" s="9">
        <v>5160.0</v>
      </c>
      <c r="D80" s="9">
        <v>5160.0</v>
      </c>
      <c r="E80" s="9">
        <f t="shared" si="3"/>
        <v>0</v>
      </c>
      <c r="F80" s="9">
        <f t="shared" si="4"/>
        <v>1</v>
      </c>
      <c r="G80" s="11">
        <f t="shared" si="5"/>
        <v>5160</v>
      </c>
      <c r="H80" s="11">
        <f t="shared" si="6"/>
        <v>345720</v>
      </c>
      <c r="I80" s="12" t="str">
        <f t="shared" si="7"/>
        <v>F</v>
      </c>
      <c r="J80" s="11">
        <f t="shared" si="8"/>
        <v>8720.4</v>
      </c>
      <c r="K80" s="12" t="str">
        <f t="shared" si="9"/>
        <v>F1</v>
      </c>
    </row>
    <row r="81">
      <c r="A81" s="8" t="s">
        <v>218</v>
      </c>
      <c r="B81" s="9">
        <v>3211.0</v>
      </c>
      <c r="C81" s="9">
        <v>5216.069760199315</v>
      </c>
      <c r="D81" s="10">
        <v>5200.0</v>
      </c>
      <c r="E81" s="9">
        <f t="shared" si="3"/>
        <v>-16.0697602</v>
      </c>
      <c r="F81" s="9">
        <f t="shared" si="4"/>
        <v>0.9969191823</v>
      </c>
      <c r="G81" s="11">
        <f t="shared" si="5"/>
        <v>5216.06976</v>
      </c>
      <c r="H81" s="11">
        <f t="shared" si="6"/>
        <v>16748800</v>
      </c>
      <c r="I81" s="12" t="str">
        <f t="shared" si="7"/>
        <v>F</v>
      </c>
      <c r="J81" s="11">
        <f t="shared" si="8"/>
        <v>8815.157895</v>
      </c>
      <c r="K81" s="12" t="str">
        <f t="shared" si="9"/>
        <v>F1</v>
      </c>
    </row>
    <row r="82">
      <c r="A82" s="8" t="s">
        <v>371</v>
      </c>
      <c r="B82" s="9">
        <v>5017.0</v>
      </c>
      <c r="C82" s="9">
        <v>5232.10763404425</v>
      </c>
      <c r="D82" s="9">
        <v>3066.315437643618</v>
      </c>
      <c r="E82" s="9">
        <f t="shared" si="3"/>
        <v>-2165.792196</v>
      </c>
      <c r="F82" s="9">
        <f t="shared" si="4"/>
        <v>0.5860574079</v>
      </c>
      <c r="G82" s="11">
        <f t="shared" si="5"/>
        <v>5232.107634</v>
      </c>
      <c r="H82" s="11">
        <f t="shared" si="6"/>
        <v>26249484</v>
      </c>
      <c r="I82" s="12" t="str">
        <f t="shared" si="7"/>
        <v>F</v>
      </c>
      <c r="J82" s="11">
        <f t="shared" si="8"/>
        <v>8842.261902</v>
      </c>
      <c r="K82" s="12" t="str">
        <f t="shared" si="9"/>
        <v>F1</v>
      </c>
    </row>
    <row r="83">
      <c r="A83" s="8" t="s">
        <v>270</v>
      </c>
      <c r="B83" s="9">
        <v>6634.0</v>
      </c>
      <c r="C83" s="9">
        <v>5249.088031353633</v>
      </c>
      <c r="D83" s="9">
        <v>5066.725521669342</v>
      </c>
      <c r="E83" s="9">
        <f t="shared" si="3"/>
        <v>-182.3625097</v>
      </c>
      <c r="F83" s="9">
        <f t="shared" si="4"/>
        <v>0.9652582489</v>
      </c>
      <c r="G83" s="11">
        <f t="shared" si="5"/>
        <v>5249.088031</v>
      </c>
      <c r="H83" s="11">
        <f t="shared" si="6"/>
        <v>34822450</v>
      </c>
      <c r="I83" s="12" t="str">
        <f t="shared" si="7"/>
        <v>F</v>
      </c>
      <c r="J83" s="11">
        <f t="shared" si="8"/>
        <v>8870.958773</v>
      </c>
      <c r="K83" s="12" t="str">
        <f t="shared" si="9"/>
        <v>F1</v>
      </c>
    </row>
    <row r="84">
      <c r="A84" s="8" t="s">
        <v>295</v>
      </c>
      <c r="B84" s="9">
        <v>5013.0</v>
      </c>
      <c r="C84" s="9">
        <v>5276.610013963695</v>
      </c>
      <c r="D84" s="9">
        <v>3736.5404079524915</v>
      </c>
      <c r="E84" s="9">
        <f t="shared" si="3"/>
        <v>-1540.069606</v>
      </c>
      <c r="F84" s="9">
        <f t="shared" si="4"/>
        <v>0.7081327591</v>
      </c>
      <c r="G84" s="11">
        <f t="shared" si="5"/>
        <v>5276.610014</v>
      </c>
      <c r="H84" s="11">
        <f t="shared" si="6"/>
        <v>26451646</v>
      </c>
      <c r="I84" s="12" t="str">
        <f t="shared" si="7"/>
        <v>F</v>
      </c>
      <c r="J84" s="11">
        <f t="shared" si="8"/>
        <v>8917.470924</v>
      </c>
      <c r="K84" s="12" t="str">
        <f t="shared" si="9"/>
        <v>F1</v>
      </c>
    </row>
    <row r="85">
      <c r="A85" s="8" t="s">
        <v>453</v>
      </c>
      <c r="B85" s="9">
        <v>2053.0</v>
      </c>
      <c r="C85" s="10">
        <v>5277.0</v>
      </c>
      <c r="D85" s="9">
        <v>5277.305009511731</v>
      </c>
      <c r="E85" s="9">
        <f t="shared" si="3"/>
        <v>0.3050095117</v>
      </c>
      <c r="F85" s="9">
        <f t="shared" si="4"/>
        <v>1.0000578</v>
      </c>
      <c r="G85" s="11">
        <f t="shared" si="5"/>
        <v>5277.30501</v>
      </c>
      <c r="H85" s="11">
        <f t="shared" si="6"/>
        <v>10834307.18</v>
      </c>
      <c r="I85" s="12" t="str">
        <f t="shared" si="7"/>
        <v>F</v>
      </c>
      <c r="J85" s="11">
        <f t="shared" si="8"/>
        <v>8918.645466</v>
      </c>
      <c r="K85" s="12" t="str">
        <f t="shared" si="9"/>
        <v>F1</v>
      </c>
    </row>
    <row r="86">
      <c r="A86" s="8" t="s">
        <v>30</v>
      </c>
      <c r="B86" s="9">
        <v>5544.0</v>
      </c>
      <c r="C86" s="9">
        <v>5298.701298701299</v>
      </c>
      <c r="D86" s="9">
        <v>5298.701298701299</v>
      </c>
      <c r="E86" s="9">
        <f t="shared" si="3"/>
        <v>0</v>
      </c>
      <c r="F86" s="9">
        <f t="shared" si="4"/>
        <v>1</v>
      </c>
      <c r="G86" s="11">
        <f t="shared" si="5"/>
        <v>5298.701299</v>
      </c>
      <c r="H86" s="11">
        <f t="shared" si="6"/>
        <v>29376000</v>
      </c>
      <c r="I86" s="12" t="str">
        <f t="shared" si="7"/>
        <v>F</v>
      </c>
      <c r="J86" s="11">
        <f t="shared" si="8"/>
        <v>8954.805195</v>
      </c>
      <c r="K86" s="12" t="str">
        <f t="shared" si="9"/>
        <v>F1</v>
      </c>
    </row>
    <row r="87">
      <c r="A87" s="8" t="s">
        <v>241</v>
      </c>
      <c r="B87" s="9">
        <v>9739.0</v>
      </c>
      <c r="C87" s="9">
        <v>4560.371906766609</v>
      </c>
      <c r="D87" s="9">
        <v>5334.713290857905</v>
      </c>
      <c r="E87" s="9">
        <f t="shared" si="3"/>
        <v>774.3413841</v>
      </c>
      <c r="F87" s="9">
        <f t="shared" si="4"/>
        <v>1.169797859</v>
      </c>
      <c r="G87" s="11">
        <f t="shared" si="5"/>
        <v>5334.713291</v>
      </c>
      <c r="H87" s="11">
        <f t="shared" si="6"/>
        <v>51954772.74</v>
      </c>
      <c r="I87" s="12" t="str">
        <f t="shared" si="7"/>
        <v>F</v>
      </c>
      <c r="J87" s="11">
        <f t="shared" si="8"/>
        <v>9015.665462</v>
      </c>
      <c r="K87" s="12" t="str">
        <f t="shared" si="9"/>
        <v>F1</v>
      </c>
    </row>
    <row r="88">
      <c r="A88" s="54" t="s">
        <v>431</v>
      </c>
      <c r="B88" s="55">
        <v>2298.0</v>
      </c>
      <c r="C88" s="55">
        <v>5347.288946910357</v>
      </c>
      <c r="D88" s="55">
        <v>4827.166427546628</v>
      </c>
      <c r="E88" s="55">
        <f t="shared" si="3"/>
        <v>-520.1225194</v>
      </c>
      <c r="F88" s="55">
        <f t="shared" si="4"/>
        <v>0.9027315478</v>
      </c>
      <c r="G88" s="56">
        <f t="shared" si="5"/>
        <v>5347.288947</v>
      </c>
      <c r="H88" s="56">
        <f t="shared" si="6"/>
        <v>12288070</v>
      </c>
      <c r="I88" s="57" t="str">
        <f t="shared" si="7"/>
        <v>F</v>
      </c>
      <c r="J88" s="56">
        <f t="shared" si="8"/>
        <v>9036.91832</v>
      </c>
      <c r="K88" s="57" t="str">
        <f t="shared" si="9"/>
        <v>F1</v>
      </c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</row>
    <row r="89">
      <c r="A89" s="8" t="s">
        <v>296</v>
      </c>
      <c r="B89" s="9">
        <v>4197.0</v>
      </c>
      <c r="C89" s="9">
        <v>5412.582797236121</v>
      </c>
      <c r="D89" s="9">
        <v>1287.7598926894707</v>
      </c>
      <c r="E89" s="9">
        <f t="shared" si="3"/>
        <v>-4124.822905</v>
      </c>
      <c r="F89" s="9">
        <f t="shared" si="4"/>
        <v>0.2379196663</v>
      </c>
      <c r="G89" s="11">
        <f t="shared" si="5"/>
        <v>5412.582797</v>
      </c>
      <c r="H89" s="11">
        <f t="shared" si="6"/>
        <v>22716610</v>
      </c>
      <c r="I89" s="12" t="str">
        <f t="shared" si="7"/>
        <v>F</v>
      </c>
      <c r="J89" s="11">
        <f t="shared" si="8"/>
        <v>9147.264927</v>
      </c>
      <c r="K89" s="12" t="str">
        <f t="shared" si="9"/>
        <v>F1</v>
      </c>
    </row>
    <row r="90">
      <c r="A90" s="8" t="s">
        <v>427</v>
      </c>
      <c r="B90" s="9">
        <v>51038.0</v>
      </c>
      <c r="C90" s="9">
        <v>4676.703730553705</v>
      </c>
      <c r="D90" s="9">
        <v>5418.4658771494705</v>
      </c>
      <c r="E90" s="9">
        <f t="shared" si="3"/>
        <v>741.7621466</v>
      </c>
      <c r="F90" s="9">
        <f t="shared" si="4"/>
        <v>1.158607898</v>
      </c>
      <c r="G90" s="11">
        <f t="shared" si="5"/>
        <v>5418.465877</v>
      </c>
      <c r="H90" s="11">
        <f t="shared" si="6"/>
        <v>276547661.4</v>
      </c>
      <c r="I90" s="12" t="str">
        <f t="shared" si="7"/>
        <v>F</v>
      </c>
      <c r="J90" s="11">
        <f t="shared" si="8"/>
        <v>9157.207332</v>
      </c>
      <c r="K90" s="12" t="str">
        <f t="shared" si="9"/>
        <v>F1</v>
      </c>
    </row>
    <row r="91">
      <c r="A91" s="8" t="s">
        <v>339</v>
      </c>
      <c r="B91" s="9">
        <v>113.0</v>
      </c>
      <c r="C91" s="9">
        <v>5425.75</v>
      </c>
      <c r="D91" s="9">
        <v>5425.75</v>
      </c>
      <c r="E91" s="9">
        <f t="shared" si="3"/>
        <v>0</v>
      </c>
      <c r="F91" s="9">
        <f t="shared" si="4"/>
        <v>1</v>
      </c>
      <c r="G91" s="11">
        <f t="shared" si="5"/>
        <v>5425.75</v>
      </c>
      <c r="H91" s="11">
        <f t="shared" si="6"/>
        <v>613109.75</v>
      </c>
      <c r="I91" s="12" t="str">
        <f t="shared" si="7"/>
        <v>F</v>
      </c>
      <c r="J91" s="11">
        <f t="shared" si="8"/>
        <v>9169.5175</v>
      </c>
      <c r="K91" s="12" t="str">
        <f t="shared" si="9"/>
        <v>F1</v>
      </c>
    </row>
    <row r="92">
      <c r="A92" s="8" t="s">
        <v>222</v>
      </c>
      <c r="B92" s="9">
        <v>1721.0</v>
      </c>
      <c r="C92" s="9">
        <v>5389.871586287042</v>
      </c>
      <c r="D92" s="9">
        <v>5427.567778936392</v>
      </c>
      <c r="E92" s="9">
        <f t="shared" si="3"/>
        <v>37.69619265</v>
      </c>
      <c r="F92" s="9">
        <f t="shared" si="4"/>
        <v>1.006993894</v>
      </c>
      <c r="G92" s="11">
        <f t="shared" si="5"/>
        <v>5427.567779</v>
      </c>
      <c r="H92" s="11">
        <f t="shared" si="6"/>
        <v>9340844.148</v>
      </c>
      <c r="I92" s="12" t="str">
        <f t="shared" si="7"/>
        <v>F</v>
      </c>
      <c r="J92" s="11">
        <f t="shared" si="8"/>
        <v>9172.589546</v>
      </c>
      <c r="K92" s="12" t="str">
        <f t="shared" si="9"/>
        <v>F1</v>
      </c>
    </row>
    <row r="93">
      <c r="A93" s="8" t="s">
        <v>269</v>
      </c>
      <c r="B93" s="9">
        <v>6679.0</v>
      </c>
      <c r="C93" s="9">
        <v>5432.895643060338</v>
      </c>
      <c r="D93" s="9">
        <v>3785.5093780848965</v>
      </c>
      <c r="E93" s="9">
        <f t="shared" si="3"/>
        <v>-1647.386265</v>
      </c>
      <c r="F93" s="9">
        <f t="shared" si="4"/>
        <v>0.6967756472</v>
      </c>
      <c r="G93" s="11">
        <f t="shared" si="5"/>
        <v>5432.895643</v>
      </c>
      <c r="H93" s="11">
        <f t="shared" si="6"/>
        <v>36286310</v>
      </c>
      <c r="I93" s="12" t="str">
        <f t="shared" si="7"/>
        <v>F</v>
      </c>
      <c r="J93" s="11">
        <f t="shared" si="8"/>
        <v>9181.593637</v>
      </c>
      <c r="K93" s="12" t="str">
        <f t="shared" si="9"/>
        <v>F1</v>
      </c>
    </row>
    <row r="94">
      <c r="A94" s="8" t="s">
        <v>358</v>
      </c>
      <c r="B94" s="9">
        <v>654.0</v>
      </c>
      <c r="C94" s="9">
        <v>5474.807350326023</v>
      </c>
      <c r="D94" s="9">
        <v>5474.807350326023</v>
      </c>
      <c r="E94" s="9">
        <f t="shared" si="3"/>
        <v>0</v>
      </c>
      <c r="F94" s="9">
        <f t="shared" si="4"/>
        <v>1</v>
      </c>
      <c r="G94" s="11">
        <f t="shared" si="5"/>
        <v>5474.80735</v>
      </c>
      <c r="H94" s="11">
        <f t="shared" si="6"/>
        <v>3580524.007</v>
      </c>
      <c r="I94" s="12" t="str">
        <f t="shared" si="7"/>
        <v>F</v>
      </c>
      <c r="J94" s="11">
        <f t="shared" si="8"/>
        <v>9252.424422</v>
      </c>
      <c r="K94" s="12" t="str">
        <f t="shared" si="9"/>
        <v>F1</v>
      </c>
    </row>
    <row r="95">
      <c r="A95" s="8" t="s">
        <v>264</v>
      </c>
      <c r="B95" s="9">
        <v>27572.0</v>
      </c>
      <c r="C95" s="9">
        <v>5511.578050195851</v>
      </c>
      <c r="D95" s="9">
        <v>4748.287495130503</v>
      </c>
      <c r="E95" s="9">
        <f t="shared" si="3"/>
        <v>-763.2905551</v>
      </c>
      <c r="F95" s="9">
        <f t="shared" si="4"/>
        <v>0.8615114314</v>
      </c>
      <c r="G95" s="11">
        <f t="shared" si="5"/>
        <v>5511.57805</v>
      </c>
      <c r="H95" s="11">
        <f t="shared" si="6"/>
        <v>151965230</v>
      </c>
      <c r="I95" s="12" t="str">
        <f t="shared" si="7"/>
        <v>F</v>
      </c>
      <c r="J95" s="11">
        <f t="shared" si="8"/>
        <v>9314.566905</v>
      </c>
      <c r="K95" s="12" t="str">
        <f t="shared" si="9"/>
        <v>F1</v>
      </c>
    </row>
    <row r="96">
      <c r="A96" s="8" t="s">
        <v>364</v>
      </c>
      <c r="B96" s="9">
        <v>14817.0</v>
      </c>
      <c r="C96" s="9">
        <v>5535.514544104744</v>
      </c>
      <c r="D96" s="9">
        <v>4914.306216592224</v>
      </c>
      <c r="E96" s="9">
        <f t="shared" si="3"/>
        <v>-621.2083275</v>
      </c>
      <c r="F96" s="9">
        <f t="shared" si="4"/>
        <v>0.8877776722</v>
      </c>
      <c r="G96" s="11">
        <f t="shared" si="5"/>
        <v>5535.514544</v>
      </c>
      <c r="H96" s="11">
        <f t="shared" si="6"/>
        <v>82019719</v>
      </c>
      <c r="I96" s="12" t="str">
        <f t="shared" si="7"/>
        <v>F</v>
      </c>
      <c r="J96" s="11">
        <f t="shared" si="8"/>
        <v>9355.01958</v>
      </c>
      <c r="K96" s="12" t="str">
        <f t="shared" si="9"/>
        <v>F1</v>
      </c>
    </row>
    <row r="97">
      <c r="A97" s="8" t="s">
        <v>221</v>
      </c>
      <c r="B97" s="9">
        <v>8220.0</v>
      </c>
      <c r="C97" s="9">
        <v>5690.508515815085</v>
      </c>
      <c r="D97" s="9">
        <v>3520.0886985006928</v>
      </c>
      <c r="E97" s="9">
        <f t="shared" si="3"/>
        <v>-2170.419817</v>
      </c>
      <c r="F97" s="9">
        <f t="shared" si="4"/>
        <v>0.6185894791</v>
      </c>
      <c r="G97" s="11">
        <f t="shared" si="5"/>
        <v>5690.508516</v>
      </c>
      <c r="H97" s="11">
        <f t="shared" si="6"/>
        <v>46775980</v>
      </c>
      <c r="I97" s="12" t="str">
        <f t="shared" si="7"/>
        <v>F</v>
      </c>
      <c r="J97" s="11">
        <f t="shared" si="8"/>
        <v>9616.959392</v>
      </c>
      <c r="K97" s="12" t="str">
        <f t="shared" si="9"/>
        <v>F1</v>
      </c>
    </row>
    <row r="98">
      <c r="A98" s="8" t="s">
        <v>344</v>
      </c>
      <c r="B98" s="9">
        <v>2788.0</v>
      </c>
      <c r="C98" s="9">
        <v>5706.151362984218</v>
      </c>
      <c r="D98" s="9">
        <v>5116.238583410997</v>
      </c>
      <c r="E98" s="9">
        <f t="shared" si="3"/>
        <v>-589.9127796</v>
      </c>
      <c r="F98" s="9">
        <f t="shared" si="4"/>
        <v>0.8966180983</v>
      </c>
      <c r="G98" s="11">
        <f t="shared" si="5"/>
        <v>5706.151363</v>
      </c>
      <c r="H98" s="11">
        <f t="shared" si="6"/>
        <v>15908750</v>
      </c>
      <c r="I98" s="12" t="str">
        <f t="shared" si="7"/>
        <v>F</v>
      </c>
      <c r="J98" s="11">
        <f t="shared" si="8"/>
        <v>9643.395803</v>
      </c>
      <c r="K98" s="12" t="str">
        <f t="shared" si="9"/>
        <v>F1</v>
      </c>
    </row>
    <row r="99">
      <c r="A99" s="8" t="s">
        <v>122</v>
      </c>
      <c r="B99" s="9">
        <v>4820.0</v>
      </c>
      <c r="C99" s="9">
        <v>5728.630705394191</v>
      </c>
      <c r="D99" s="9">
        <v>3392.8051001821495</v>
      </c>
      <c r="E99" s="9">
        <f t="shared" si="3"/>
        <v>-2335.825605</v>
      </c>
      <c r="F99" s="9">
        <f t="shared" si="4"/>
        <v>0.5922541135</v>
      </c>
      <c r="G99" s="11">
        <f t="shared" si="5"/>
        <v>5728.630705</v>
      </c>
      <c r="H99" s="11">
        <f t="shared" si="6"/>
        <v>27612000</v>
      </c>
      <c r="I99" s="12" t="str">
        <f t="shared" si="7"/>
        <v>F</v>
      </c>
      <c r="J99" s="11">
        <f t="shared" si="8"/>
        <v>9681.385892</v>
      </c>
      <c r="K99" s="12" t="str">
        <f t="shared" si="9"/>
        <v>F1</v>
      </c>
    </row>
    <row r="100">
      <c r="A100" s="8" t="s">
        <v>383</v>
      </c>
      <c r="B100" s="9">
        <v>595.0</v>
      </c>
      <c r="C100" s="10">
        <v>5770.0</v>
      </c>
      <c r="D100" s="10">
        <v>5770.0</v>
      </c>
      <c r="E100" s="9">
        <f t="shared" si="3"/>
        <v>0</v>
      </c>
      <c r="F100" s="9">
        <f t="shared" si="4"/>
        <v>1</v>
      </c>
      <c r="G100" s="11">
        <f t="shared" si="5"/>
        <v>5770</v>
      </c>
      <c r="H100" s="11">
        <f t="shared" si="6"/>
        <v>3433150</v>
      </c>
      <c r="I100" s="12" t="str">
        <f t="shared" si="7"/>
        <v>F</v>
      </c>
      <c r="J100" s="11">
        <f t="shared" si="8"/>
        <v>9751.3</v>
      </c>
      <c r="K100" s="12" t="str">
        <f t="shared" si="9"/>
        <v>F1</v>
      </c>
    </row>
    <row r="101">
      <c r="A101" s="8" t="s">
        <v>48</v>
      </c>
      <c r="B101" s="9">
        <v>131.0</v>
      </c>
      <c r="C101" s="9">
        <v>5809.923664122138</v>
      </c>
      <c r="D101" s="9">
        <v>5809.923664122138</v>
      </c>
      <c r="E101" s="9">
        <f t="shared" si="3"/>
        <v>0</v>
      </c>
      <c r="F101" s="9">
        <f t="shared" si="4"/>
        <v>1</v>
      </c>
      <c r="G101" s="11">
        <f t="shared" si="5"/>
        <v>5809.923664</v>
      </c>
      <c r="H101" s="11">
        <f t="shared" si="6"/>
        <v>761100</v>
      </c>
      <c r="I101" s="12" t="str">
        <f t="shared" si="7"/>
        <v>F</v>
      </c>
      <c r="J101" s="11">
        <f t="shared" si="8"/>
        <v>9818.770992</v>
      </c>
      <c r="K101" s="12" t="str">
        <f t="shared" si="9"/>
        <v>F1</v>
      </c>
    </row>
    <row r="102">
      <c r="A102" s="8" t="s">
        <v>451</v>
      </c>
      <c r="B102" s="9">
        <v>17233.0</v>
      </c>
      <c r="C102" s="9">
        <v>5831.674693901236</v>
      </c>
      <c r="D102" s="9">
        <v>4873.872312734985</v>
      </c>
      <c r="E102" s="9">
        <f t="shared" si="3"/>
        <v>-957.8023812</v>
      </c>
      <c r="F102" s="9">
        <f t="shared" si="4"/>
        <v>0.835758606</v>
      </c>
      <c r="G102" s="11">
        <f t="shared" si="5"/>
        <v>5831.674694</v>
      </c>
      <c r="H102" s="11">
        <f t="shared" si="6"/>
        <v>100497250</v>
      </c>
      <c r="I102" s="12" t="str">
        <f t="shared" si="7"/>
        <v>F</v>
      </c>
      <c r="J102" s="11">
        <f t="shared" si="8"/>
        <v>9855.530233</v>
      </c>
      <c r="K102" s="12" t="str">
        <f t="shared" si="9"/>
        <v>F1</v>
      </c>
    </row>
    <row r="103">
      <c r="A103" s="8" t="s">
        <v>225</v>
      </c>
      <c r="B103" s="9">
        <v>11088.0</v>
      </c>
      <c r="C103" s="9">
        <v>5219.761904761905</v>
      </c>
      <c r="D103" s="9">
        <v>5931.722830665543</v>
      </c>
      <c r="E103" s="9">
        <f t="shared" si="3"/>
        <v>711.9609259</v>
      </c>
      <c r="F103" s="9">
        <f t="shared" si="4"/>
        <v>1.136397203</v>
      </c>
      <c r="G103" s="11">
        <f t="shared" si="5"/>
        <v>5931.722831</v>
      </c>
      <c r="H103" s="11">
        <f t="shared" si="6"/>
        <v>65770942.75</v>
      </c>
      <c r="I103" s="12" t="str">
        <f t="shared" si="7"/>
        <v>F</v>
      </c>
      <c r="J103" s="11">
        <f t="shared" si="8"/>
        <v>10024.61158</v>
      </c>
      <c r="K103" s="12" t="str">
        <f t="shared" si="9"/>
        <v>F1</v>
      </c>
    </row>
    <row r="104">
      <c r="A104" s="8" t="s">
        <v>160</v>
      </c>
      <c r="B104" s="9">
        <v>171.0</v>
      </c>
      <c r="C104" s="9">
        <v>1056.140350877193</v>
      </c>
      <c r="D104" s="9">
        <v>5935.582822085889</v>
      </c>
      <c r="E104" s="9">
        <f t="shared" si="3"/>
        <v>4879.442471</v>
      </c>
      <c r="F104" s="9">
        <f t="shared" si="4"/>
        <v>5.620070114</v>
      </c>
      <c r="G104" s="11">
        <f t="shared" si="5"/>
        <v>5935.582822</v>
      </c>
      <c r="H104" s="11">
        <f t="shared" si="6"/>
        <v>1014984.663</v>
      </c>
      <c r="I104" s="12" t="str">
        <f t="shared" si="7"/>
        <v>F</v>
      </c>
      <c r="J104" s="11">
        <f t="shared" si="8"/>
        <v>10031.13497</v>
      </c>
      <c r="K104" s="12" t="str">
        <f t="shared" si="9"/>
        <v>F1</v>
      </c>
    </row>
    <row r="105">
      <c r="A105" s="8" t="s">
        <v>430</v>
      </c>
      <c r="B105" s="9">
        <v>21652.0</v>
      </c>
      <c r="C105" s="9">
        <v>4544.754064289673</v>
      </c>
      <c r="D105" s="9">
        <v>5936.878012995179</v>
      </c>
      <c r="E105" s="9">
        <f t="shared" si="3"/>
        <v>1392.123949</v>
      </c>
      <c r="F105" s="9">
        <f t="shared" si="4"/>
        <v>1.306314474</v>
      </c>
      <c r="G105" s="11">
        <f t="shared" si="5"/>
        <v>5936.878013</v>
      </c>
      <c r="H105" s="11">
        <f t="shared" si="6"/>
        <v>128545282.7</v>
      </c>
      <c r="I105" s="12" t="str">
        <f t="shared" si="7"/>
        <v>F</v>
      </c>
      <c r="J105" s="11">
        <f t="shared" si="8"/>
        <v>10033.32384</v>
      </c>
      <c r="K105" s="12" t="str">
        <f t="shared" si="9"/>
        <v>F1</v>
      </c>
    </row>
    <row r="106">
      <c r="A106" s="8" t="s">
        <v>412</v>
      </c>
      <c r="B106" s="9">
        <v>5345.0</v>
      </c>
      <c r="C106" s="9">
        <v>2980.716557530402</v>
      </c>
      <c r="D106" s="9">
        <v>5952.526831785346</v>
      </c>
      <c r="E106" s="9">
        <f t="shared" si="3"/>
        <v>2971.810274</v>
      </c>
      <c r="F106" s="9">
        <f t="shared" si="4"/>
        <v>1.997012033</v>
      </c>
      <c r="G106" s="11">
        <f t="shared" si="5"/>
        <v>5952.526832</v>
      </c>
      <c r="H106" s="11">
        <f t="shared" si="6"/>
        <v>31816255.92</v>
      </c>
      <c r="I106" s="12" t="str">
        <f t="shared" si="7"/>
        <v>F</v>
      </c>
      <c r="J106" s="11">
        <f t="shared" si="8"/>
        <v>10059.77035</v>
      </c>
      <c r="K106" s="12" t="str">
        <f t="shared" si="9"/>
        <v>F1</v>
      </c>
    </row>
    <row r="107">
      <c r="A107" s="8" t="s">
        <v>237</v>
      </c>
      <c r="B107" s="9">
        <v>526.0</v>
      </c>
      <c r="C107" s="9">
        <v>1096.5779467680609</v>
      </c>
      <c r="D107" s="9">
        <v>5987.6543209876545</v>
      </c>
      <c r="E107" s="9">
        <f t="shared" si="3"/>
        <v>4891.076374</v>
      </c>
      <c r="F107" s="9">
        <f t="shared" si="4"/>
        <v>5.460308899</v>
      </c>
      <c r="G107" s="11">
        <f t="shared" si="5"/>
        <v>5987.654321</v>
      </c>
      <c r="H107" s="11">
        <f t="shared" si="6"/>
        <v>3149506.173</v>
      </c>
      <c r="I107" s="12" t="str">
        <f t="shared" si="7"/>
        <v>F</v>
      </c>
      <c r="J107" s="11">
        <f t="shared" si="8"/>
        <v>10119.1358</v>
      </c>
      <c r="K107" s="12" t="str">
        <f t="shared" si="9"/>
        <v>F1</v>
      </c>
    </row>
    <row r="108">
      <c r="A108" s="8" t="s">
        <v>367</v>
      </c>
      <c r="B108" s="9">
        <v>483.0</v>
      </c>
      <c r="C108" s="9">
        <v>6000.0</v>
      </c>
      <c r="D108" s="9">
        <v>3850.666161998486</v>
      </c>
      <c r="E108" s="9">
        <f t="shared" si="3"/>
        <v>-2149.333838</v>
      </c>
      <c r="F108" s="9">
        <f t="shared" si="4"/>
        <v>0.6417776937</v>
      </c>
      <c r="G108" s="11">
        <f t="shared" si="5"/>
        <v>6000</v>
      </c>
      <c r="H108" s="11">
        <f t="shared" si="6"/>
        <v>2898000</v>
      </c>
      <c r="I108" s="12" t="str">
        <f t="shared" si="7"/>
        <v>F</v>
      </c>
      <c r="J108" s="11">
        <f t="shared" si="8"/>
        <v>10140</v>
      </c>
      <c r="K108" s="12" t="str">
        <f t="shared" si="9"/>
        <v>F1</v>
      </c>
    </row>
    <row r="109">
      <c r="A109" s="8" t="s">
        <v>59</v>
      </c>
      <c r="B109" s="9">
        <v>303.0</v>
      </c>
      <c r="C109" s="9">
        <v>1316.9636963696369</v>
      </c>
      <c r="D109" s="9">
        <v>6000.0</v>
      </c>
      <c r="E109" s="9">
        <f t="shared" si="3"/>
        <v>4683.036304</v>
      </c>
      <c r="F109" s="9">
        <f t="shared" si="4"/>
        <v>4.555934242</v>
      </c>
      <c r="G109" s="11">
        <f t="shared" si="5"/>
        <v>6000</v>
      </c>
      <c r="H109" s="11">
        <f t="shared" si="6"/>
        <v>1818000</v>
      </c>
      <c r="I109" s="12" t="str">
        <f t="shared" si="7"/>
        <v>F</v>
      </c>
      <c r="J109" s="11">
        <f t="shared" si="8"/>
        <v>10140</v>
      </c>
      <c r="K109" s="12" t="str">
        <f t="shared" si="9"/>
        <v>F1</v>
      </c>
    </row>
    <row r="110">
      <c r="A110" s="8" t="s">
        <v>387</v>
      </c>
      <c r="B110" s="9">
        <v>414.0</v>
      </c>
      <c r="C110" s="9">
        <v>6000.0</v>
      </c>
      <c r="D110" s="9">
        <v>6000.0</v>
      </c>
      <c r="E110" s="9">
        <f t="shared" si="3"/>
        <v>0</v>
      </c>
      <c r="F110" s="9">
        <f t="shared" si="4"/>
        <v>1</v>
      </c>
      <c r="G110" s="11">
        <f t="shared" si="5"/>
        <v>6000</v>
      </c>
      <c r="H110" s="11">
        <f t="shared" si="6"/>
        <v>2484000</v>
      </c>
      <c r="I110" s="12" t="str">
        <f t="shared" si="7"/>
        <v>F</v>
      </c>
      <c r="J110" s="11">
        <f t="shared" si="8"/>
        <v>10140</v>
      </c>
      <c r="K110" s="12" t="str">
        <f t="shared" si="9"/>
        <v>F1</v>
      </c>
    </row>
    <row r="111">
      <c r="A111" s="8" t="s">
        <v>199</v>
      </c>
      <c r="B111" s="9">
        <v>1724.0</v>
      </c>
      <c r="C111" s="9">
        <v>3149.0719257540604</v>
      </c>
      <c r="D111" s="9">
        <v>6072.2816399286985</v>
      </c>
      <c r="E111" s="9">
        <f t="shared" si="3"/>
        <v>2923.209714</v>
      </c>
      <c r="F111" s="9">
        <f t="shared" si="4"/>
        <v>1.928276579</v>
      </c>
      <c r="G111" s="11">
        <f t="shared" si="5"/>
        <v>6072.28164</v>
      </c>
      <c r="H111" s="11">
        <f t="shared" si="6"/>
        <v>10468613.55</v>
      </c>
      <c r="I111" s="12" t="str">
        <f t="shared" si="7"/>
        <v>F</v>
      </c>
      <c r="J111" s="11">
        <f t="shared" si="8"/>
        <v>10262.15597</v>
      </c>
      <c r="K111" s="12" t="str">
        <f t="shared" si="9"/>
        <v>F1</v>
      </c>
    </row>
    <row r="112">
      <c r="A112" s="8" t="s">
        <v>366</v>
      </c>
      <c r="B112" s="9">
        <v>29044.0</v>
      </c>
      <c r="C112" s="9">
        <v>6073.5934099986225</v>
      </c>
      <c r="D112" s="9">
        <v>4078.348278122021</v>
      </c>
      <c r="E112" s="9">
        <f t="shared" si="3"/>
        <v>-1995.245132</v>
      </c>
      <c r="F112" s="9">
        <f t="shared" si="4"/>
        <v>0.6714885246</v>
      </c>
      <c r="G112" s="11">
        <f t="shared" si="5"/>
        <v>6073.59341</v>
      </c>
      <c r="H112" s="11">
        <f t="shared" si="6"/>
        <v>176401447</v>
      </c>
      <c r="I112" s="12" t="str">
        <f t="shared" si="7"/>
        <v>F</v>
      </c>
      <c r="J112" s="11">
        <f t="shared" si="8"/>
        <v>10264.37286</v>
      </c>
      <c r="K112" s="12" t="str">
        <f t="shared" si="9"/>
        <v>F1</v>
      </c>
    </row>
    <row r="113">
      <c r="A113" s="8" t="s">
        <v>285</v>
      </c>
      <c r="B113" s="9">
        <v>11795.0</v>
      </c>
      <c r="C113" s="9">
        <v>5810.065705807546</v>
      </c>
      <c r="D113" s="9">
        <v>6093.864009186352</v>
      </c>
      <c r="E113" s="9">
        <f t="shared" si="3"/>
        <v>283.7983034</v>
      </c>
      <c r="F113" s="9">
        <f t="shared" si="4"/>
        <v>1.048845971</v>
      </c>
      <c r="G113" s="11">
        <f t="shared" si="5"/>
        <v>6093.864009</v>
      </c>
      <c r="H113" s="11">
        <f t="shared" si="6"/>
        <v>71877125.99</v>
      </c>
      <c r="I113" s="12" t="str">
        <f t="shared" si="7"/>
        <v>F</v>
      </c>
      <c r="J113" s="11">
        <f t="shared" si="8"/>
        <v>10298.63018</v>
      </c>
      <c r="K113" s="12" t="str">
        <f t="shared" si="9"/>
        <v>F1</v>
      </c>
    </row>
    <row r="114">
      <c r="A114" s="8" t="s">
        <v>151</v>
      </c>
      <c r="B114" s="9">
        <v>7242.0</v>
      </c>
      <c r="C114" s="9">
        <v>5625.9003037834855</v>
      </c>
      <c r="D114" s="9">
        <v>6154.594022745306</v>
      </c>
      <c r="E114" s="9">
        <f t="shared" si="3"/>
        <v>528.693719</v>
      </c>
      <c r="F114" s="9">
        <f t="shared" si="4"/>
        <v>1.093974953</v>
      </c>
      <c r="G114" s="11">
        <f t="shared" si="5"/>
        <v>6154.594023</v>
      </c>
      <c r="H114" s="11">
        <f t="shared" si="6"/>
        <v>44571569.91</v>
      </c>
      <c r="I114" s="12" t="str">
        <f t="shared" si="7"/>
        <v>F</v>
      </c>
      <c r="J114" s="11">
        <f t="shared" si="8"/>
        <v>10401.2639</v>
      </c>
      <c r="K114" s="12" t="str">
        <f t="shared" si="9"/>
        <v>F1</v>
      </c>
    </row>
    <row r="115">
      <c r="A115" s="8" t="s">
        <v>227</v>
      </c>
      <c r="B115" s="9">
        <v>580.0</v>
      </c>
      <c r="C115" s="9">
        <v>4631.396551724138</v>
      </c>
      <c r="D115" s="9">
        <v>6174.513274336283</v>
      </c>
      <c r="E115" s="9">
        <f t="shared" si="3"/>
        <v>1543.116723</v>
      </c>
      <c r="F115" s="9">
        <f t="shared" si="4"/>
        <v>1.33318605</v>
      </c>
      <c r="G115" s="11">
        <f t="shared" si="5"/>
        <v>6174.513274</v>
      </c>
      <c r="H115" s="11">
        <f t="shared" si="6"/>
        <v>3581217.699</v>
      </c>
      <c r="I115" s="12" t="str">
        <f t="shared" si="7"/>
        <v>F</v>
      </c>
      <c r="J115" s="11">
        <f t="shared" si="8"/>
        <v>10434.92743</v>
      </c>
      <c r="K115" s="12" t="str">
        <f t="shared" si="9"/>
        <v>F1</v>
      </c>
    </row>
    <row r="116">
      <c r="A116" s="8" t="s">
        <v>91</v>
      </c>
      <c r="B116" s="9">
        <v>5749.0</v>
      </c>
      <c r="C116" s="9">
        <v>6282.831796834232</v>
      </c>
      <c r="D116" s="9">
        <v>5020.785509325681</v>
      </c>
      <c r="E116" s="9">
        <f t="shared" si="3"/>
        <v>-1262.046288</v>
      </c>
      <c r="F116" s="9">
        <f t="shared" si="4"/>
        <v>0.7991277933</v>
      </c>
      <c r="G116" s="11">
        <f t="shared" si="5"/>
        <v>6282.831797</v>
      </c>
      <c r="H116" s="11">
        <f t="shared" si="6"/>
        <v>36120000</v>
      </c>
      <c r="I116" s="12" t="str">
        <f t="shared" si="7"/>
        <v>F</v>
      </c>
      <c r="J116" s="11">
        <f t="shared" si="8"/>
        <v>10617.98574</v>
      </c>
      <c r="K116" s="12" t="str">
        <f t="shared" si="9"/>
        <v>F1</v>
      </c>
    </row>
    <row r="117">
      <c r="A117" s="8" t="s">
        <v>397</v>
      </c>
      <c r="B117" s="9">
        <v>56.0</v>
      </c>
      <c r="C117" s="9">
        <v>6300.0</v>
      </c>
      <c r="D117" s="9">
        <v>6300.0</v>
      </c>
      <c r="E117" s="9">
        <f t="shared" si="3"/>
        <v>0</v>
      </c>
      <c r="F117" s="9">
        <f t="shared" si="4"/>
        <v>1</v>
      </c>
      <c r="G117" s="11">
        <f t="shared" si="5"/>
        <v>6300</v>
      </c>
      <c r="H117" s="11">
        <f t="shared" si="6"/>
        <v>352800</v>
      </c>
      <c r="I117" s="12" t="str">
        <f t="shared" si="7"/>
        <v>F</v>
      </c>
      <c r="J117" s="11">
        <f t="shared" si="8"/>
        <v>10647</v>
      </c>
      <c r="K117" s="12" t="str">
        <f t="shared" si="9"/>
        <v>F1</v>
      </c>
    </row>
    <row r="118">
      <c r="A118" s="8" t="s">
        <v>156</v>
      </c>
      <c r="B118" s="9">
        <v>1521.0</v>
      </c>
      <c r="C118" s="9">
        <v>6355.029585798817</v>
      </c>
      <c r="D118" s="9">
        <v>6373.5015772870665</v>
      </c>
      <c r="E118" s="9">
        <f t="shared" si="3"/>
        <v>18.47199149</v>
      </c>
      <c r="F118" s="9">
        <f t="shared" si="4"/>
        <v>1.002906673</v>
      </c>
      <c r="G118" s="11">
        <f t="shared" si="5"/>
        <v>6373.501577</v>
      </c>
      <c r="H118" s="11">
        <f t="shared" si="6"/>
        <v>9694095.899</v>
      </c>
      <c r="I118" s="12" t="str">
        <f t="shared" si="7"/>
        <v>F</v>
      </c>
      <c r="J118" s="11">
        <f t="shared" si="8"/>
        <v>10771.21767</v>
      </c>
      <c r="K118" s="12" t="str">
        <f t="shared" si="9"/>
        <v>F1</v>
      </c>
    </row>
    <row r="119">
      <c r="A119" s="8" t="s">
        <v>219</v>
      </c>
      <c r="B119" s="9">
        <v>18077.0</v>
      </c>
      <c r="C119" s="9">
        <v>5627.247884051557</v>
      </c>
      <c r="D119" s="9">
        <v>6432.262342084043</v>
      </c>
      <c r="E119" s="9">
        <f t="shared" si="3"/>
        <v>805.014458</v>
      </c>
      <c r="F119" s="9">
        <f t="shared" si="4"/>
        <v>1.143056513</v>
      </c>
      <c r="G119" s="11">
        <f t="shared" si="5"/>
        <v>6432.262342</v>
      </c>
      <c r="H119" s="11">
        <f t="shared" si="6"/>
        <v>116276006.4</v>
      </c>
      <c r="I119" s="12" t="str">
        <f t="shared" si="7"/>
        <v>F</v>
      </c>
      <c r="J119" s="11">
        <f t="shared" si="8"/>
        <v>10870.52336</v>
      </c>
      <c r="K119" s="12" t="str">
        <f t="shared" si="9"/>
        <v>F1</v>
      </c>
    </row>
    <row r="120">
      <c r="A120" s="8" t="s">
        <v>428</v>
      </c>
      <c r="B120" s="9">
        <v>309.0</v>
      </c>
      <c r="C120" s="9">
        <v>5130.080906148867</v>
      </c>
      <c r="D120" s="9">
        <v>6445.636363636364</v>
      </c>
      <c r="E120" s="9">
        <f t="shared" si="3"/>
        <v>1315.555457</v>
      </c>
      <c r="F120" s="9">
        <f t="shared" si="4"/>
        <v>1.256439515</v>
      </c>
      <c r="G120" s="11">
        <f t="shared" si="5"/>
        <v>6445.636364</v>
      </c>
      <c r="H120" s="11">
        <f t="shared" si="6"/>
        <v>1991701.636</v>
      </c>
      <c r="I120" s="12" t="str">
        <f t="shared" si="7"/>
        <v>F</v>
      </c>
      <c r="J120" s="11">
        <f t="shared" si="8"/>
        <v>10893.12545</v>
      </c>
      <c r="K120" s="12" t="str">
        <f t="shared" si="9"/>
        <v>F1</v>
      </c>
    </row>
    <row r="121">
      <c r="A121" s="8" t="s">
        <v>82</v>
      </c>
      <c r="B121" s="9">
        <v>1797.0</v>
      </c>
      <c r="C121" s="9">
        <v>6449.805230940457</v>
      </c>
      <c r="D121" s="10">
        <v>6449.0</v>
      </c>
      <c r="E121" s="9">
        <f t="shared" si="3"/>
        <v>-0.8052309405</v>
      </c>
      <c r="F121" s="9">
        <f t="shared" si="4"/>
        <v>0.9998751542</v>
      </c>
      <c r="G121" s="11">
        <f t="shared" si="5"/>
        <v>6449.805231</v>
      </c>
      <c r="H121" s="11">
        <f t="shared" si="6"/>
        <v>11590300</v>
      </c>
      <c r="I121" s="12" t="str">
        <f t="shared" si="7"/>
        <v>F</v>
      </c>
      <c r="J121" s="11">
        <f t="shared" si="8"/>
        <v>10900.17084</v>
      </c>
      <c r="K121" s="12" t="str">
        <f t="shared" si="9"/>
        <v>F1</v>
      </c>
    </row>
    <row r="122">
      <c r="A122" s="8" t="s">
        <v>286</v>
      </c>
      <c r="B122" s="9">
        <v>240.0</v>
      </c>
      <c r="C122" s="9">
        <v>1352.0833333333333</v>
      </c>
      <c r="D122" s="9">
        <v>6450.0</v>
      </c>
      <c r="E122" s="9">
        <f t="shared" si="3"/>
        <v>5097.916667</v>
      </c>
      <c r="F122" s="9">
        <f t="shared" si="4"/>
        <v>4.770416025</v>
      </c>
      <c r="G122" s="11">
        <f t="shared" si="5"/>
        <v>6450</v>
      </c>
      <c r="H122" s="11">
        <f t="shared" si="6"/>
        <v>1548000</v>
      </c>
      <c r="I122" s="12" t="str">
        <f t="shared" si="7"/>
        <v>F</v>
      </c>
      <c r="J122" s="11">
        <f t="shared" si="8"/>
        <v>10900.5</v>
      </c>
      <c r="K122" s="12" t="str">
        <f t="shared" si="9"/>
        <v>F1</v>
      </c>
    </row>
    <row r="123">
      <c r="A123" s="8" t="s">
        <v>342</v>
      </c>
      <c r="B123" s="9">
        <v>8516.0</v>
      </c>
      <c r="C123" s="9">
        <v>5113.686002818225</v>
      </c>
      <c r="D123" s="9">
        <v>6455.055035128806</v>
      </c>
      <c r="E123" s="9">
        <f t="shared" si="3"/>
        <v>1341.369032</v>
      </c>
      <c r="F123" s="9">
        <f t="shared" si="4"/>
        <v>1.26230962</v>
      </c>
      <c r="G123" s="11">
        <f t="shared" si="5"/>
        <v>6455.055035</v>
      </c>
      <c r="H123" s="11">
        <f t="shared" si="6"/>
        <v>54971248.68</v>
      </c>
      <c r="I123" s="12" t="str">
        <f t="shared" si="7"/>
        <v>F</v>
      </c>
      <c r="J123" s="11">
        <f t="shared" si="8"/>
        <v>10909.04301</v>
      </c>
      <c r="K123" s="12" t="str">
        <f t="shared" si="9"/>
        <v>F1</v>
      </c>
    </row>
    <row r="124">
      <c r="A124" s="8" t="s">
        <v>405</v>
      </c>
      <c r="B124" s="9">
        <v>68.0</v>
      </c>
      <c r="C124" s="10">
        <v>6480.0</v>
      </c>
      <c r="D124" s="10">
        <v>6480.0</v>
      </c>
      <c r="E124" s="9">
        <f t="shared" si="3"/>
        <v>0</v>
      </c>
      <c r="F124" s="9">
        <f t="shared" si="4"/>
        <v>1</v>
      </c>
      <c r="G124" s="11">
        <f t="shared" si="5"/>
        <v>6480</v>
      </c>
      <c r="H124" s="11">
        <f t="shared" si="6"/>
        <v>440640</v>
      </c>
      <c r="I124" s="12" t="str">
        <f t="shared" si="7"/>
        <v>F</v>
      </c>
      <c r="J124" s="11">
        <f t="shared" si="8"/>
        <v>10951.2</v>
      </c>
      <c r="K124" s="12" t="str">
        <f t="shared" si="9"/>
        <v>F1</v>
      </c>
    </row>
    <row r="125">
      <c r="A125" s="8" t="s">
        <v>472</v>
      </c>
      <c r="B125" s="9">
        <v>180.0</v>
      </c>
      <c r="C125" s="9">
        <v>6499.333333333333</v>
      </c>
      <c r="D125" s="9">
        <v>6499.333333333333</v>
      </c>
      <c r="E125" s="9">
        <f t="shared" si="3"/>
        <v>0</v>
      </c>
      <c r="F125" s="9">
        <f t="shared" si="4"/>
        <v>1</v>
      </c>
      <c r="G125" s="11">
        <f t="shared" si="5"/>
        <v>6499.333333</v>
      </c>
      <c r="H125" s="11">
        <f t="shared" si="6"/>
        <v>1169880</v>
      </c>
      <c r="I125" s="13" t="str">
        <f t="shared" si="7"/>
        <v>F</v>
      </c>
      <c r="J125" s="11">
        <f t="shared" si="8"/>
        <v>10983.87333</v>
      </c>
      <c r="K125" s="13" t="str">
        <f t="shared" si="9"/>
        <v>F1</v>
      </c>
    </row>
    <row r="126">
      <c r="A126" s="8" t="s">
        <v>391</v>
      </c>
      <c r="B126" s="9">
        <v>5857.0</v>
      </c>
      <c r="C126" s="9">
        <v>3084.591087587502</v>
      </c>
      <c r="D126" s="9">
        <v>6524.29736744531</v>
      </c>
      <c r="E126" s="9">
        <f t="shared" si="3"/>
        <v>3439.70628</v>
      </c>
      <c r="F126" s="9">
        <f t="shared" si="4"/>
        <v>2.115125533</v>
      </c>
      <c r="G126" s="11">
        <f t="shared" si="5"/>
        <v>6524.297367</v>
      </c>
      <c r="H126" s="11">
        <f t="shared" si="6"/>
        <v>38212809.68</v>
      </c>
      <c r="I126" s="12" t="str">
        <f t="shared" si="7"/>
        <v>F</v>
      </c>
      <c r="J126" s="11">
        <f t="shared" si="8"/>
        <v>11026.06255</v>
      </c>
      <c r="K126" s="12" t="str">
        <f t="shared" si="9"/>
        <v>F1</v>
      </c>
    </row>
    <row r="127">
      <c r="A127" s="8" t="s">
        <v>257</v>
      </c>
      <c r="B127" s="9">
        <v>3903.0</v>
      </c>
      <c r="C127" s="9">
        <v>6646.169613118114</v>
      </c>
      <c r="D127" s="9">
        <v>2936.4634146341464</v>
      </c>
      <c r="E127" s="9">
        <f t="shared" si="3"/>
        <v>-3709.706198</v>
      </c>
      <c r="F127" s="9">
        <f t="shared" si="4"/>
        <v>0.4418279378</v>
      </c>
      <c r="G127" s="11">
        <f t="shared" si="5"/>
        <v>6646.169613</v>
      </c>
      <c r="H127" s="11">
        <f t="shared" si="6"/>
        <v>25940000</v>
      </c>
      <c r="I127" s="12" t="str">
        <f t="shared" si="7"/>
        <v>F</v>
      </c>
      <c r="J127" s="11">
        <f t="shared" si="8"/>
        <v>11232.02665</v>
      </c>
      <c r="K127" s="12" t="str">
        <f t="shared" si="9"/>
        <v>F1</v>
      </c>
    </row>
    <row r="128">
      <c r="A128" s="8" t="s">
        <v>390</v>
      </c>
      <c r="B128" s="9">
        <v>3198.0</v>
      </c>
      <c r="C128" s="9">
        <v>6670.916197623515</v>
      </c>
      <c r="D128" s="9">
        <v>4576.774436090225</v>
      </c>
      <c r="E128" s="9">
        <f t="shared" si="3"/>
        <v>-2094.141762</v>
      </c>
      <c r="F128" s="9">
        <f t="shared" si="4"/>
        <v>0.6860788384</v>
      </c>
      <c r="G128" s="11">
        <f t="shared" si="5"/>
        <v>6670.916198</v>
      </c>
      <c r="H128" s="11">
        <f t="shared" si="6"/>
        <v>21333590</v>
      </c>
      <c r="I128" s="12" t="str">
        <f t="shared" si="7"/>
        <v>F</v>
      </c>
      <c r="J128" s="11">
        <f t="shared" si="8"/>
        <v>11273.84837</v>
      </c>
      <c r="K128" s="12" t="str">
        <f t="shared" si="9"/>
        <v>F1</v>
      </c>
    </row>
    <row r="129">
      <c r="A129" s="8" t="s">
        <v>98</v>
      </c>
      <c r="B129" s="9">
        <v>68.0</v>
      </c>
      <c r="C129" s="10">
        <v>6710.0</v>
      </c>
      <c r="D129" s="10">
        <v>6710.0</v>
      </c>
      <c r="E129" s="9">
        <f t="shared" si="3"/>
        <v>0</v>
      </c>
      <c r="F129" s="9">
        <f t="shared" si="4"/>
        <v>1</v>
      </c>
      <c r="G129" s="11">
        <f t="shared" si="5"/>
        <v>6710</v>
      </c>
      <c r="H129" s="11">
        <f t="shared" si="6"/>
        <v>456280</v>
      </c>
      <c r="I129" s="12" t="str">
        <f t="shared" si="7"/>
        <v>F</v>
      </c>
      <c r="J129" s="11">
        <f t="shared" si="8"/>
        <v>11339.9</v>
      </c>
      <c r="K129" s="12" t="str">
        <f t="shared" si="9"/>
        <v>F1</v>
      </c>
    </row>
    <row r="130">
      <c r="A130" s="8" t="s">
        <v>184</v>
      </c>
      <c r="B130" s="9">
        <v>376.0</v>
      </c>
      <c r="C130" s="9">
        <v>6764.627659574468</v>
      </c>
      <c r="D130" s="9">
        <v>6000.0</v>
      </c>
      <c r="E130" s="9">
        <f t="shared" si="3"/>
        <v>-764.6276596</v>
      </c>
      <c r="F130" s="9">
        <f t="shared" si="4"/>
        <v>0.8869667781</v>
      </c>
      <c r="G130" s="11">
        <f t="shared" si="5"/>
        <v>6764.62766</v>
      </c>
      <c r="H130" s="11">
        <f t="shared" si="6"/>
        <v>2543500</v>
      </c>
      <c r="I130" s="12" t="str">
        <f t="shared" si="7"/>
        <v>F</v>
      </c>
      <c r="J130" s="11">
        <f t="shared" si="8"/>
        <v>11432.22074</v>
      </c>
      <c r="K130" s="12" t="str">
        <f t="shared" si="9"/>
        <v>F1</v>
      </c>
    </row>
    <row r="131">
      <c r="A131" s="8" t="s">
        <v>133</v>
      </c>
      <c r="B131" s="9">
        <v>6372.0</v>
      </c>
      <c r="C131" s="9">
        <v>6788.072818581293</v>
      </c>
      <c r="D131" s="9">
        <v>6542.2516175413375</v>
      </c>
      <c r="E131" s="9">
        <f t="shared" si="3"/>
        <v>-245.821201</v>
      </c>
      <c r="F131" s="9">
        <f t="shared" si="4"/>
        <v>0.9637863047</v>
      </c>
      <c r="G131" s="11">
        <f t="shared" si="5"/>
        <v>6788.072819</v>
      </c>
      <c r="H131" s="11">
        <f t="shared" si="6"/>
        <v>43253600</v>
      </c>
      <c r="I131" s="12" t="str">
        <f t="shared" si="7"/>
        <v>F</v>
      </c>
      <c r="J131" s="11">
        <f t="shared" si="8"/>
        <v>11471.84306</v>
      </c>
      <c r="K131" s="12" t="str">
        <f t="shared" si="9"/>
        <v>F1</v>
      </c>
    </row>
    <row r="132">
      <c r="A132" s="8" t="s">
        <v>380</v>
      </c>
      <c r="B132" s="9">
        <v>3293.0</v>
      </c>
      <c r="C132" s="9">
        <v>6904.0388703310055</v>
      </c>
      <c r="D132" s="9">
        <v>6526.930913721744</v>
      </c>
      <c r="E132" s="9">
        <f t="shared" si="3"/>
        <v>-377.1079566</v>
      </c>
      <c r="F132" s="9">
        <f t="shared" si="4"/>
        <v>0.9453786452</v>
      </c>
      <c r="G132" s="11">
        <f t="shared" si="5"/>
        <v>6904.03887</v>
      </c>
      <c r="H132" s="11">
        <f t="shared" si="6"/>
        <v>22735000</v>
      </c>
      <c r="I132" s="12" t="str">
        <f t="shared" si="7"/>
        <v>F</v>
      </c>
      <c r="J132" s="11">
        <f t="shared" si="8"/>
        <v>11667.82569</v>
      </c>
      <c r="K132" s="12" t="str">
        <f t="shared" si="9"/>
        <v>F1</v>
      </c>
    </row>
    <row r="133">
      <c r="A133" s="8" t="s">
        <v>137</v>
      </c>
      <c r="B133" s="9">
        <v>3055.0</v>
      </c>
      <c r="C133" s="9">
        <v>4622.6513911620295</v>
      </c>
      <c r="D133" s="9">
        <v>6917.894398972878</v>
      </c>
      <c r="E133" s="9">
        <f t="shared" si="3"/>
        <v>2295.243008</v>
      </c>
      <c r="F133" s="9">
        <f t="shared" si="4"/>
        <v>1.496520895</v>
      </c>
      <c r="G133" s="11">
        <f t="shared" si="5"/>
        <v>6917.894399</v>
      </c>
      <c r="H133" s="11">
        <f t="shared" si="6"/>
        <v>21134167.39</v>
      </c>
      <c r="I133" s="12" t="str">
        <f t="shared" si="7"/>
        <v>F</v>
      </c>
      <c r="J133" s="11">
        <f t="shared" si="8"/>
        <v>11691.24153</v>
      </c>
      <c r="K133" s="12" t="str">
        <f t="shared" si="9"/>
        <v>F1</v>
      </c>
    </row>
    <row r="134">
      <c r="A134" s="8" t="s">
        <v>461</v>
      </c>
      <c r="B134" s="9">
        <v>1621.0</v>
      </c>
      <c r="C134" s="9">
        <v>5076.70573719926</v>
      </c>
      <c r="D134" s="9">
        <v>6937.1601208459215</v>
      </c>
      <c r="E134" s="9">
        <f t="shared" si="3"/>
        <v>1860.454384</v>
      </c>
      <c r="F134" s="9">
        <f t="shared" si="4"/>
        <v>1.366468824</v>
      </c>
      <c r="G134" s="11">
        <f t="shared" si="5"/>
        <v>6937.160121</v>
      </c>
      <c r="H134" s="11">
        <f t="shared" si="6"/>
        <v>11245136.56</v>
      </c>
      <c r="I134" s="12" t="str">
        <f t="shared" si="7"/>
        <v>F</v>
      </c>
      <c r="J134" s="11">
        <f t="shared" si="8"/>
        <v>11723.8006</v>
      </c>
      <c r="K134" s="12" t="str">
        <f t="shared" si="9"/>
        <v>F1</v>
      </c>
    </row>
    <row r="135">
      <c r="A135" s="8" t="s">
        <v>99</v>
      </c>
      <c r="B135" s="9">
        <v>1584.0</v>
      </c>
      <c r="C135" s="9">
        <v>4364.930555555556</v>
      </c>
      <c r="D135" s="9">
        <v>6957.415481832543</v>
      </c>
      <c r="E135" s="9">
        <f t="shared" si="3"/>
        <v>2592.484926</v>
      </c>
      <c r="F135" s="9">
        <f t="shared" si="4"/>
        <v>1.593934976</v>
      </c>
      <c r="G135" s="11">
        <f t="shared" si="5"/>
        <v>6957.415482</v>
      </c>
      <c r="H135" s="11">
        <f t="shared" si="6"/>
        <v>11020546.12</v>
      </c>
      <c r="I135" s="12" t="str">
        <f t="shared" si="7"/>
        <v>F</v>
      </c>
      <c r="J135" s="11">
        <f t="shared" si="8"/>
        <v>11758.03216</v>
      </c>
      <c r="K135" s="12" t="str">
        <f t="shared" si="9"/>
        <v>F1</v>
      </c>
    </row>
    <row r="136">
      <c r="A136" s="8" t="s">
        <v>197</v>
      </c>
      <c r="B136" s="9">
        <v>52.0</v>
      </c>
      <c r="C136" s="9">
        <v>7000.0</v>
      </c>
      <c r="D136" s="9">
        <v>7000.0</v>
      </c>
      <c r="E136" s="9">
        <f t="shared" si="3"/>
        <v>0</v>
      </c>
      <c r="F136" s="9">
        <f t="shared" si="4"/>
        <v>1</v>
      </c>
      <c r="G136" s="11">
        <f t="shared" si="5"/>
        <v>7000</v>
      </c>
      <c r="H136" s="11">
        <f t="shared" si="6"/>
        <v>364000</v>
      </c>
      <c r="I136" s="12" t="str">
        <f t="shared" si="7"/>
        <v>F</v>
      </c>
      <c r="J136" s="11">
        <f t="shared" si="8"/>
        <v>11830</v>
      </c>
      <c r="K136" s="12" t="str">
        <f t="shared" si="9"/>
        <v>F1</v>
      </c>
    </row>
    <row r="137">
      <c r="A137" s="8" t="s">
        <v>354</v>
      </c>
      <c r="B137" s="9">
        <v>1036.0</v>
      </c>
      <c r="C137" s="9">
        <v>7000.0</v>
      </c>
      <c r="D137" s="9">
        <v>7000.0</v>
      </c>
      <c r="E137" s="9">
        <f t="shared" si="3"/>
        <v>0</v>
      </c>
      <c r="F137" s="9">
        <f t="shared" si="4"/>
        <v>1</v>
      </c>
      <c r="G137" s="11">
        <f t="shared" si="5"/>
        <v>7000</v>
      </c>
      <c r="H137" s="11">
        <f t="shared" si="6"/>
        <v>7252000</v>
      </c>
      <c r="I137" s="12" t="str">
        <f t="shared" si="7"/>
        <v>F</v>
      </c>
      <c r="J137" s="11">
        <f t="shared" si="8"/>
        <v>11830</v>
      </c>
      <c r="K137" s="12" t="str">
        <f t="shared" si="9"/>
        <v>F1</v>
      </c>
    </row>
    <row r="138">
      <c r="A138" s="8" t="s">
        <v>382</v>
      </c>
      <c r="B138" s="9">
        <v>111.0</v>
      </c>
      <c r="C138" s="9">
        <v>7000.0</v>
      </c>
      <c r="D138" s="9">
        <v>7000.0</v>
      </c>
      <c r="E138" s="9">
        <f t="shared" si="3"/>
        <v>0</v>
      </c>
      <c r="F138" s="9">
        <f t="shared" si="4"/>
        <v>1</v>
      </c>
      <c r="G138" s="11">
        <f t="shared" si="5"/>
        <v>7000</v>
      </c>
      <c r="H138" s="11">
        <f t="shared" si="6"/>
        <v>777000</v>
      </c>
      <c r="I138" s="12" t="str">
        <f t="shared" si="7"/>
        <v>F</v>
      </c>
      <c r="J138" s="11">
        <f t="shared" si="8"/>
        <v>11830</v>
      </c>
      <c r="K138" s="12" t="str">
        <f t="shared" si="9"/>
        <v>F1</v>
      </c>
    </row>
    <row r="139">
      <c r="A139" s="8" t="s">
        <v>385</v>
      </c>
      <c r="B139" s="9">
        <v>735.0</v>
      </c>
      <c r="C139" s="9">
        <v>7000.0</v>
      </c>
      <c r="D139" s="9">
        <v>7000.0</v>
      </c>
      <c r="E139" s="9">
        <f t="shared" si="3"/>
        <v>0</v>
      </c>
      <c r="F139" s="9">
        <f t="shared" si="4"/>
        <v>1</v>
      </c>
      <c r="G139" s="11">
        <f t="shared" si="5"/>
        <v>7000</v>
      </c>
      <c r="H139" s="11">
        <f t="shared" si="6"/>
        <v>5145000</v>
      </c>
      <c r="I139" s="12" t="str">
        <f t="shared" si="7"/>
        <v>F</v>
      </c>
      <c r="J139" s="11">
        <f t="shared" si="8"/>
        <v>11830</v>
      </c>
      <c r="K139" s="12" t="str">
        <f t="shared" si="9"/>
        <v>F1</v>
      </c>
    </row>
    <row r="140">
      <c r="A140" s="8" t="s">
        <v>217</v>
      </c>
      <c r="B140" s="9">
        <v>11109.0</v>
      </c>
      <c r="C140" s="9">
        <v>7054.17949410388</v>
      </c>
      <c r="D140" s="9">
        <v>6318.928229665072</v>
      </c>
      <c r="E140" s="9">
        <f t="shared" si="3"/>
        <v>-735.2512644</v>
      </c>
      <c r="F140" s="9">
        <f t="shared" si="4"/>
        <v>0.8957708313</v>
      </c>
      <c r="G140" s="11">
        <f t="shared" si="5"/>
        <v>7054.179494</v>
      </c>
      <c r="H140" s="11">
        <f t="shared" si="6"/>
        <v>78364880</v>
      </c>
      <c r="I140" s="12" t="str">
        <f t="shared" si="7"/>
        <v>F</v>
      </c>
      <c r="J140" s="11">
        <f t="shared" si="8"/>
        <v>11921.56335</v>
      </c>
      <c r="K140" s="12" t="str">
        <f t="shared" si="9"/>
        <v>F1</v>
      </c>
    </row>
    <row r="141">
      <c r="A141" s="8" t="s">
        <v>301</v>
      </c>
      <c r="B141" s="9">
        <v>7725.0</v>
      </c>
      <c r="C141" s="9">
        <v>3571.027702265372</v>
      </c>
      <c r="D141" s="9">
        <v>7073.32383745287</v>
      </c>
      <c r="E141" s="9">
        <f t="shared" si="3"/>
        <v>3502.296135</v>
      </c>
      <c r="F141" s="9">
        <f t="shared" si="4"/>
        <v>1.980753001</v>
      </c>
      <c r="G141" s="11">
        <f t="shared" si="5"/>
        <v>7073.323837</v>
      </c>
      <c r="H141" s="11">
        <f t="shared" si="6"/>
        <v>54641426.64</v>
      </c>
      <c r="I141" s="12" t="str">
        <f t="shared" si="7"/>
        <v>F</v>
      </c>
      <c r="J141" s="11">
        <f t="shared" si="8"/>
        <v>11953.91729</v>
      </c>
      <c r="K141" s="12" t="str">
        <f t="shared" si="9"/>
        <v>F1</v>
      </c>
    </row>
    <row r="142">
      <c r="A142" s="8" t="s">
        <v>465</v>
      </c>
      <c r="B142" s="9">
        <v>4013.0</v>
      </c>
      <c r="C142" s="9">
        <v>4254.286319461749</v>
      </c>
      <c r="D142" s="9">
        <v>7079.652055261811</v>
      </c>
      <c r="E142" s="9">
        <f t="shared" si="3"/>
        <v>2825.365736</v>
      </c>
      <c r="F142" s="9">
        <f t="shared" si="4"/>
        <v>1.66412214</v>
      </c>
      <c r="G142" s="11">
        <f t="shared" si="5"/>
        <v>7079.652055</v>
      </c>
      <c r="H142" s="11">
        <f t="shared" si="6"/>
        <v>28410643.7</v>
      </c>
      <c r="I142" s="12" t="str">
        <f t="shared" si="7"/>
        <v>F</v>
      </c>
      <c r="J142" s="11">
        <f t="shared" si="8"/>
        <v>11964.61197</v>
      </c>
      <c r="K142" s="12" t="str">
        <f t="shared" si="9"/>
        <v>F1</v>
      </c>
    </row>
    <row r="143">
      <c r="A143" s="8" t="s">
        <v>432</v>
      </c>
      <c r="B143" s="9">
        <v>3898.0</v>
      </c>
      <c r="C143" s="9">
        <v>7148.388917393535</v>
      </c>
      <c r="D143" s="9">
        <v>3728.243670886076</v>
      </c>
      <c r="E143" s="9">
        <f t="shared" si="3"/>
        <v>-3420.145247</v>
      </c>
      <c r="F143" s="9">
        <f t="shared" si="4"/>
        <v>0.5215502002</v>
      </c>
      <c r="G143" s="11">
        <f t="shared" si="5"/>
        <v>7148.388917</v>
      </c>
      <c r="H143" s="11">
        <f t="shared" si="6"/>
        <v>27864420</v>
      </c>
      <c r="I143" s="12" t="str">
        <f t="shared" si="7"/>
        <v>F</v>
      </c>
      <c r="J143" s="11">
        <f t="shared" si="8"/>
        <v>12080.77727</v>
      </c>
      <c r="K143" s="12" t="str">
        <f t="shared" si="9"/>
        <v>E</v>
      </c>
    </row>
    <row r="144">
      <c r="A144" s="8" t="s">
        <v>256</v>
      </c>
      <c r="B144" s="9">
        <v>141.0</v>
      </c>
      <c r="C144" s="9">
        <v>7148.936170212766</v>
      </c>
      <c r="D144" s="9">
        <v>4855.993101465939</v>
      </c>
      <c r="E144" s="9">
        <f t="shared" si="3"/>
        <v>-2292.943069</v>
      </c>
      <c r="F144" s="9">
        <f t="shared" si="4"/>
        <v>0.6792609398</v>
      </c>
      <c r="G144" s="11">
        <f t="shared" si="5"/>
        <v>7148.93617</v>
      </c>
      <c r="H144" s="11">
        <f t="shared" si="6"/>
        <v>1008000</v>
      </c>
      <c r="I144" s="12" t="str">
        <f t="shared" si="7"/>
        <v>F</v>
      </c>
      <c r="J144" s="11">
        <f t="shared" si="8"/>
        <v>12081.70213</v>
      </c>
      <c r="K144" s="12" t="str">
        <f t="shared" si="9"/>
        <v>E</v>
      </c>
    </row>
    <row r="145">
      <c r="A145" s="8" t="s">
        <v>470</v>
      </c>
      <c r="B145" s="9">
        <v>1008.0</v>
      </c>
      <c r="C145" s="9">
        <v>7150.505952380952</v>
      </c>
      <c r="D145" s="9">
        <v>4730.0</v>
      </c>
      <c r="E145" s="9">
        <f t="shared" si="3"/>
        <v>-2420.505952</v>
      </c>
      <c r="F145" s="9">
        <f t="shared" si="4"/>
        <v>0.6614916527</v>
      </c>
      <c r="G145" s="11">
        <f t="shared" si="5"/>
        <v>7150.505952</v>
      </c>
      <c r="H145" s="11">
        <f t="shared" si="6"/>
        <v>7207710</v>
      </c>
      <c r="I145" s="12" t="str">
        <f t="shared" si="7"/>
        <v>F</v>
      </c>
      <c r="J145" s="11">
        <f t="shared" si="8"/>
        <v>12084.35506</v>
      </c>
      <c r="K145" s="12" t="str">
        <f t="shared" si="9"/>
        <v>E</v>
      </c>
    </row>
    <row r="146">
      <c r="A146" s="8" t="s">
        <v>384</v>
      </c>
      <c r="B146" s="9">
        <v>2050.0</v>
      </c>
      <c r="C146" s="9">
        <v>6224.512195121952</v>
      </c>
      <c r="D146" s="9">
        <v>7160.033057851239</v>
      </c>
      <c r="E146" s="9">
        <f t="shared" si="3"/>
        <v>935.5208627</v>
      </c>
      <c r="F146" s="9">
        <f t="shared" si="4"/>
        <v>1.150296253</v>
      </c>
      <c r="G146" s="11">
        <f t="shared" si="5"/>
        <v>7160.033058</v>
      </c>
      <c r="H146" s="11">
        <f t="shared" si="6"/>
        <v>14678067.77</v>
      </c>
      <c r="I146" s="12" t="str">
        <f t="shared" si="7"/>
        <v>F</v>
      </c>
      <c r="J146" s="11">
        <f t="shared" si="8"/>
        <v>12100.45587</v>
      </c>
      <c r="K146" s="12" t="str">
        <f t="shared" si="9"/>
        <v>E</v>
      </c>
    </row>
    <row r="147">
      <c r="A147" s="8" t="s">
        <v>454</v>
      </c>
      <c r="B147" s="9">
        <v>227.0</v>
      </c>
      <c r="C147" s="9">
        <v>7190.660792951542</v>
      </c>
      <c r="D147" s="9">
        <v>1873.248407643312</v>
      </c>
      <c r="E147" s="9">
        <f t="shared" si="3"/>
        <v>-5317.412385</v>
      </c>
      <c r="F147" s="9">
        <f t="shared" si="4"/>
        <v>0.2605113023</v>
      </c>
      <c r="G147" s="11">
        <f t="shared" si="5"/>
        <v>7190.660793</v>
      </c>
      <c r="H147" s="11">
        <f t="shared" si="6"/>
        <v>1632280</v>
      </c>
      <c r="I147" s="12" t="str">
        <f t="shared" si="7"/>
        <v>F</v>
      </c>
      <c r="J147" s="11">
        <f t="shared" si="8"/>
        <v>12152.21674</v>
      </c>
      <c r="K147" s="12" t="str">
        <f t="shared" si="9"/>
        <v>E</v>
      </c>
    </row>
    <row r="148">
      <c r="A148" s="8" t="s">
        <v>271</v>
      </c>
      <c r="B148" s="9">
        <v>123.0</v>
      </c>
      <c r="C148" s="9">
        <v>7231.30081300813</v>
      </c>
      <c r="D148" s="9">
        <v>7231.30081300813</v>
      </c>
      <c r="E148" s="9">
        <f t="shared" si="3"/>
        <v>0</v>
      </c>
      <c r="F148" s="9">
        <f t="shared" si="4"/>
        <v>1</v>
      </c>
      <c r="G148" s="11">
        <f t="shared" si="5"/>
        <v>7231.300813</v>
      </c>
      <c r="H148" s="11">
        <f t="shared" si="6"/>
        <v>889450</v>
      </c>
      <c r="I148" s="12" t="str">
        <f t="shared" si="7"/>
        <v>F</v>
      </c>
      <c r="J148" s="11">
        <f t="shared" si="8"/>
        <v>12220.89837</v>
      </c>
      <c r="K148" s="12" t="str">
        <f t="shared" si="9"/>
        <v>E</v>
      </c>
    </row>
    <row r="149">
      <c r="A149" s="8" t="s">
        <v>120</v>
      </c>
      <c r="B149" s="9">
        <v>1421.0</v>
      </c>
      <c r="C149" s="9">
        <v>5795.285010555946</v>
      </c>
      <c r="D149" s="9">
        <v>7232.881002087683</v>
      </c>
      <c r="E149" s="9">
        <f t="shared" si="3"/>
        <v>1437.595992</v>
      </c>
      <c r="F149" s="9">
        <f t="shared" si="4"/>
        <v>1.248063036</v>
      </c>
      <c r="G149" s="11">
        <f t="shared" si="5"/>
        <v>7232.881002</v>
      </c>
      <c r="H149" s="11">
        <f t="shared" si="6"/>
        <v>10277923.9</v>
      </c>
      <c r="I149" s="12" t="str">
        <f t="shared" si="7"/>
        <v>F</v>
      </c>
      <c r="J149" s="11">
        <f t="shared" si="8"/>
        <v>12223.56889</v>
      </c>
      <c r="K149" s="12" t="str">
        <f t="shared" si="9"/>
        <v>E</v>
      </c>
    </row>
    <row r="150">
      <c r="A150" s="8" t="s">
        <v>330</v>
      </c>
      <c r="B150" s="9">
        <v>1218.0</v>
      </c>
      <c r="C150" s="9">
        <v>6302.43842364532</v>
      </c>
      <c r="D150" s="9">
        <v>7266.346592761656</v>
      </c>
      <c r="E150" s="9">
        <f t="shared" si="3"/>
        <v>963.9081691</v>
      </c>
      <c r="F150" s="9">
        <f t="shared" si="4"/>
        <v>1.1529421</v>
      </c>
      <c r="G150" s="11">
        <f t="shared" si="5"/>
        <v>7266.346593</v>
      </c>
      <c r="H150" s="11">
        <f t="shared" si="6"/>
        <v>8850410.15</v>
      </c>
      <c r="I150" s="12" t="str">
        <f t="shared" si="7"/>
        <v>F</v>
      </c>
      <c r="J150" s="11">
        <f t="shared" si="8"/>
        <v>12280.12574</v>
      </c>
      <c r="K150" s="12" t="str">
        <f t="shared" si="9"/>
        <v>E</v>
      </c>
    </row>
    <row r="151">
      <c r="A151" s="8" t="s">
        <v>410</v>
      </c>
      <c r="B151" s="9">
        <v>24473.0</v>
      </c>
      <c r="C151" s="9">
        <v>5502.008989498631</v>
      </c>
      <c r="D151" s="9">
        <v>7266.880801448947</v>
      </c>
      <c r="E151" s="9">
        <f t="shared" si="3"/>
        <v>1764.871812</v>
      </c>
      <c r="F151" s="9">
        <f t="shared" si="4"/>
        <v>1.320768617</v>
      </c>
      <c r="G151" s="11">
        <f t="shared" si="5"/>
        <v>7266.880801</v>
      </c>
      <c r="H151" s="11">
        <f t="shared" si="6"/>
        <v>177842373.9</v>
      </c>
      <c r="I151" s="12" t="str">
        <f t="shared" si="7"/>
        <v>F</v>
      </c>
      <c r="J151" s="11">
        <f t="shared" si="8"/>
        <v>12281.02855</v>
      </c>
      <c r="K151" s="12" t="str">
        <f t="shared" si="9"/>
        <v>E</v>
      </c>
    </row>
    <row r="152">
      <c r="A152" s="8" t="s">
        <v>284</v>
      </c>
      <c r="B152" s="9">
        <v>3929.0</v>
      </c>
      <c r="C152" s="9">
        <v>6954.237719521507</v>
      </c>
      <c r="D152" s="9">
        <v>7268.063362289218</v>
      </c>
      <c r="E152" s="9">
        <f t="shared" si="3"/>
        <v>313.8256428</v>
      </c>
      <c r="F152" s="9">
        <f t="shared" si="4"/>
        <v>1.045127253</v>
      </c>
      <c r="G152" s="11">
        <f t="shared" si="5"/>
        <v>7268.063362</v>
      </c>
      <c r="H152" s="11">
        <f t="shared" si="6"/>
        <v>28556220.95</v>
      </c>
      <c r="I152" s="12" t="str">
        <f t="shared" si="7"/>
        <v>F</v>
      </c>
      <c r="J152" s="11">
        <f t="shared" si="8"/>
        <v>12283.02708</v>
      </c>
      <c r="K152" s="12" t="str">
        <f t="shared" si="9"/>
        <v>E</v>
      </c>
    </row>
    <row r="153">
      <c r="A153" s="8" t="s">
        <v>262</v>
      </c>
      <c r="B153" s="9">
        <v>16934.0</v>
      </c>
      <c r="C153" s="9">
        <v>7353.00980276367</v>
      </c>
      <c r="D153" s="9">
        <v>4703.023455933379</v>
      </c>
      <c r="E153" s="9">
        <f t="shared" si="3"/>
        <v>-2649.986347</v>
      </c>
      <c r="F153" s="9">
        <f t="shared" si="4"/>
        <v>0.6396052205</v>
      </c>
      <c r="G153" s="11">
        <f t="shared" si="5"/>
        <v>7353.009803</v>
      </c>
      <c r="H153" s="11">
        <f t="shared" si="6"/>
        <v>124515868</v>
      </c>
      <c r="I153" s="12" t="str">
        <f t="shared" si="7"/>
        <v>F</v>
      </c>
      <c r="J153" s="11">
        <f t="shared" si="8"/>
        <v>12426.58657</v>
      </c>
      <c r="K153" s="12" t="str">
        <f t="shared" si="9"/>
        <v>E</v>
      </c>
    </row>
    <row r="154">
      <c r="A154" s="8" t="s">
        <v>328</v>
      </c>
      <c r="B154" s="9">
        <v>272.0</v>
      </c>
      <c r="C154" s="9">
        <v>5577.35294117647</v>
      </c>
      <c r="D154" s="9">
        <v>7355.826693227092</v>
      </c>
      <c r="E154" s="9">
        <f t="shared" si="3"/>
        <v>1778.473752</v>
      </c>
      <c r="F154" s="9">
        <f t="shared" si="4"/>
        <v>1.318874163</v>
      </c>
      <c r="G154" s="11">
        <f t="shared" si="5"/>
        <v>7355.826693</v>
      </c>
      <c r="H154" s="11">
        <f t="shared" si="6"/>
        <v>2000784.861</v>
      </c>
      <c r="I154" s="12" t="str">
        <f t="shared" si="7"/>
        <v>F</v>
      </c>
      <c r="J154" s="11">
        <f t="shared" si="8"/>
        <v>12431.34711</v>
      </c>
      <c r="K154" s="12" t="str">
        <f t="shared" si="9"/>
        <v>E</v>
      </c>
    </row>
    <row r="155">
      <c r="A155" s="8" t="s">
        <v>118</v>
      </c>
      <c r="B155" s="9">
        <v>836.0</v>
      </c>
      <c r="C155" s="9">
        <v>4633.971291866029</v>
      </c>
      <c r="D155" s="9">
        <v>7394.321766561514</v>
      </c>
      <c r="E155" s="9">
        <f t="shared" si="3"/>
        <v>2760.350475</v>
      </c>
      <c r="F155" s="9">
        <f t="shared" si="4"/>
        <v>1.595677077</v>
      </c>
      <c r="G155" s="11">
        <f t="shared" si="5"/>
        <v>7394.321767</v>
      </c>
      <c r="H155" s="11">
        <f t="shared" si="6"/>
        <v>6181652.997</v>
      </c>
      <c r="I155" s="12" t="str">
        <f t="shared" si="7"/>
        <v>F</v>
      </c>
      <c r="J155" s="11">
        <f t="shared" si="8"/>
        <v>12496.40379</v>
      </c>
      <c r="K155" s="12" t="str">
        <f t="shared" si="9"/>
        <v>E</v>
      </c>
    </row>
    <row r="156">
      <c r="A156" s="8" t="s">
        <v>277</v>
      </c>
      <c r="B156" s="9">
        <v>1188.0</v>
      </c>
      <c r="C156" s="9">
        <v>6638.215488215488</v>
      </c>
      <c r="D156" s="9">
        <v>7429.249167423554</v>
      </c>
      <c r="E156" s="9">
        <f t="shared" si="3"/>
        <v>791.0336792</v>
      </c>
      <c r="F156" s="9">
        <f t="shared" si="4"/>
        <v>1.119163604</v>
      </c>
      <c r="G156" s="11">
        <f t="shared" si="5"/>
        <v>7429.249167</v>
      </c>
      <c r="H156" s="11">
        <f t="shared" si="6"/>
        <v>8825948.011</v>
      </c>
      <c r="I156" s="12" t="str">
        <f t="shared" si="7"/>
        <v>F</v>
      </c>
      <c r="J156" s="11">
        <f t="shared" si="8"/>
        <v>12555.43109</v>
      </c>
      <c r="K156" s="12" t="str">
        <f t="shared" si="9"/>
        <v>E</v>
      </c>
    </row>
    <row r="157">
      <c r="A157" s="8" t="s">
        <v>323</v>
      </c>
      <c r="B157" s="9">
        <v>36278.0</v>
      </c>
      <c r="C157" s="9">
        <v>7408.174375654667</v>
      </c>
      <c r="D157" s="9">
        <v>7473.692566501945</v>
      </c>
      <c r="E157" s="9">
        <f t="shared" si="3"/>
        <v>65.51819085</v>
      </c>
      <c r="F157" s="9">
        <f t="shared" si="4"/>
        <v>1.00884404</v>
      </c>
      <c r="G157" s="11">
        <f t="shared" si="5"/>
        <v>7473.692567</v>
      </c>
      <c r="H157" s="11">
        <f t="shared" si="6"/>
        <v>271130618.9</v>
      </c>
      <c r="I157" s="12" t="str">
        <f t="shared" si="7"/>
        <v>F</v>
      </c>
      <c r="J157" s="11">
        <f t="shared" si="8"/>
        <v>12630.54044</v>
      </c>
      <c r="K157" s="12" t="str">
        <f t="shared" si="9"/>
        <v>E</v>
      </c>
    </row>
    <row r="158">
      <c r="A158" s="8" t="s">
        <v>326</v>
      </c>
      <c r="B158" s="9">
        <v>68.0</v>
      </c>
      <c r="C158" s="10">
        <v>7480.0</v>
      </c>
      <c r="D158" s="10">
        <v>7480.0</v>
      </c>
      <c r="E158" s="9">
        <f t="shared" si="3"/>
        <v>0</v>
      </c>
      <c r="F158" s="9">
        <f t="shared" si="4"/>
        <v>1</v>
      </c>
      <c r="G158" s="11">
        <f t="shared" si="5"/>
        <v>7480</v>
      </c>
      <c r="H158" s="11">
        <f t="shared" si="6"/>
        <v>508640</v>
      </c>
      <c r="I158" s="12" t="str">
        <f t="shared" si="7"/>
        <v>F</v>
      </c>
      <c r="J158" s="11">
        <f t="shared" si="8"/>
        <v>12641.2</v>
      </c>
      <c r="K158" s="12" t="str">
        <f t="shared" si="9"/>
        <v>E</v>
      </c>
    </row>
    <row r="159">
      <c r="A159" s="8" t="s">
        <v>338</v>
      </c>
      <c r="B159" s="9">
        <v>4750.0</v>
      </c>
      <c r="C159" s="9">
        <v>7493.633684210527</v>
      </c>
      <c r="D159" s="9">
        <v>4779.1842598376015</v>
      </c>
      <c r="E159" s="9">
        <f t="shared" si="3"/>
        <v>-2714.449424</v>
      </c>
      <c r="F159" s="9">
        <f t="shared" si="4"/>
        <v>0.6377659306</v>
      </c>
      <c r="G159" s="11">
        <f t="shared" si="5"/>
        <v>7493.633684</v>
      </c>
      <c r="H159" s="11">
        <f t="shared" si="6"/>
        <v>35594760</v>
      </c>
      <c r="I159" s="12" t="str">
        <f t="shared" si="7"/>
        <v>F</v>
      </c>
      <c r="J159" s="11">
        <f t="shared" si="8"/>
        <v>12664.24093</v>
      </c>
      <c r="K159" s="12" t="str">
        <f t="shared" si="9"/>
        <v>E</v>
      </c>
    </row>
    <row r="160">
      <c r="A160" s="8" t="s">
        <v>452</v>
      </c>
      <c r="B160" s="9">
        <v>2248.0</v>
      </c>
      <c r="C160" s="9">
        <v>7494.666370106762</v>
      </c>
      <c r="D160" s="9">
        <v>6426.215224913495</v>
      </c>
      <c r="E160" s="9">
        <f t="shared" si="3"/>
        <v>-1068.451145</v>
      </c>
      <c r="F160" s="9">
        <f t="shared" si="4"/>
        <v>0.8574384646</v>
      </c>
      <c r="G160" s="11">
        <f t="shared" si="5"/>
        <v>7494.66637</v>
      </c>
      <c r="H160" s="11">
        <f t="shared" si="6"/>
        <v>16848010</v>
      </c>
      <c r="I160" s="12" t="str">
        <f t="shared" si="7"/>
        <v>F</v>
      </c>
      <c r="J160" s="11">
        <f t="shared" si="8"/>
        <v>12665.98617</v>
      </c>
      <c r="K160" s="12" t="str">
        <f t="shared" si="9"/>
        <v>E</v>
      </c>
    </row>
    <row r="161">
      <c r="A161" s="8" t="s">
        <v>85</v>
      </c>
      <c r="B161" s="9">
        <v>5312.0</v>
      </c>
      <c r="C161" s="9">
        <v>6470.3501506024095</v>
      </c>
      <c r="D161" s="9">
        <v>7505.924497106641</v>
      </c>
      <c r="E161" s="9">
        <f t="shared" si="3"/>
        <v>1035.574347</v>
      </c>
      <c r="F161" s="9">
        <f t="shared" si="4"/>
        <v>1.160049197</v>
      </c>
      <c r="G161" s="11">
        <f t="shared" si="5"/>
        <v>7505.924497</v>
      </c>
      <c r="H161" s="11">
        <f t="shared" si="6"/>
        <v>39871470.93</v>
      </c>
      <c r="I161" s="12" t="str">
        <f t="shared" si="7"/>
        <v>F</v>
      </c>
      <c r="J161" s="11">
        <f t="shared" si="8"/>
        <v>12685.0124</v>
      </c>
      <c r="K161" s="12" t="str">
        <f t="shared" si="9"/>
        <v>E</v>
      </c>
    </row>
    <row r="162">
      <c r="A162" s="8" t="s">
        <v>346</v>
      </c>
      <c r="B162" s="9">
        <v>439.0</v>
      </c>
      <c r="C162" s="9">
        <v>7535.535307517084</v>
      </c>
      <c r="D162" s="9">
        <v>3082.4324324324325</v>
      </c>
      <c r="E162" s="9">
        <f t="shared" si="3"/>
        <v>-4453.102875</v>
      </c>
      <c r="F162" s="9">
        <f t="shared" si="4"/>
        <v>0.4090528817</v>
      </c>
      <c r="G162" s="11">
        <f t="shared" si="5"/>
        <v>7535.535308</v>
      </c>
      <c r="H162" s="11">
        <f t="shared" si="6"/>
        <v>3308100</v>
      </c>
      <c r="I162" s="12" t="str">
        <f t="shared" si="7"/>
        <v>F</v>
      </c>
      <c r="J162" s="11">
        <f t="shared" si="8"/>
        <v>12735.05467</v>
      </c>
      <c r="K162" s="12" t="str">
        <f t="shared" si="9"/>
        <v>E</v>
      </c>
    </row>
    <row r="163">
      <c r="A163" s="8" t="s">
        <v>204</v>
      </c>
      <c r="B163" s="9">
        <v>2133.0</v>
      </c>
      <c r="C163" s="9">
        <v>7592.348804500703</v>
      </c>
      <c r="D163" s="9">
        <v>6865.944418276024</v>
      </c>
      <c r="E163" s="9">
        <f t="shared" si="3"/>
        <v>-726.4043862</v>
      </c>
      <c r="F163" s="9">
        <f t="shared" si="4"/>
        <v>0.9043241552</v>
      </c>
      <c r="G163" s="11">
        <f t="shared" si="5"/>
        <v>7592.348805</v>
      </c>
      <c r="H163" s="11">
        <f t="shared" si="6"/>
        <v>16194480</v>
      </c>
      <c r="I163" s="12" t="str">
        <f t="shared" si="7"/>
        <v>F</v>
      </c>
      <c r="J163" s="11">
        <f t="shared" si="8"/>
        <v>12831.06948</v>
      </c>
      <c r="K163" s="12" t="str">
        <f t="shared" si="9"/>
        <v>E</v>
      </c>
    </row>
    <row r="164">
      <c r="A164" s="8" t="s">
        <v>356</v>
      </c>
      <c r="B164" s="9">
        <v>273.0</v>
      </c>
      <c r="C164" s="9">
        <v>6694.43956043956</v>
      </c>
      <c r="D164" s="9">
        <v>7605.442176870748</v>
      </c>
      <c r="E164" s="9">
        <f t="shared" si="3"/>
        <v>911.0026164</v>
      </c>
      <c r="F164" s="9">
        <f t="shared" si="4"/>
        <v>1.136083478</v>
      </c>
      <c r="G164" s="11">
        <f t="shared" si="5"/>
        <v>7605.442177</v>
      </c>
      <c r="H164" s="11">
        <f t="shared" si="6"/>
        <v>2076285.714</v>
      </c>
      <c r="I164" s="12" t="str">
        <f t="shared" si="7"/>
        <v>F</v>
      </c>
      <c r="J164" s="11">
        <f t="shared" si="8"/>
        <v>12853.19728</v>
      </c>
      <c r="K164" s="12" t="str">
        <f t="shared" si="9"/>
        <v>E</v>
      </c>
    </row>
    <row r="165">
      <c r="A165" s="8" t="s">
        <v>152</v>
      </c>
      <c r="B165" s="9">
        <v>901.0</v>
      </c>
      <c r="C165" s="10">
        <v>7620.0</v>
      </c>
      <c r="D165" s="10">
        <v>7620.0</v>
      </c>
      <c r="E165" s="9">
        <f t="shared" si="3"/>
        <v>0</v>
      </c>
      <c r="F165" s="9">
        <f t="shared" si="4"/>
        <v>1</v>
      </c>
      <c r="G165" s="11">
        <f t="shared" si="5"/>
        <v>7620</v>
      </c>
      <c r="H165" s="11">
        <f t="shared" si="6"/>
        <v>6865620</v>
      </c>
      <c r="I165" s="12" t="str">
        <f t="shared" si="7"/>
        <v>F</v>
      </c>
      <c r="J165" s="11">
        <f t="shared" si="8"/>
        <v>12877.8</v>
      </c>
      <c r="K165" s="12" t="str">
        <f t="shared" si="9"/>
        <v>E</v>
      </c>
    </row>
    <row r="166">
      <c r="A166" s="8" t="s">
        <v>375</v>
      </c>
      <c r="B166" s="9">
        <v>5536.0</v>
      </c>
      <c r="C166" s="9">
        <v>7581.204841040462</v>
      </c>
      <c r="D166" s="9">
        <v>7654.17270929466</v>
      </c>
      <c r="E166" s="9">
        <f t="shared" si="3"/>
        <v>72.96786825</v>
      </c>
      <c r="F166" s="9">
        <f t="shared" si="4"/>
        <v>1.009624838</v>
      </c>
      <c r="G166" s="11">
        <f t="shared" si="5"/>
        <v>7654.172709</v>
      </c>
      <c r="H166" s="11">
        <f t="shared" si="6"/>
        <v>42373500.12</v>
      </c>
      <c r="I166" s="12" t="str">
        <f t="shared" si="7"/>
        <v>F</v>
      </c>
      <c r="J166" s="11">
        <f t="shared" si="8"/>
        <v>12935.55188</v>
      </c>
      <c r="K166" s="12" t="str">
        <f t="shared" si="9"/>
        <v>E</v>
      </c>
    </row>
    <row r="167">
      <c r="A167" s="8" t="s">
        <v>185</v>
      </c>
      <c r="B167" s="9">
        <v>14481.0</v>
      </c>
      <c r="C167" s="9">
        <v>3092.34030798978</v>
      </c>
      <c r="D167" s="9">
        <v>7708.488442559085</v>
      </c>
      <c r="E167" s="9">
        <f t="shared" si="3"/>
        <v>4616.148135</v>
      </c>
      <c r="F167" s="9">
        <f t="shared" si="4"/>
        <v>2.492768478</v>
      </c>
      <c r="G167" s="11">
        <f t="shared" si="5"/>
        <v>7708.488443</v>
      </c>
      <c r="H167" s="11">
        <f t="shared" si="6"/>
        <v>111626621.1</v>
      </c>
      <c r="I167" s="12" t="str">
        <f t="shared" si="7"/>
        <v>F</v>
      </c>
      <c r="J167" s="11">
        <f t="shared" si="8"/>
        <v>13027.34547</v>
      </c>
      <c r="K167" s="12" t="str">
        <f t="shared" si="9"/>
        <v>E</v>
      </c>
    </row>
    <row r="168">
      <c r="A168" s="8" t="s">
        <v>396</v>
      </c>
      <c r="B168" s="9">
        <v>845.0</v>
      </c>
      <c r="C168" s="9">
        <v>7841.266272189349</v>
      </c>
      <c r="D168" s="9">
        <v>7822.823303457107</v>
      </c>
      <c r="E168" s="9">
        <f t="shared" si="3"/>
        <v>-18.44296873</v>
      </c>
      <c r="F168" s="9">
        <f t="shared" si="4"/>
        <v>0.9976479604</v>
      </c>
      <c r="G168" s="11">
        <f t="shared" si="5"/>
        <v>7841.266272</v>
      </c>
      <c r="H168" s="11">
        <f t="shared" si="6"/>
        <v>6625870</v>
      </c>
      <c r="I168" s="12" t="str">
        <f t="shared" si="7"/>
        <v>F</v>
      </c>
      <c r="J168" s="11">
        <f t="shared" si="8"/>
        <v>13251.74</v>
      </c>
      <c r="K168" s="12" t="str">
        <f t="shared" si="9"/>
        <v>E</v>
      </c>
    </row>
    <row r="169">
      <c r="A169" s="8" t="s">
        <v>248</v>
      </c>
      <c r="B169" s="9">
        <v>4561.0</v>
      </c>
      <c r="C169" s="9">
        <v>7068.327121245341</v>
      </c>
      <c r="D169" s="9">
        <v>7888.965157521386</v>
      </c>
      <c r="E169" s="9">
        <f t="shared" si="3"/>
        <v>820.6380363</v>
      </c>
      <c r="F169" s="9">
        <f t="shared" si="4"/>
        <v>1.116100744</v>
      </c>
      <c r="G169" s="11">
        <f t="shared" si="5"/>
        <v>7888.965158</v>
      </c>
      <c r="H169" s="11">
        <f t="shared" si="6"/>
        <v>35981570.08</v>
      </c>
      <c r="I169" s="12" t="str">
        <f t="shared" si="7"/>
        <v>F</v>
      </c>
      <c r="J169" s="11">
        <f t="shared" si="8"/>
        <v>13332.35112</v>
      </c>
      <c r="K169" s="12" t="str">
        <f t="shared" si="9"/>
        <v>E</v>
      </c>
    </row>
    <row r="170">
      <c r="A170" s="8" t="s">
        <v>92</v>
      </c>
      <c r="B170" s="9">
        <v>570.0</v>
      </c>
      <c r="C170" s="9">
        <v>7892.982456140351</v>
      </c>
      <c r="D170" s="9">
        <v>5606.984126984127</v>
      </c>
      <c r="E170" s="9">
        <f t="shared" si="3"/>
        <v>-2285.998329</v>
      </c>
      <c r="F170" s="9">
        <f t="shared" si="4"/>
        <v>0.7103758507</v>
      </c>
      <c r="G170" s="11">
        <f t="shared" si="5"/>
        <v>7892.982456</v>
      </c>
      <c r="H170" s="11">
        <f t="shared" si="6"/>
        <v>4499000</v>
      </c>
      <c r="I170" s="12" t="str">
        <f t="shared" si="7"/>
        <v>F</v>
      </c>
      <c r="J170" s="11">
        <f t="shared" si="8"/>
        <v>13339.14035</v>
      </c>
      <c r="K170" s="12" t="str">
        <f t="shared" si="9"/>
        <v>E</v>
      </c>
    </row>
    <row r="171">
      <c r="A171" s="8" t="s">
        <v>334</v>
      </c>
      <c r="B171" s="9">
        <v>1207.0</v>
      </c>
      <c r="C171" s="9">
        <v>7947.340513670257</v>
      </c>
      <c r="D171" s="9">
        <v>4068.128772635815</v>
      </c>
      <c r="E171" s="9">
        <f t="shared" si="3"/>
        <v>-3879.211741</v>
      </c>
      <c r="F171" s="9">
        <f t="shared" si="4"/>
        <v>0.5118855503</v>
      </c>
      <c r="G171" s="11">
        <f t="shared" si="5"/>
        <v>7947.340514</v>
      </c>
      <c r="H171" s="11">
        <f t="shared" si="6"/>
        <v>9592440</v>
      </c>
      <c r="I171" s="12" t="str">
        <f t="shared" si="7"/>
        <v>F</v>
      </c>
      <c r="J171" s="11">
        <f t="shared" si="8"/>
        <v>13431.00547</v>
      </c>
      <c r="K171" s="12" t="str">
        <f t="shared" si="9"/>
        <v>E</v>
      </c>
    </row>
    <row r="172">
      <c r="A172" s="8" t="s">
        <v>95</v>
      </c>
      <c r="B172" s="9">
        <v>4072.0</v>
      </c>
      <c r="C172" s="9">
        <v>7954.545454545455</v>
      </c>
      <c r="D172" s="9">
        <v>7954.545454545455</v>
      </c>
      <c r="E172" s="9">
        <f t="shared" si="3"/>
        <v>0</v>
      </c>
      <c r="F172" s="9">
        <f t="shared" si="4"/>
        <v>1</v>
      </c>
      <c r="G172" s="11">
        <f t="shared" si="5"/>
        <v>7954.545455</v>
      </c>
      <c r="H172" s="11">
        <f t="shared" si="6"/>
        <v>32390909.09</v>
      </c>
      <c r="I172" s="12" t="str">
        <f t="shared" si="7"/>
        <v>F</v>
      </c>
      <c r="J172" s="11">
        <f t="shared" si="8"/>
        <v>13443.18182</v>
      </c>
      <c r="K172" s="12" t="str">
        <f t="shared" si="9"/>
        <v>E</v>
      </c>
    </row>
    <row r="173">
      <c r="A173" s="8" t="s">
        <v>466</v>
      </c>
      <c r="B173" s="9">
        <v>2072.0</v>
      </c>
      <c r="C173" s="9">
        <v>7955.0</v>
      </c>
      <c r="D173" s="9">
        <v>7955.0</v>
      </c>
      <c r="E173" s="9">
        <f t="shared" si="3"/>
        <v>0</v>
      </c>
      <c r="F173" s="9">
        <f t="shared" si="4"/>
        <v>1</v>
      </c>
      <c r="G173" s="11">
        <f t="shared" si="5"/>
        <v>7955</v>
      </c>
      <c r="H173" s="11">
        <f t="shared" si="6"/>
        <v>16482760</v>
      </c>
      <c r="I173" s="12" t="str">
        <f t="shared" si="7"/>
        <v>F</v>
      </c>
      <c r="J173" s="11">
        <f t="shared" si="8"/>
        <v>13443.95</v>
      </c>
      <c r="K173" s="12" t="str">
        <f t="shared" si="9"/>
        <v>E</v>
      </c>
    </row>
    <row r="174">
      <c r="A174" s="8" t="s">
        <v>253</v>
      </c>
      <c r="B174" s="9">
        <v>1579.0</v>
      </c>
      <c r="C174" s="9">
        <v>3846.7384420519315</v>
      </c>
      <c r="D174" s="9">
        <v>7970.127118644068</v>
      </c>
      <c r="E174" s="9">
        <f t="shared" si="3"/>
        <v>4123.388677</v>
      </c>
      <c r="F174" s="9">
        <f t="shared" si="4"/>
        <v>2.07191813</v>
      </c>
      <c r="G174" s="11">
        <f t="shared" si="5"/>
        <v>7970.127119</v>
      </c>
      <c r="H174" s="11">
        <f t="shared" si="6"/>
        <v>12584830.72</v>
      </c>
      <c r="I174" s="12" t="str">
        <f t="shared" si="7"/>
        <v>F</v>
      </c>
      <c r="J174" s="11">
        <f t="shared" si="8"/>
        <v>13469.51483</v>
      </c>
      <c r="K174" s="12" t="str">
        <f t="shared" si="9"/>
        <v>E</v>
      </c>
    </row>
    <row r="175">
      <c r="A175" s="8" t="s">
        <v>33</v>
      </c>
      <c r="B175" s="9">
        <v>50.0</v>
      </c>
      <c r="C175" s="9">
        <v>8000.0</v>
      </c>
      <c r="D175" s="9">
        <v>8000.0</v>
      </c>
      <c r="E175" s="9">
        <f t="shared" si="3"/>
        <v>0</v>
      </c>
      <c r="F175" s="9">
        <f t="shared" si="4"/>
        <v>1</v>
      </c>
      <c r="G175" s="11">
        <f t="shared" si="5"/>
        <v>8000</v>
      </c>
      <c r="H175" s="11">
        <f t="shared" si="6"/>
        <v>400000</v>
      </c>
      <c r="I175" s="13" t="str">
        <f t="shared" si="7"/>
        <v>F1</v>
      </c>
      <c r="J175" s="11">
        <f t="shared" si="8"/>
        <v>13520</v>
      </c>
      <c r="K175" s="13" t="str">
        <f t="shared" si="9"/>
        <v>E</v>
      </c>
    </row>
    <row r="176">
      <c r="A176" s="8" t="s">
        <v>232</v>
      </c>
      <c r="B176" s="9">
        <v>783.0</v>
      </c>
      <c r="C176" s="9">
        <v>8066.743295019157</v>
      </c>
      <c r="D176" s="9">
        <v>4155.672514619883</v>
      </c>
      <c r="E176" s="9">
        <f t="shared" si="3"/>
        <v>-3911.07078</v>
      </c>
      <c r="F176" s="9">
        <f t="shared" si="4"/>
        <v>0.5151611205</v>
      </c>
      <c r="G176" s="11">
        <f t="shared" si="5"/>
        <v>8066.743295</v>
      </c>
      <c r="H176" s="11">
        <f t="shared" si="6"/>
        <v>6316260</v>
      </c>
      <c r="I176" s="12" t="str">
        <f t="shared" si="7"/>
        <v>F1</v>
      </c>
      <c r="J176" s="11">
        <f t="shared" si="8"/>
        <v>13632.79617</v>
      </c>
      <c r="K176" s="12" t="str">
        <f t="shared" si="9"/>
        <v>E</v>
      </c>
    </row>
    <row r="177">
      <c r="A177" s="8" t="s">
        <v>168</v>
      </c>
      <c r="B177" s="9">
        <v>746.0</v>
      </c>
      <c r="C177" s="9">
        <v>8133.925737860996</v>
      </c>
      <c r="D177" s="9">
        <v>8133.925737860996</v>
      </c>
      <c r="E177" s="9">
        <f t="shared" si="3"/>
        <v>0</v>
      </c>
      <c r="F177" s="9">
        <f t="shared" si="4"/>
        <v>1</v>
      </c>
      <c r="G177" s="11">
        <f t="shared" si="5"/>
        <v>8133.925738</v>
      </c>
      <c r="H177" s="11">
        <f t="shared" si="6"/>
        <v>6067908.6</v>
      </c>
      <c r="I177" s="12" t="str">
        <f t="shared" si="7"/>
        <v>F1</v>
      </c>
      <c r="J177" s="11">
        <f t="shared" si="8"/>
        <v>13746.3345</v>
      </c>
      <c r="K177" s="12" t="str">
        <f t="shared" si="9"/>
        <v>E</v>
      </c>
    </row>
    <row r="178">
      <c r="A178" s="8" t="s">
        <v>135</v>
      </c>
      <c r="B178" s="9">
        <v>15510.0</v>
      </c>
      <c r="C178" s="9">
        <v>8151.607672469375</v>
      </c>
      <c r="D178" s="9">
        <v>7696.383446255265</v>
      </c>
      <c r="E178" s="9">
        <f t="shared" si="3"/>
        <v>-455.2242262</v>
      </c>
      <c r="F178" s="9">
        <f t="shared" si="4"/>
        <v>0.9441552827</v>
      </c>
      <c r="G178" s="11">
        <f t="shared" si="5"/>
        <v>8151.607672</v>
      </c>
      <c r="H178" s="11">
        <f t="shared" si="6"/>
        <v>126431435</v>
      </c>
      <c r="I178" s="12" t="str">
        <f t="shared" si="7"/>
        <v>F1</v>
      </c>
      <c r="J178" s="11">
        <f t="shared" si="8"/>
        <v>13776.21697</v>
      </c>
      <c r="K178" s="12" t="str">
        <f t="shared" si="9"/>
        <v>E</v>
      </c>
    </row>
    <row r="179">
      <c r="A179" s="8" t="s">
        <v>164</v>
      </c>
      <c r="B179" s="9">
        <v>526.0</v>
      </c>
      <c r="C179" s="9">
        <v>7940.532319391635</v>
      </c>
      <c r="D179" s="9">
        <v>8269.961977186313</v>
      </c>
      <c r="E179" s="9">
        <f t="shared" si="3"/>
        <v>329.4296578</v>
      </c>
      <c r="F179" s="9">
        <f t="shared" si="4"/>
        <v>1.0414871</v>
      </c>
      <c r="G179" s="11">
        <f t="shared" si="5"/>
        <v>8269.961977</v>
      </c>
      <c r="H179" s="11">
        <f t="shared" si="6"/>
        <v>4350000</v>
      </c>
      <c r="I179" s="12" t="str">
        <f t="shared" si="7"/>
        <v>F1</v>
      </c>
      <c r="J179" s="11">
        <f t="shared" si="8"/>
        <v>13976.23574</v>
      </c>
      <c r="K179" s="12" t="str">
        <f t="shared" si="9"/>
        <v>E</v>
      </c>
    </row>
    <row r="180">
      <c r="A180" s="8" t="s">
        <v>297</v>
      </c>
      <c r="B180" s="9">
        <v>1703.0</v>
      </c>
      <c r="C180" s="9">
        <v>8279.33059307105</v>
      </c>
      <c r="D180" s="10">
        <v>8279.0</v>
      </c>
      <c r="E180" s="9">
        <f t="shared" si="3"/>
        <v>-0.3305930711</v>
      </c>
      <c r="F180" s="9">
        <f t="shared" si="4"/>
        <v>0.9999600701</v>
      </c>
      <c r="G180" s="11">
        <f t="shared" si="5"/>
        <v>8279.330593</v>
      </c>
      <c r="H180" s="11">
        <f t="shared" si="6"/>
        <v>14099700</v>
      </c>
      <c r="I180" s="12" t="str">
        <f t="shared" si="7"/>
        <v>F1</v>
      </c>
      <c r="J180" s="11">
        <f t="shared" si="8"/>
        <v>13992.0687</v>
      </c>
      <c r="K180" s="12" t="str">
        <f t="shared" si="9"/>
        <v>E</v>
      </c>
    </row>
    <row r="181">
      <c r="A181" s="8" t="s">
        <v>180</v>
      </c>
      <c r="B181" s="9">
        <v>71.0</v>
      </c>
      <c r="C181" s="10">
        <v>8290.0</v>
      </c>
      <c r="D181" s="10">
        <v>8290.0</v>
      </c>
      <c r="E181" s="9">
        <f t="shared" si="3"/>
        <v>0</v>
      </c>
      <c r="F181" s="9">
        <f t="shared" si="4"/>
        <v>1</v>
      </c>
      <c r="G181" s="11">
        <f t="shared" si="5"/>
        <v>8290</v>
      </c>
      <c r="H181" s="11">
        <f t="shared" si="6"/>
        <v>588590</v>
      </c>
      <c r="I181" s="12" t="str">
        <f t="shared" si="7"/>
        <v>F1</v>
      </c>
      <c r="J181" s="11">
        <f t="shared" si="8"/>
        <v>14010.1</v>
      </c>
      <c r="K181" s="12" t="str">
        <f t="shared" si="9"/>
        <v>E</v>
      </c>
    </row>
    <row r="182">
      <c r="A182" s="8" t="s">
        <v>321</v>
      </c>
      <c r="B182" s="9">
        <v>1586.0</v>
      </c>
      <c r="C182" s="9">
        <v>8294.716267339218</v>
      </c>
      <c r="D182" s="9">
        <v>8294.716267339218</v>
      </c>
      <c r="E182" s="9">
        <f t="shared" si="3"/>
        <v>0</v>
      </c>
      <c r="F182" s="9">
        <f t="shared" si="4"/>
        <v>1</v>
      </c>
      <c r="G182" s="11">
        <f t="shared" si="5"/>
        <v>8294.716267</v>
      </c>
      <c r="H182" s="11">
        <f t="shared" si="6"/>
        <v>13155420</v>
      </c>
      <c r="I182" s="12" t="str">
        <f t="shared" si="7"/>
        <v>F1</v>
      </c>
      <c r="J182" s="11">
        <f t="shared" si="8"/>
        <v>14018.07049</v>
      </c>
      <c r="K182" s="12" t="str">
        <f t="shared" si="9"/>
        <v>E</v>
      </c>
    </row>
    <row r="183">
      <c r="A183" s="8" t="s">
        <v>266</v>
      </c>
      <c r="B183" s="9">
        <v>8456.0</v>
      </c>
      <c r="C183" s="9">
        <v>4284.242549668874</v>
      </c>
      <c r="D183" s="9">
        <v>8342.113475959417</v>
      </c>
      <c r="E183" s="9">
        <f t="shared" si="3"/>
        <v>4057.870926</v>
      </c>
      <c r="F183" s="9">
        <f t="shared" si="4"/>
        <v>1.94716181</v>
      </c>
      <c r="G183" s="11">
        <f t="shared" si="5"/>
        <v>8342.113476</v>
      </c>
      <c r="H183" s="11">
        <f t="shared" si="6"/>
        <v>70540911.55</v>
      </c>
      <c r="I183" s="12" t="str">
        <f t="shared" si="7"/>
        <v>F1</v>
      </c>
      <c r="J183" s="11">
        <f t="shared" si="8"/>
        <v>14098.17177</v>
      </c>
      <c r="K183" s="12" t="str">
        <f t="shared" si="9"/>
        <v>E</v>
      </c>
    </row>
    <row r="184">
      <c r="A184" s="8" t="s">
        <v>409</v>
      </c>
      <c r="B184" s="9">
        <v>26716.0</v>
      </c>
      <c r="C184" s="9">
        <v>8376.350501572091</v>
      </c>
      <c r="D184" s="9">
        <v>7174.523385489548</v>
      </c>
      <c r="E184" s="9">
        <f t="shared" si="3"/>
        <v>-1201.827116</v>
      </c>
      <c r="F184" s="9">
        <f t="shared" si="4"/>
        <v>0.8565213913</v>
      </c>
      <c r="G184" s="11">
        <f t="shared" si="5"/>
        <v>8376.350502</v>
      </c>
      <c r="H184" s="11">
        <f t="shared" si="6"/>
        <v>223782580</v>
      </c>
      <c r="I184" s="12" t="str">
        <f t="shared" si="7"/>
        <v>F1</v>
      </c>
      <c r="J184" s="11">
        <f t="shared" si="8"/>
        <v>14156.03235</v>
      </c>
      <c r="K184" s="12" t="str">
        <f t="shared" si="9"/>
        <v>E</v>
      </c>
    </row>
    <row r="185">
      <c r="A185" s="8" t="s">
        <v>361</v>
      </c>
      <c r="B185" s="9">
        <v>857.0</v>
      </c>
      <c r="C185" s="9">
        <v>8391.271878646441</v>
      </c>
      <c r="D185" s="9">
        <v>4274.923413566739</v>
      </c>
      <c r="E185" s="9">
        <f t="shared" si="3"/>
        <v>-4116.348465</v>
      </c>
      <c r="F185" s="9">
        <f t="shared" si="4"/>
        <v>0.5094488029</v>
      </c>
      <c r="G185" s="11">
        <f t="shared" si="5"/>
        <v>8391.271879</v>
      </c>
      <c r="H185" s="11">
        <f t="shared" si="6"/>
        <v>7191320</v>
      </c>
      <c r="I185" s="12" t="str">
        <f t="shared" si="7"/>
        <v>F1</v>
      </c>
      <c r="J185" s="11">
        <f t="shared" si="8"/>
        <v>14181.24947</v>
      </c>
      <c r="K185" s="12" t="str">
        <f t="shared" si="9"/>
        <v>E</v>
      </c>
    </row>
    <row r="186">
      <c r="A186" s="8" t="s">
        <v>439</v>
      </c>
      <c r="B186" s="9">
        <v>63.0</v>
      </c>
      <c r="C186" s="9">
        <v>6800.0</v>
      </c>
      <c r="D186" s="9">
        <v>8398.707423580787</v>
      </c>
      <c r="E186" s="9">
        <f t="shared" si="3"/>
        <v>1598.707424</v>
      </c>
      <c r="F186" s="9">
        <f t="shared" si="4"/>
        <v>1.235104033</v>
      </c>
      <c r="G186" s="11">
        <f t="shared" si="5"/>
        <v>8398.707424</v>
      </c>
      <c r="H186" s="11">
        <f t="shared" si="6"/>
        <v>529118.5677</v>
      </c>
      <c r="I186" s="12" t="str">
        <f t="shared" si="7"/>
        <v>F1</v>
      </c>
      <c r="J186" s="11">
        <f t="shared" si="8"/>
        <v>14193.81555</v>
      </c>
      <c r="K186" s="12" t="str">
        <f t="shared" si="9"/>
        <v>E</v>
      </c>
    </row>
    <row r="187">
      <c r="A187" s="8" t="s">
        <v>188</v>
      </c>
      <c r="B187" s="9">
        <v>2155.0</v>
      </c>
      <c r="C187" s="9">
        <v>8406.496519721577</v>
      </c>
      <c r="D187" s="9">
        <v>7534.293513166345</v>
      </c>
      <c r="E187" s="9">
        <f t="shared" si="3"/>
        <v>-872.2030066</v>
      </c>
      <c r="F187" s="9">
        <f t="shared" si="4"/>
        <v>0.8962465512</v>
      </c>
      <c r="G187" s="11">
        <f t="shared" si="5"/>
        <v>8406.49652</v>
      </c>
      <c r="H187" s="11">
        <f t="shared" si="6"/>
        <v>18116000</v>
      </c>
      <c r="I187" s="12" t="str">
        <f t="shared" si="7"/>
        <v>F1</v>
      </c>
      <c r="J187" s="11">
        <f t="shared" si="8"/>
        <v>14206.97912</v>
      </c>
      <c r="K187" s="12" t="str">
        <f t="shared" si="9"/>
        <v>E</v>
      </c>
    </row>
    <row r="188">
      <c r="A188" s="8" t="s">
        <v>117</v>
      </c>
      <c r="B188" s="9">
        <v>130.0</v>
      </c>
      <c r="C188" s="9">
        <v>8461.538461538461</v>
      </c>
      <c r="D188" s="9">
        <v>5380.1682692307695</v>
      </c>
      <c r="E188" s="9">
        <f t="shared" si="3"/>
        <v>-3081.370192</v>
      </c>
      <c r="F188" s="9">
        <f t="shared" si="4"/>
        <v>0.6358380682</v>
      </c>
      <c r="G188" s="11">
        <f t="shared" si="5"/>
        <v>8461.538462</v>
      </c>
      <c r="H188" s="11">
        <f t="shared" si="6"/>
        <v>1100000</v>
      </c>
      <c r="I188" s="12" t="str">
        <f t="shared" si="7"/>
        <v>F1</v>
      </c>
      <c r="J188" s="11">
        <f t="shared" si="8"/>
        <v>14300</v>
      </c>
      <c r="K188" s="12" t="str">
        <f t="shared" si="9"/>
        <v>E</v>
      </c>
    </row>
    <row r="189">
      <c r="A189" s="8" t="s">
        <v>76</v>
      </c>
      <c r="B189" s="9">
        <v>84.0</v>
      </c>
      <c r="C189" s="9">
        <v>8504.273504273504</v>
      </c>
      <c r="D189" s="9">
        <v>8504.273504273504</v>
      </c>
      <c r="E189" s="9">
        <f t="shared" si="3"/>
        <v>0</v>
      </c>
      <c r="F189" s="9">
        <f t="shared" si="4"/>
        <v>1</v>
      </c>
      <c r="G189" s="11">
        <f t="shared" si="5"/>
        <v>8504.273504</v>
      </c>
      <c r="H189" s="11">
        <f t="shared" si="6"/>
        <v>714358.9744</v>
      </c>
      <c r="I189" s="12" t="str">
        <f t="shared" si="7"/>
        <v>F1</v>
      </c>
      <c r="J189" s="11">
        <f t="shared" si="8"/>
        <v>14372.22222</v>
      </c>
      <c r="K189" s="12" t="str">
        <f t="shared" si="9"/>
        <v>E</v>
      </c>
    </row>
    <row r="190">
      <c r="A190" s="8" t="s">
        <v>157</v>
      </c>
      <c r="B190" s="9">
        <v>739.0</v>
      </c>
      <c r="C190" s="9">
        <v>3604.668470906631</v>
      </c>
      <c r="D190" s="9">
        <v>8506.87296416938</v>
      </c>
      <c r="E190" s="9">
        <f t="shared" si="3"/>
        <v>4902.204493</v>
      </c>
      <c r="F190" s="9">
        <f t="shared" si="4"/>
        <v>2.359959878</v>
      </c>
      <c r="G190" s="11">
        <f t="shared" si="5"/>
        <v>8506.872964</v>
      </c>
      <c r="H190" s="11">
        <f t="shared" si="6"/>
        <v>6286579.121</v>
      </c>
      <c r="I190" s="12" t="str">
        <f t="shared" si="7"/>
        <v>F1</v>
      </c>
      <c r="J190" s="11">
        <f t="shared" si="8"/>
        <v>14376.61531</v>
      </c>
      <c r="K190" s="12" t="str">
        <f t="shared" si="9"/>
        <v>E</v>
      </c>
    </row>
    <row r="191">
      <c r="A191" s="8" t="s">
        <v>176</v>
      </c>
      <c r="B191" s="9">
        <v>11318.0</v>
      </c>
      <c r="C191" s="9">
        <v>8507.931613359251</v>
      </c>
      <c r="D191" s="9">
        <v>5826.474756421612</v>
      </c>
      <c r="E191" s="9">
        <f t="shared" si="3"/>
        <v>-2681.456857</v>
      </c>
      <c r="F191" s="9">
        <f t="shared" si="4"/>
        <v>0.6848285836</v>
      </c>
      <c r="G191" s="11">
        <f t="shared" si="5"/>
        <v>8507.931613</v>
      </c>
      <c r="H191" s="11">
        <f t="shared" si="6"/>
        <v>96292770</v>
      </c>
      <c r="I191" s="12" t="str">
        <f t="shared" si="7"/>
        <v>F1</v>
      </c>
      <c r="J191" s="11">
        <f t="shared" si="8"/>
        <v>14378.40443</v>
      </c>
      <c r="K191" s="12" t="str">
        <f t="shared" si="9"/>
        <v>E</v>
      </c>
    </row>
    <row r="192">
      <c r="A192" s="8" t="s">
        <v>335</v>
      </c>
      <c r="B192" s="9">
        <v>5877.0</v>
      </c>
      <c r="C192" s="9">
        <v>8540.712948783394</v>
      </c>
      <c r="D192" s="9">
        <v>7503.2408236347355</v>
      </c>
      <c r="E192" s="9">
        <f t="shared" si="3"/>
        <v>-1037.472125</v>
      </c>
      <c r="F192" s="9">
        <f t="shared" si="4"/>
        <v>0.8785262856</v>
      </c>
      <c r="G192" s="11">
        <f t="shared" si="5"/>
        <v>8540.712949</v>
      </c>
      <c r="H192" s="11">
        <f t="shared" si="6"/>
        <v>50193770</v>
      </c>
      <c r="I192" s="12" t="str">
        <f t="shared" si="7"/>
        <v>F1</v>
      </c>
      <c r="J192" s="11">
        <f t="shared" si="8"/>
        <v>14433.80488</v>
      </c>
      <c r="K192" s="12" t="str">
        <f t="shared" si="9"/>
        <v>E</v>
      </c>
    </row>
    <row r="193">
      <c r="A193" s="8" t="s">
        <v>276</v>
      </c>
      <c r="B193" s="9">
        <v>326.0</v>
      </c>
      <c r="C193" s="9">
        <v>8600.0</v>
      </c>
      <c r="D193" s="9">
        <v>6288.931411530815</v>
      </c>
      <c r="E193" s="9">
        <f t="shared" si="3"/>
        <v>-2311.068588</v>
      </c>
      <c r="F193" s="9">
        <f t="shared" si="4"/>
        <v>0.7312710944</v>
      </c>
      <c r="G193" s="11">
        <f t="shared" si="5"/>
        <v>8600</v>
      </c>
      <c r="H193" s="11">
        <f t="shared" si="6"/>
        <v>2803600</v>
      </c>
      <c r="I193" s="12" t="str">
        <f t="shared" si="7"/>
        <v>F1</v>
      </c>
      <c r="J193" s="11">
        <f t="shared" si="8"/>
        <v>14534</v>
      </c>
      <c r="K193" s="12" t="str">
        <f t="shared" si="9"/>
        <v>E</v>
      </c>
    </row>
    <row r="194">
      <c r="A194" s="8" t="s">
        <v>104</v>
      </c>
      <c r="B194" s="9">
        <v>45.0</v>
      </c>
      <c r="C194" s="9">
        <v>8600.0</v>
      </c>
      <c r="D194" s="9">
        <v>7054.6875</v>
      </c>
      <c r="E194" s="9">
        <f t="shared" si="3"/>
        <v>-1545.3125</v>
      </c>
      <c r="F194" s="9">
        <f t="shared" si="4"/>
        <v>0.8203125</v>
      </c>
      <c r="G194" s="11">
        <f t="shared" si="5"/>
        <v>8600</v>
      </c>
      <c r="H194" s="11">
        <f t="shared" si="6"/>
        <v>387000</v>
      </c>
      <c r="I194" s="12" t="str">
        <f t="shared" si="7"/>
        <v>F1</v>
      </c>
      <c r="J194" s="11">
        <f t="shared" si="8"/>
        <v>14534</v>
      </c>
      <c r="K194" s="12" t="str">
        <f t="shared" si="9"/>
        <v>E</v>
      </c>
    </row>
    <row r="195">
      <c r="A195" s="8" t="s">
        <v>96</v>
      </c>
      <c r="B195" s="9">
        <v>156.0</v>
      </c>
      <c r="C195" s="9">
        <v>8600.0</v>
      </c>
      <c r="D195" s="9">
        <v>8600.0</v>
      </c>
      <c r="E195" s="9">
        <f t="shared" si="3"/>
        <v>0</v>
      </c>
      <c r="F195" s="9">
        <f t="shared" si="4"/>
        <v>1</v>
      </c>
      <c r="G195" s="11">
        <f t="shared" si="5"/>
        <v>8600</v>
      </c>
      <c r="H195" s="11">
        <f t="shared" si="6"/>
        <v>1341600</v>
      </c>
      <c r="I195" s="12" t="str">
        <f t="shared" si="7"/>
        <v>F1</v>
      </c>
      <c r="J195" s="11">
        <f t="shared" si="8"/>
        <v>14534</v>
      </c>
      <c r="K195" s="12" t="str">
        <f t="shared" si="9"/>
        <v>E</v>
      </c>
    </row>
    <row r="196">
      <c r="A196" s="8" t="s">
        <v>303</v>
      </c>
      <c r="B196" s="9">
        <v>3655.0</v>
      </c>
      <c r="C196" s="10">
        <v>5740.0</v>
      </c>
      <c r="D196" s="9">
        <v>8617.343035343036</v>
      </c>
      <c r="E196" s="9">
        <f t="shared" si="3"/>
        <v>2877.343035</v>
      </c>
      <c r="F196" s="9">
        <f t="shared" si="4"/>
        <v>1.501279274</v>
      </c>
      <c r="G196" s="11">
        <f t="shared" si="5"/>
        <v>8617.343035</v>
      </c>
      <c r="H196" s="11">
        <f t="shared" si="6"/>
        <v>31496388.79</v>
      </c>
      <c r="I196" s="12" t="str">
        <f t="shared" si="7"/>
        <v>F1</v>
      </c>
      <c r="J196" s="11">
        <f t="shared" si="8"/>
        <v>14563.30973</v>
      </c>
      <c r="K196" s="12" t="str">
        <f t="shared" si="9"/>
        <v>E</v>
      </c>
    </row>
    <row r="197">
      <c r="A197" s="59" t="s">
        <v>246</v>
      </c>
      <c r="B197" s="60">
        <v>5279.0</v>
      </c>
      <c r="C197" s="60">
        <v>3617.5222580034097</v>
      </c>
      <c r="D197" s="60">
        <v>8657.200215575316</v>
      </c>
      <c r="E197" s="60">
        <f t="shared" si="3"/>
        <v>5039.677958</v>
      </c>
      <c r="F197" s="60">
        <f t="shared" si="4"/>
        <v>2.393129772</v>
      </c>
      <c r="G197" s="61">
        <f t="shared" si="5"/>
        <v>8657.200216</v>
      </c>
      <c r="H197" s="61">
        <f t="shared" si="6"/>
        <v>45701359.94</v>
      </c>
      <c r="I197" s="62" t="str">
        <f t="shared" si="7"/>
        <v>F1</v>
      </c>
      <c r="J197" s="61">
        <f t="shared" si="8"/>
        <v>14630.66836</v>
      </c>
      <c r="K197" s="62" t="str">
        <f t="shared" si="9"/>
        <v>E</v>
      </c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</row>
    <row r="198">
      <c r="A198" s="8" t="s">
        <v>312</v>
      </c>
      <c r="B198" s="9">
        <v>250.0</v>
      </c>
      <c r="C198" s="9">
        <v>8703.84</v>
      </c>
      <c r="D198" s="9">
        <v>8703.84</v>
      </c>
      <c r="E198" s="9">
        <f t="shared" si="3"/>
        <v>0</v>
      </c>
      <c r="F198" s="9">
        <f t="shared" si="4"/>
        <v>1</v>
      </c>
      <c r="G198" s="11">
        <f t="shared" si="5"/>
        <v>8703.84</v>
      </c>
      <c r="H198" s="11">
        <f t="shared" si="6"/>
        <v>2175960</v>
      </c>
      <c r="I198" s="12" t="str">
        <f t="shared" si="7"/>
        <v>F1</v>
      </c>
      <c r="J198" s="11">
        <f t="shared" si="8"/>
        <v>14709.4896</v>
      </c>
      <c r="K198" s="12" t="str">
        <f t="shared" si="9"/>
        <v>E</v>
      </c>
    </row>
    <row r="199">
      <c r="A199" s="8" t="s">
        <v>407</v>
      </c>
      <c r="B199" s="9">
        <v>907.0</v>
      </c>
      <c r="C199" s="10">
        <v>8720.0</v>
      </c>
      <c r="D199" s="10">
        <v>8720.0</v>
      </c>
      <c r="E199" s="9">
        <f t="shared" si="3"/>
        <v>0</v>
      </c>
      <c r="F199" s="9">
        <f t="shared" si="4"/>
        <v>1</v>
      </c>
      <c r="G199" s="11">
        <f t="shared" si="5"/>
        <v>8720</v>
      </c>
      <c r="H199" s="11">
        <f t="shared" si="6"/>
        <v>7909040</v>
      </c>
      <c r="I199" s="12" t="str">
        <f t="shared" si="7"/>
        <v>F1</v>
      </c>
      <c r="J199" s="11">
        <f t="shared" si="8"/>
        <v>14736.8</v>
      </c>
      <c r="K199" s="12" t="str">
        <f t="shared" si="9"/>
        <v>E</v>
      </c>
    </row>
    <row r="200">
      <c r="A200" s="8" t="s">
        <v>196</v>
      </c>
      <c r="B200" s="9">
        <v>2777.0</v>
      </c>
      <c r="C200" s="9">
        <v>4265.718401152322</v>
      </c>
      <c r="D200" s="9">
        <v>8751.38952164009</v>
      </c>
      <c r="E200" s="9">
        <f t="shared" si="3"/>
        <v>4485.67112</v>
      </c>
      <c r="F200" s="9">
        <f t="shared" si="4"/>
        <v>2.051562878</v>
      </c>
      <c r="G200" s="11">
        <f t="shared" si="5"/>
        <v>8751.389522</v>
      </c>
      <c r="H200" s="11">
        <f t="shared" si="6"/>
        <v>24302608.7</v>
      </c>
      <c r="I200" s="12" t="str">
        <f t="shared" si="7"/>
        <v>F1</v>
      </c>
      <c r="J200" s="11">
        <f t="shared" si="8"/>
        <v>14789.84829</v>
      </c>
      <c r="K200" s="12" t="str">
        <f t="shared" si="9"/>
        <v>E</v>
      </c>
    </row>
    <row r="201">
      <c r="A201" s="8" t="s">
        <v>49</v>
      </c>
      <c r="B201" s="9">
        <v>137.0</v>
      </c>
      <c r="C201" s="9">
        <v>8792.700729927008</v>
      </c>
      <c r="D201" s="9">
        <v>3814.7566718995295</v>
      </c>
      <c r="E201" s="9">
        <f t="shared" si="3"/>
        <v>-4977.944058</v>
      </c>
      <c r="F201" s="9">
        <f t="shared" si="4"/>
        <v>0.4338549428</v>
      </c>
      <c r="G201" s="11">
        <f t="shared" si="5"/>
        <v>8792.70073</v>
      </c>
      <c r="H201" s="11">
        <f t="shared" si="6"/>
        <v>1204600</v>
      </c>
      <c r="I201" s="13" t="str">
        <f t="shared" si="7"/>
        <v>F1</v>
      </c>
      <c r="J201" s="11">
        <f t="shared" si="8"/>
        <v>14859.66423</v>
      </c>
      <c r="K201" s="13" t="str">
        <f t="shared" si="9"/>
        <v>E</v>
      </c>
    </row>
    <row r="202">
      <c r="A202" s="8" t="s">
        <v>250</v>
      </c>
      <c r="B202" s="9">
        <v>1822.0</v>
      </c>
      <c r="C202" s="9">
        <v>8806.081229418221</v>
      </c>
      <c r="D202" s="9">
        <v>4239.6198099049525</v>
      </c>
      <c r="E202" s="9">
        <f t="shared" si="3"/>
        <v>-4566.46142</v>
      </c>
      <c r="F202" s="9">
        <f t="shared" si="4"/>
        <v>0.4814422783</v>
      </c>
      <c r="G202" s="11">
        <f t="shared" si="5"/>
        <v>8806.081229</v>
      </c>
      <c r="H202" s="11">
        <f t="shared" si="6"/>
        <v>16044680</v>
      </c>
      <c r="I202" s="12" t="str">
        <f t="shared" si="7"/>
        <v>F1</v>
      </c>
      <c r="J202" s="11">
        <f t="shared" si="8"/>
        <v>14882.27728</v>
      </c>
      <c r="K202" s="12" t="str">
        <f t="shared" si="9"/>
        <v>E</v>
      </c>
    </row>
    <row r="203">
      <c r="A203" s="8" t="s">
        <v>279</v>
      </c>
      <c r="B203" s="9">
        <v>735.0</v>
      </c>
      <c r="C203" s="10">
        <v>8890.0</v>
      </c>
      <c r="D203" s="10">
        <v>8890.0</v>
      </c>
      <c r="E203" s="9">
        <f t="shared" si="3"/>
        <v>0</v>
      </c>
      <c r="F203" s="9">
        <f t="shared" si="4"/>
        <v>1</v>
      </c>
      <c r="G203" s="11">
        <f t="shared" si="5"/>
        <v>8890</v>
      </c>
      <c r="H203" s="11">
        <f t="shared" si="6"/>
        <v>6534150</v>
      </c>
      <c r="I203" s="12" t="str">
        <f t="shared" si="7"/>
        <v>F1</v>
      </c>
      <c r="J203" s="11">
        <f t="shared" si="8"/>
        <v>15024.1</v>
      </c>
      <c r="K203" s="12" t="str">
        <f t="shared" si="9"/>
        <v>E</v>
      </c>
    </row>
    <row r="204">
      <c r="A204" s="8" t="s">
        <v>141</v>
      </c>
      <c r="B204" s="9">
        <v>4982.0</v>
      </c>
      <c r="C204" s="9">
        <v>3407.396627860297</v>
      </c>
      <c r="D204" s="9">
        <v>8903.71963562753</v>
      </c>
      <c r="E204" s="9">
        <f t="shared" si="3"/>
        <v>5496.323008</v>
      </c>
      <c r="F204" s="9">
        <f t="shared" si="4"/>
        <v>2.613056421</v>
      </c>
      <c r="G204" s="11">
        <f t="shared" si="5"/>
        <v>8903.719636</v>
      </c>
      <c r="H204" s="11">
        <f t="shared" si="6"/>
        <v>44358331.22</v>
      </c>
      <c r="I204" s="12" t="str">
        <f t="shared" si="7"/>
        <v>F1</v>
      </c>
      <c r="J204" s="11">
        <f t="shared" si="8"/>
        <v>15047.28618</v>
      </c>
      <c r="K204" s="12" t="str">
        <f t="shared" si="9"/>
        <v>E</v>
      </c>
    </row>
    <row r="205">
      <c r="A205" s="8" t="s">
        <v>136</v>
      </c>
      <c r="B205" s="9">
        <v>23467.0</v>
      </c>
      <c r="C205" s="9">
        <v>9088.329398730131</v>
      </c>
      <c r="D205" s="9">
        <v>6731.236663433559</v>
      </c>
      <c r="E205" s="9">
        <f t="shared" si="3"/>
        <v>-2357.092735</v>
      </c>
      <c r="F205" s="9">
        <f t="shared" si="4"/>
        <v>0.7406462033</v>
      </c>
      <c r="G205" s="11">
        <f t="shared" si="5"/>
        <v>9088.329399</v>
      </c>
      <c r="H205" s="11">
        <f t="shared" si="6"/>
        <v>213275826</v>
      </c>
      <c r="I205" s="12" t="str">
        <f t="shared" si="7"/>
        <v>F1</v>
      </c>
      <c r="J205" s="11">
        <f t="shared" si="8"/>
        <v>15359.27668</v>
      </c>
      <c r="K205" s="12" t="str">
        <f t="shared" si="9"/>
        <v>E</v>
      </c>
    </row>
    <row r="206">
      <c r="A206" s="8" t="s">
        <v>177</v>
      </c>
      <c r="B206" s="9">
        <v>1232.0</v>
      </c>
      <c r="C206" s="9">
        <v>9096.672077922078</v>
      </c>
      <c r="D206" s="9">
        <v>6777.530364372469</v>
      </c>
      <c r="E206" s="9">
        <f t="shared" si="3"/>
        <v>-2319.141714</v>
      </c>
      <c r="F206" s="9">
        <f t="shared" si="4"/>
        <v>0.7450560278</v>
      </c>
      <c r="G206" s="11">
        <f t="shared" si="5"/>
        <v>9096.672078</v>
      </c>
      <c r="H206" s="11">
        <f t="shared" si="6"/>
        <v>11207100</v>
      </c>
      <c r="I206" s="12" t="str">
        <f t="shared" si="7"/>
        <v>F1</v>
      </c>
      <c r="J206" s="11">
        <f t="shared" si="8"/>
        <v>15373.37581</v>
      </c>
      <c r="K206" s="12" t="str">
        <f t="shared" si="9"/>
        <v>E</v>
      </c>
    </row>
    <row r="207">
      <c r="A207" s="8" t="s">
        <v>89</v>
      </c>
      <c r="B207" s="9">
        <v>7674.0</v>
      </c>
      <c r="C207" s="9">
        <v>9169.963513161323</v>
      </c>
      <c r="D207" s="9">
        <v>7509.72193184194</v>
      </c>
      <c r="E207" s="9">
        <f t="shared" si="3"/>
        <v>-1660.241581</v>
      </c>
      <c r="F207" s="9">
        <f t="shared" si="4"/>
        <v>0.8189478531</v>
      </c>
      <c r="G207" s="11">
        <f t="shared" si="5"/>
        <v>9169.963513</v>
      </c>
      <c r="H207" s="11">
        <f t="shared" si="6"/>
        <v>70370300</v>
      </c>
      <c r="I207" s="12" t="str">
        <f t="shared" si="7"/>
        <v>F1</v>
      </c>
      <c r="J207" s="11">
        <f t="shared" si="8"/>
        <v>15497.23834</v>
      </c>
      <c r="K207" s="12" t="str">
        <f t="shared" si="9"/>
        <v>E</v>
      </c>
    </row>
    <row r="208">
      <c r="A208" s="8" t="s">
        <v>458</v>
      </c>
      <c r="B208" s="9">
        <v>69.0</v>
      </c>
      <c r="C208" s="9">
        <v>6450.0</v>
      </c>
      <c r="D208" s="9">
        <v>9196.98596705308</v>
      </c>
      <c r="E208" s="9">
        <f t="shared" si="3"/>
        <v>2746.985967</v>
      </c>
      <c r="F208" s="9">
        <f t="shared" si="4"/>
        <v>1.425889297</v>
      </c>
      <c r="G208" s="11">
        <f t="shared" si="5"/>
        <v>9196.985967</v>
      </c>
      <c r="H208" s="11">
        <f t="shared" si="6"/>
        <v>634592.0317</v>
      </c>
      <c r="I208" s="12" t="str">
        <f t="shared" si="7"/>
        <v>F1</v>
      </c>
      <c r="J208" s="11">
        <f t="shared" si="8"/>
        <v>15542.90628</v>
      </c>
      <c r="K208" s="12" t="str">
        <f t="shared" si="9"/>
        <v>E</v>
      </c>
    </row>
    <row r="209">
      <c r="A209" s="8" t="s">
        <v>234</v>
      </c>
      <c r="B209" s="9">
        <v>154.0</v>
      </c>
      <c r="C209" s="9">
        <v>9233.766233766233</v>
      </c>
      <c r="D209" s="9">
        <v>9233.766233766233</v>
      </c>
      <c r="E209" s="9">
        <f t="shared" si="3"/>
        <v>0</v>
      </c>
      <c r="F209" s="9">
        <f t="shared" si="4"/>
        <v>1</v>
      </c>
      <c r="G209" s="11">
        <f t="shared" si="5"/>
        <v>9233.766234</v>
      </c>
      <c r="H209" s="11">
        <f t="shared" si="6"/>
        <v>1422000</v>
      </c>
      <c r="I209" s="12" t="str">
        <f t="shared" si="7"/>
        <v>F1</v>
      </c>
      <c r="J209" s="11">
        <f t="shared" si="8"/>
        <v>15605.06494</v>
      </c>
      <c r="K209" s="12" t="str">
        <f t="shared" si="9"/>
        <v>E</v>
      </c>
    </row>
    <row r="210">
      <c r="A210" s="8" t="s">
        <v>360</v>
      </c>
      <c r="B210" s="9">
        <v>660.0</v>
      </c>
      <c r="C210" s="9">
        <v>7593.333333333333</v>
      </c>
      <c r="D210" s="9">
        <v>9321.552106430156</v>
      </c>
      <c r="E210" s="9">
        <f t="shared" si="3"/>
        <v>1728.218773</v>
      </c>
      <c r="F210" s="9">
        <f t="shared" si="4"/>
        <v>1.227596853</v>
      </c>
      <c r="G210" s="11">
        <f t="shared" si="5"/>
        <v>9321.552106</v>
      </c>
      <c r="H210" s="11">
        <f t="shared" si="6"/>
        <v>6152224.39</v>
      </c>
      <c r="I210" s="12" t="str">
        <f t="shared" si="7"/>
        <v>F1</v>
      </c>
      <c r="J210" s="11">
        <f t="shared" si="8"/>
        <v>15753.42306</v>
      </c>
      <c r="K210" s="12" t="str">
        <f t="shared" si="9"/>
        <v>E</v>
      </c>
    </row>
    <row r="211">
      <c r="A211" s="8" t="s">
        <v>415</v>
      </c>
      <c r="B211" s="9">
        <v>4170.0</v>
      </c>
      <c r="C211" s="9">
        <v>6153.273381294964</v>
      </c>
      <c r="D211" s="9">
        <v>9511.005901287554</v>
      </c>
      <c r="E211" s="9">
        <f t="shared" si="3"/>
        <v>3357.73252</v>
      </c>
      <c r="F211" s="9">
        <f t="shared" si="4"/>
        <v>1.545682324</v>
      </c>
      <c r="G211" s="11">
        <f t="shared" si="5"/>
        <v>9511.005901</v>
      </c>
      <c r="H211" s="11">
        <f t="shared" si="6"/>
        <v>39660894.61</v>
      </c>
      <c r="I211" s="12" t="str">
        <f t="shared" si="7"/>
        <v>F1</v>
      </c>
      <c r="J211" s="11">
        <f t="shared" si="8"/>
        <v>16073.59997</v>
      </c>
      <c r="K211" s="12" t="str">
        <f t="shared" si="9"/>
        <v>E1</v>
      </c>
    </row>
    <row r="212">
      <c r="A212" s="8" t="s">
        <v>318</v>
      </c>
      <c r="B212" s="9">
        <v>2700.0</v>
      </c>
      <c r="C212" s="9">
        <v>7232.444444444444</v>
      </c>
      <c r="D212" s="9">
        <v>9586.666666666666</v>
      </c>
      <c r="E212" s="9">
        <f t="shared" si="3"/>
        <v>2354.222222</v>
      </c>
      <c r="F212" s="9">
        <f t="shared" si="4"/>
        <v>1.325508511</v>
      </c>
      <c r="G212" s="11">
        <f t="shared" si="5"/>
        <v>9586.666667</v>
      </c>
      <c r="H212" s="11">
        <f t="shared" si="6"/>
        <v>25884000</v>
      </c>
      <c r="I212" s="12" t="str">
        <f t="shared" si="7"/>
        <v>F1</v>
      </c>
      <c r="J212" s="11">
        <f t="shared" si="8"/>
        <v>16201.46667</v>
      </c>
      <c r="K212" s="12" t="str">
        <f t="shared" si="9"/>
        <v>E1</v>
      </c>
    </row>
    <row r="213">
      <c r="A213" s="8" t="s">
        <v>414</v>
      </c>
      <c r="B213" s="9">
        <v>1488.0</v>
      </c>
      <c r="C213" s="9">
        <v>9599.462365591398</v>
      </c>
      <c r="D213" s="9">
        <v>9217.344217687074</v>
      </c>
      <c r="E213" s="9">
        <f t="shared" si="3"/>
        <v>-382.1181479</v>
      </c>
      <c r="F213" s="9">
        <f t="shared" si="4"/>
        <v>0.960193797</v>
      </c>
      <c r="G213" s="11">
        <f t="shared" si="5"/>
        <v>9599.462366</v>
      </c>
      <c r="H213" s="11">
        <f t="shared" si="6"/>
        <v>14284000</v>
      </c>
      <c r="I213" s="12" t="str">
        <f t="shared" si="7"/>
        <v>F1</v>
      </c>
      <c r="J213" s="11">
        <f t="shared" si="8"/>
        <v>16223.0914</v>
      </c>
      <c r="K213" s="12" t="str">
        <f t="shared" si="9"/>
        <v>E1</v>
      </c>
    </row>
    <row r="214">
      <c r="A214" s="8" t="s">
        <v>305</v>
      </c>
      <c r="B214" s="9">
        <v>484.0</v>
      </c>
      <c r="C214" s="9">
        <v>3000.0</v>
      </c>
      <c r="D214" s="9">
        <v>9679.91532599492</v>
      </c>
      <c r="E214" s="9">
        <f t="shared" si="3"/>
        <v>6679.915326</v>
      </c>
      <c r="F214" s="9">
        <f t="shared" si="4"/>
        <v>3.226638442</v>
      </c>
      <c r="G214" s="11">
        <f t="shared" si="5"/>
        <v>9679.915326</v>
      </c>
      <c r="H214" s="11">
        <f t="shared" si="6"/>
        <v>4685079.018</v>
      </c>
      <c r="I214" s="12" t="str">
        <f t="shared" si="7"/>
        <v>F1</v>
      </c>
      <c r="J214" s="11">
        <f t="shared" si="8"/>
        <v>16359.0569</v>
      </c>
      <c r="K214" s="12" t="str">
        <f t="shared" si="9"/>
        <v>E1</v>
      </c>
    </row>
    <row r="215">
      <c r="A215" s="8" t="s">
        <v>172</v>
      </c>
      <c r="B215" s="9">
        <v>191.0</v>
      </c>
      <c r="C215" s="9">
        <v>9687.958115183246</v>
      </c>
      <c r="D215" s="9">
        <v>9687.958115183246</v>
      </c>
      <c r="E215" s="9">
        <f t="shared" si="3"/>
        <v>0</v>
      </c>
      <c r="F215" s="9">
        <f t="shared" si="4"/>
        <v>1</v>
      </c>
      <c r="G215" s="11">
        <f t="shared" si="5"/>
        <v>9687.958115</v>
      </c>
      <c r="H215" s="11">
        <f t="shared" si="6"/>
        <v>1850400</v>
      </c>
      <c r="I215" s="12" t="str">
        <f t="shared" si="7"/>
        <v>F1</v>
      </c>
      <c r="J215" s="11">
        <f t="shared" si="8"/>
        <v>16372.64921</v>
      </c>
      <c r="K215" s="12" t="str">
        <f t="shared" si="9"/>
        <v>E1</v>
      </c>
    </row>
    <row r="216">
      <c r="A216" s="8" t="s">
        <v>336</v>
      </c>
      <c r="B216" s="9">
        <v>5995.0</v>
      </c>
      <c r="C216" s="9">
        <v>9716.72226855713</v>
      </c>
      <c r="D216" s="9">
        <v>7660.59620596206</v>
      </c>
      <c r="E216" s="9">
        <f t="shared" si="3"/>
        <v>-2056.126063</v>
      </c>
      <c r="F216" s="9">
        <f t="shared" si="4"/>
        <v>0.7883930398</v>
      </c>
      <c r="G216" s="11">
        <f t="shared" si="5"/>
        <v>9716.722269</v>
      </c>
      <c r="H216" s="11">
        <f t="shared" si="6"/>
        <v>58251750</v>
      </c>
      <c r="I216" s="12" t="str">
        <f t="shared" si="7"/>
        <v>F1</v>
      </c>
      <c r="J216" s="11">
        <f t="shared" si="8"/>
        <v>16421.26063</v>
      </c>
      <c r="K216" s="12" t="str">
        <f t="shared" si="9"/>
        <v>E1</v>
      </c>
    </row>
    <row r="217">
      <c r="A217" s="8" t="s">
        <v>62</v>
      </c>
      <c r="B217" s="9">
        <v>164.0</v>
      </c>
      <c r="C217" s="9">
        <v>9764.146341463415</v>
      </c>
      <c r="D217" s="9">
        <v>9764.146341463415</v>
      </c>
      <c r="E217" s="9">
        <f t="shared" si="3"/>
        <v>0</v>
      </c>
      <c r="F217" s="9">
        <f t="shared" si="4"/>
        <v>1</v>
      </c>
      <c r="G217" s="11">
        <f t="shared" si="5"/>
        <v>9764.146341</v>
      </c>
      <c r="H217" s="11">
        <f t="shared" si="6"/>
        <v>1601320</v>
      </c>
      <c r="I217" s="12" t="str">
        <f t="shared" si="7"/>
        <v>F1</v>
      </c>
      <c r="J217" s="11">
        <f t="shared" si="8"/>
        <v>16501.40732</v>
      </c>
      <c r="K217" s="12" t="str">
        <f t="shared" si="9"/>
        <v>E1</v>
      </c>
    </row>
    <row r="218">
      <c r="A218" s="8" t="s">
        <v>327</v>
      </c>
      <c r="B218" s="9">
        <v>1681.0</v>
      </c>
      <c r="C218" s="9">
        <v>9850.86258179655</v>
      </c>
      <c r="D218" s="9">
        <v>6450.0</v>
      </c>
      <c r="E218" s="9">
        <f t="shared" si="3"/>
        <v>-3400.862582</v>
      </c>
      <c r="F218" s="9">
        <f t="shared" si="4"/>
        <v>0.6547649961</v>
      </c>
      <c r="G218" s="11">
        <f t="shared" si="5"/>
        <v>9850.862582</v>
      </c>
      <c r="H218" s="11">
        <f t="shared" si="6"/>
        <v>16559300</v>
      </c>
      <c r="I218" s="12" t="str">
        <f t="shared" si="7"/>
        <v>F1</v>
      </c>
      <c r="J218" s="11">
        <f t="shared" si="8"/>
        <v>16647.95776</v>
      </c>
      <c r="K218" s="12" t="str">
        <f t="shared" si="9"/>
        <v>E1</v>
      </c>
    </row>
    <row r="219">
      <c r="A219" s="8" t="s">
        <v>372</v>
      </c>
      <c r="B219" s="9">
        <v>1821.0</v>
      </c>
      <c r="C219" s="9">
        <v>2385.55738605162</v>
      </c>
      <c r="D219" s="9">
        <v>9910.477178423236</v>
      </c>
      <c r="E219" s="9">
        <f t="shared" si="3"/>
        <v>7524.919792</v>
      </c>
      <c r="F219" s="9">
        <f t="shared" si="4"/>
        <v>4.154365448</v>
      </c>
      <c r="G219" s="11">
        <f t="shared" si="5"/>
        <v>9910.477178</v>
      </c>
      <c r="H219" s="11">
        <f t="shared" si="6"/>
        <v>18046978.94</v>
      </c>
      <c r="I219" s="12" t="str">
        <f t="shared" si="7"/>
        <v>F1</v>
      </c>
      <c r="J219" s="11">
        <f t="shared" si="8"/>
        <v>16748.70643</v>
      </c>
      <c r="K219" s="12" t="str">
        <f t="shared" si="9"/>
        <v>E1</v>
      </c>
    </row>
    <row r="220">
      <c r="A220" s="8" t="s">
        <v>310</v>
      </c>
      <c r="B220" s="9">
        <v>322.0</v>
      </c>
      <c r="C220" s="9">
        <v>10000.0</v>
      </c>
      <c r="D220" s="9">
        <v>10000.0</v>
      </c>
      <c r="E220" s="9">
        <f t="shared" si="3"/>
        <v>0</v>
      </c>
      <c r="F220" s="9">
        <f t="shared" si="4"/>
        <v>1</v>
      </c>
      <c r="G220" s="11">
        <f t="shared" si="5"/>
        <v>10000</v>
      </c>
      <c r="H220" s="11">
        <f t="shared" si="6"/>
        <v>3220000</v>
      </c>
      <c r="I220" s="12" t="str">
        <f t="shared" si="7"/>
        <v>F1</v>
      </c>
      <c r="J220" s="11">
        <f t="shared" si="8"/>
        <v>16900</v>
      </c>
      <c r="K220" s="12" t="str">
        <f t="shared" si="9"/>
        <v>E1</v>
      </c>
    </row>
    <row r="221">
      <c r="A221" s="8" t="s">
        <v>290</v>
      </c>
      <c r="B221" s="9">
        <v>214.0</v>
      </c>
      <c r="C221" s="9">
        <v>10084.677419354839</v>
      </c>
      <c r="D221" s="9">
        <v>10084.677419354839</v>
      </c>
      <c r="E221" s="9">
        <f t="shared" si="3"/>
        <v>0</v>
      </c>
      <c r="F221" s="9">
        <f t="shared" si="4"/>
        <v>1</v>
      </c>
      <c r="G221" s="11">
        <f t="shared" si="5"/>
        <v>10084.67742</v>
      </c>
      <c r="H221" s="11">
        <f t="shared" si="6"/>
        <v>2158120.968</v>
      </c>
      <c r="I221" s="12" t="str">
        <f t="shared" si="7"/>
        <v>F1</v>
      </c>
      <c r="J221" s="11">
        <f t="shared" si="8"/>
        <v>17043.10484</v>
      </c>
      <c r="K221" s="12" t="str">
        <f t="shared" si="9"/>
        <v>E1</v>
      </c>
    </row>
    <row r="222">
      <c r="A222" s="8" t="s">
        <v>231</v>
      </c>
      <c r="B222" s="9">
        <v>892.0</v>
      </c>
      <c r="C222" s="9">
        <v>10096.973094170404</v>
      </c>
      <c r="D222" s="9">
        <v>5095.708737864078</v>
      </c>
      <c r="E222" s="9">
        <f t="shared" si="3"/>
        <v>-5001.264356</v>
      </c>
      <c r="F222" s="9">
        <f t="shared" si="4"/>
        <v>0.5046768661</v>
      </c>
      <c r="G222" s="11">
        <f t="shared" si="5"/>
        <v>10096.97309</v>
      </c>
      <c r="H222" s="11">
        <f t="shared" si="6"/>
        <v>9006500</v>
      </c>
      <c r="I222" s="12" t="str">
        <f t="shared" si="7"/>
        <v>F1</v>
      </c>
      <c r="J222" s="11">
        <f t="shared" si="8"/>
        <v>17063.88453</v>
      </c>
      <c r="K222" s="12" t="str">
        <f t="shared" si="9"/>
        <v>E1</v>
      </c>
    </row>
    <row r="223">
      <c r="A223" s="8" t="s">
        <v>44</v>
      </c>
      <c r="B223" s="9">
        <v>1626.0</v>
      </c>
      <c r="C223" s="9">
        <v>8405.904059040591</v>
      </c>
      <c r="D223" s="9">
        <v>10168.110264780558</v>
      </c>
      <c r="E223" s="9">
        <f t="shared" si="3"/>
        <v>1762.206206</v>
      </c>
      <c r="F223" s="9">
        <f t="shared" si="4"/>
        <v>1.209639105</v>
      </c>
      <c r="G223" s="11">
        <f t="shared" si="5"/>
        <v>10168.11026</v>
      </c>
      <c r="H223" s="11">
        <f t="shared" si="6"/>
        <v>16533347.29</v>
      </c>
      <c r="I223" s="12" t="str">
        <f t="shared" si="7"/>
        <v>F1</v>
      </c>
      <c r="J223" s="11">
        <f t="shared" si="8"/>
        <v>17184.10635</v>
      </c>
      <c r="K223" s="12" t="str">
        <f t="shared" si="9"/>
        <v>E1</v>
      </c>
    </row>
    <row r="224">
      <c r="A224" s="8" t="s">
        <v>116</v>
      </c>
      <c r="B224" s="9">
        <v>82.0</v>
      </c>
      <c r="C224" s="10">
        <v>10200.0</v>
      </c>
      <c r="D224" s="10">
        <v>10200.0</v>
      </c>
      <c r="E224" s="9">
        <f t="shared" si="3"/>
        <v>0</v>
      </c>
      <c r="F224" s="9">
        <f t="shared" si="4"/>
        <v>1</v>
      </c>
      <c r="G224" s="11">
        <f t="shared" si="5"/>
        <v>10200</v>
      </c>
      <c r="H224" s="11">
        <f t="shared" si="6"/>
        <v>836400</v>
      </c>
      <c r="I224" s="12" t="str">
        <f t="shared" si="7"/>
        <v>F1</v>
      </c>
      <c r="J224" s="11">
        <f t="shared" si="8"/>
        <v>17238</v>
      </c>
      <c r="K224" s="12" t="str">
        <f t="shared" si="9"/>
        <v>E1</v>
      </c>
    </row>
    <row r="225">
      <c r="A225" s="8" t="s">
        <v>126</v>
      </c>
      <c r="B225" s="9">
        <v>225.0</v>
      </c>
      <c r="C225" s="9">
        <v>4106.666666666667</v>
      </c>
      <c r="D225" s="9">
        <v>10221.10552763819</v>
      </c>
      <c r="E225" s="9">
        <f t="shared" si="3"/>
        <v>6114.438861</v>
      </c>
      <c r="F225" s="9">
        <f t="shared" si="4"/>
        <v>2.488905567</v>
      </c>
      <c r="G225" s="11">
        <f t="shared" si="5"/>
        <v>10221.10553</v>
      </c>
      <c r="H225" s="11">
        <f t="shared" si="6"/>
        <v>2299748.744</v>
      </c>
      <c r="I225" s="12" t="str">
        <f t="shared" si="7"/>
        <v>F1</v>
      </c>
      <c r="J225" s="11">
        <f t="shared" si="8"/>
        <v>17273.66834</v>
      </c>
      <c r="K225" s="12" t="str">
        <f t="shared" si="9"/>
        <v>E1</v>
      </c>
    </row>
    <row r="226">
      <c r="A226" s="8" t="s">
        <v>249</v>
      </c>
      <c r="B226" s="9">
        <v>2651.0</v>
      </c>
      <c r="C226" s="9">
        <v>10253.564692568842</v>
      </c>
      <c r="D226" s="9">
        <v>9196.952908587258</v>
      </c>
      <c r="E226" s="9">
        <f t="shared" si="3"/>
        <v>-1056.611784</v>
      </c>
      <c r="F226" s="9">
        <f t="shared" si="4"/>
        <v>0.8969517611</v>
      </c>
      <c r="G226" s="11">
        <f t="shared" si="5"/>
        <v>10253.56469</v>
      </c>
      <c r="H226" s="11">
        <f t="shared" si="6"/>
        <v>27182200</v>
      </c>
      <c r="I226" s="12" t="str">
        <f t="shared" si="7"/>
        <v>F1</v>
      </c>
      <c r="J226" s="11">
        <f t="shared" si="8"/>
        <v>17328.52433</v>
      </c>
      <c r="K226" s="12" t="str">
        <f t="shared" si="9"/>
        <v>E1</v>
      </c>
    </row>
    <row r="227">
      <c r="A227" s="64" t="s">
        <v>198</v>
      </c>
      <c r="B227" s="65">
        <v>225.0</v>
      </c>
      <c r="C227" s="65">
        <v>10396.444444444445</v>
      </c>
      <c r="D227" s="65">
        <v>2950.2246181491464</v>
      </c>
      <c r="E227" s="65">
        <f t="shared" si="3"/>
        <v>-7446.219826</v>
      </c>
      <c r="F227" s="65">
        <f t="shared" si="4"/>
        <v>0.2837724603</v>
      </c>
      <c r="G227" s="66">
        <f t="shared" si="5"/>
        <v>10396.44444</v>
      </c>
      <c r="H227" s="66">
        <f t="shared" si="6"/>
        <v>2339200</v>
      </c>
      <c r="I227" s="67" t="str">
        <f t="shared" si="7"/>
        <v>F1</v>
      </c>
      <c r="J227" s="66">
        <f t="shared" si="8"/>
        <v>17569.99111</v>
      </c>
      <c r="K227" s="67" t="str">
        <f t="shared" si="9"/>
        <v>E1</v>
      </c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</row>
    <row r="228">
      <c r="A228" s="8" t="s">
        <v>400</v>
      </c>
      <c r="B228" s="9">
        <v>443.0</v>
      </c>
      <c r="C228" s="9">
        <v>10426.772009029346</v>
      </c>
      <c r="D228" s="9">
        <v>10426.772009029346</v>
      </c>
      <c r="E228" s="9">
        <f t="shared" si="3"/>
        <v>0</v>
      </c>
      <c r="F228" s="9">
        <f t="shared" si="4"/>
        <v>1</v>
      </c>
      <c r="G228" s="11">
        <f t="shared" si="5"/>
        <v>10426.77201</v>
      </c>
      <c r="H228" s="11">
        <f t="shared" si="6"/>
        <v>4619060</v>
      </c>
      <c r="I228" s="12" t="str">
        <f t="shared" si="7"/>
        <v>F1</v>
      </c>
      <c r="J228" s="11">
        <f t="shared" si="8"/>
        <v>17621.2447</v>
      </c>
      <c r="K228" s="12" t="str">
        <f t="shared" si="9"/>
        <v>E1</v>
      </c>
    </row>
    <row r="229">
      <c r="A229" s="8" t="s">
        <v>66</v>
      </c>
      <c r="B229" s="9">
        <v>831.0</v>
      </c>
      <c r="C229" s="9">
        <v>10613.718411552347</v>
      </c>
      <c r="D229" s="9">
        <v>10613.718411552347</v>
      </c>
      <c r="E229" s="9">
        <f t="shared" si="3"/>
        <v>0</v>
      </c>
      <c r="F229" s="9">
        <f t="shared" si="4"/>
        <v>1</v>
      </c>
      <c r="G229" s="11">
        <f t="shared" si="5"/>
        <v>10613.71841</v>
      </c>
      <c r="H229" s="11">
        <f t="shared" si="6"/>
        <v>8820000</v>
      </c>
      <c r="I229" s="12" t="str">
        <f t="shared" si="7"/>
        <v>F1</v>
      </c>
      <c r="J229" s="11">
        <f t="shared" si="8"/>
        <v>17937.18412</v>
      </c>
      <c r="K229" s="12" t="str">
        <f t="shared" si="9"/>
        <v>E1</v>
      </c>
    </row>
    <row r="230">
      <c r="A230" s="8" t="s">
        <v>203</v>
      </c>
      <c r="B230" s="9">
        <v>2670.0</v>
      </c>
      <c r="C230" s="9">
        <v>7668.449438202248</v>
      </c>
      <c r="D230" s="9">
        <v>10646.76180021954</v>
      </c>
      <c r="E230" s="9">
        <f t="shared" si="3"/>
        <v>2978.312362</v>
      </c>
      <c r="F230" s="9">
        <f t="shared" si="4"/>
        <v>1.388385212</v>
      </c>
      <c r="G230" s="11">
        <f t="shared" si="5"/>
        <v>10646.7618</v>
      </c>
      <c r="H230" s="11">
        <f t="shared" si="6"/>
        <v>28426854.01</v>
      </c>
      <c r="I230" s="12" t="str">
        <f t="shared" si="7"/>
        <v>F1</v>
      </c>
      <c r="J230" s="11">
        <f t="shared" si="8"/>
        <v>17993.02744</v>
      </c>
      <c r="K230" s="12" t="str">
        <f t="shared" si="9"/>
        <v>E1</v>
      </c>
    </row>
    <row r="231">
      <c r="A231" s="8" t="s">
        <v>224</v>
      </c>
      <c r="B231" s="9">
        <v>2605.0</v>
      </c>
      <c r="C231" s="9">
        <v>10647.140115163147</v>
      </c>
      <c r="D231" s="9">
        <v>5833.567458312279</v>
      </c>
      <c r="E231" s="9">
        <f t="shared" si="3"/>
        <v>-4813.572657</v>
      </c>
      <c r="F231" s="9">
        <f t="shared" si="4"/>
        <v>0.5478999426</v>
      </c>
      <c r="G231" s="11">
        <f t="shared" si="5"/>
        <v>10647.14012</v>
      </c>
      <c r="H231" s="11">
        <f t="shared" si="6"/>
        <v>27735800</v>
      </c>
      <c r="I231" s="12" t="str">
        <f t="shared" si="7"/>
        <v>F1</v>
      </c>
      <c r="J231" s="11">
        <f t="shared" si="8"/>
        <v>17993.66679</v>
      </c>
      <c r="K231" s="12" t="str">
        <f t="shared" si="9"/>
        <v>E1</v>
      </c>
    </row>
    <row r="232">
      <c r="A232" s="8" t="s">
        <v>69</v>
      </c>
      <c r="B232" s="9">
        <v>178.0</v>
      </c>
      <c r="C232" s="9">
        <v>10712.359550561798</v>
      </c>
      <c r="D232" s="9">
        <v>10712.359550561798</v>
      </c>
      <c r="E232" s="9">
        <f t="shared" si="3"/>
        <v>0</v>
      </c>
      <c r="F232" s="9">
        <f t="shared" si="4"/>
        <v>1</v>
      </c>
      <c r="G232" s="11">
        <f t="shared" si="5"/>
        <v>10712.35955</v>
      </c>
      <c r="H232" s="11">
        <f t="shared" si="6"/>
        <v>1906800</v>
      </c>
      <c r="I232" s="12" t="str">
        <f t="shared" si="7"/>
        <v>F1</v>
      </c>
      <c r="J232" s="11">
        <f t="shared" si="8"/>
        <v>18103.88764</v>
      </c>
      <c r="K232" s="12" t="str">
        <f t="shared" si="9"/>
        <v>E1</v>
      </c>
    </row>
    <row r="233">
      <c r="A233" s="8" t="s">
        <v>175</v>
      </c>
      <c r="B233" s="9">
        <v>692.0</v>
      </c>
      <c r="C233" s="9">
        <v>10750.0</v>
      </c>
      <c r="D233" s="9">
        <v>2601.255707762557</v>
      </c>
      <c r="E233" s="9">
        <f t="shared" si="3"/>
        <v>-8148.744292</v>
      </c>
      <c r="F233" s="9">
        <f t="shared" si="4"/>
        <v>0.2419772751</v>
      </c>
      <c r="G233" s="11">
        <f t="shared" si="5"/>
        <v>10750</v>
      </c>
      <c r="H233" s="11">
        <f t="shared" si="6"/>
        <v>7439000</v>
      </c>
      <c r="I233" s="12" t="str">
        <f t="shared" si="7"/>
        <v>F1</v>
      </c>
      <c r="J233" s="11">
        <f t="shared" si="8"/>
        <v>18167.5</v>
      </c>
      <c r="K233" s="12" t="str">
        <f t="shared" si="9"/>
        <v>E1</v>
      </c>
    </row>
    <row r="234">
      <c r="A234" s="8" t="s">
        <v>245</v>
      </c>
      <c r="B234" s="9">
        <v>232.0</v>
      </c>
      <c r="C234" s="9">
        <v>10810.344827586207</v>
      </c>
      <c r="D234" s="9">
        <v>10810.344827586207</v>
      </c>
      <c r="E234" s="9">
        <f t="shared" si="3"/>
        <v>0</v>
      </c>
      <c r="F234" s="9">
        <f t="shared" si="4"/>
        <v>1</v>
      </c>
      <c r="G234" s="11">
        <f t="shared" si="5"/>
        <v>10810.34483</v>
      </c>
      <c r="H234" s="11">
        <f t="shared" si="6"/>
        <v>2508000</v>
      </c>
      <c r="I234" s="12" t="str">
        <f t="shared" si="7"/>
        <v>F1</v>
      </c>
      <c r="J234" s="11">
        <f t="shared" si="8"/>
        <v>18269.48276</v>
      </c>
      <c r="K234" s="12" t="str">
        <f t="shared" si="9"/>
        <v>E1</v>
      </c>
    </row>
    <row r="235">
      <c r="A235" s="8" t="s">
        <v>32</v>
      </c>
      <c r="B235" s="9">
        <v>210.0</v>
      </c>
      <c r="C235" s="9">
        <v>10857.142857142857</v>
      </c>
      <c r="D235" s="9">
        <v>5193.27731092437</v>
      </c>
      <c r="E235" s="9">
        <f t="shared" si="3"/>
        <v>-5663.865546</v>
      </c>
      <c r="F235" s="9">
        <f t="shared" si="4"/>
        <v>0.4783281734</v>
      </c>
      <c r="G235" s="11">
        <f t="shared" si="5"/>
        <v>10857.14286</v>
      </c>
      <c r="H235" s="11">
        <f t="shared" si="6"/>
        <v>2280000</v>
      </c>
      <c r="I235" s="12" t="str">
        <f t="shared" si="7"/>
        <v>F1</v>
      </c>
      <c r="J235" s="11">
        <f t="shared" si="8"/>
        <v>18348.57143</v>
      </c>
      <c r="K235" s="12" t="str">
        <f t="shared" si="9"/>
        <v>E1</v>
      </c>
    </row>
    <row r="236">
      <c r="A236" s="8" t="s">
        <v>150</v>
      </c>
      <c r="B236" s="9">
        <v>13216.0</v>
      </c>
      <c r="C236" s="9">
        <v>7707.975181598063</v>
      </c>
      <c r="D236" s="9">
        <v>10876.053403302978</v>
      </c>
      <c r="E236" s="9">
        <f t="shared" si="3"/>
        <v>3168.078222</v>
      </c>
      <c r="F236" s="9">
        <f t="shared" si="4"/>
        <v>1.411013028</v>
      </c>
      <c r="G236" s="11">
        <f t="shared" si="5"/>
        <v>10876.0534</v>
      </c>
      <c r="H236" s="11">
        <f t="shared" si="6"/>
        <v>143737921.8</v>
      </c>
      <c r="I236" s="12" t="str">
        <f t="shared" si="7"/>
        <v>F1</v>
      </c>
      <c r="J236" s="11">
        <f t="shared" si="8"/>
        <v>18380.53025</v>
      </c>
      <c r="K236" s="12" t="str">
        <f t="shared" si="9"/>
        <v>E1</v>
      </c>
    </row>
    <row r="237">
      <c r="A237" s="8" t="s">
        <v>260</v>
      </c>
      <c r="B237" s="9">
        <v>2053.0</v>
      </c>
      <c r="C237" s="9">
        <v>9163.711641500244</v>
      </c>
      <c r="D237" s="9">
        <v>10913.591481122943</v>
      </c>
      <c r="E237" s="9">
        <f t="shared" si="3"/>
        <v>1749.87984</v>
      </c>
      <c r="F237" s="9">
        <f t="shared" si="4"/>
        <v>1.190957541</v>
      </c>
      <c r="G237" s="11">
        <f t="shared" si="5"/>
        <v>10913.59148</v>
      </c>
      <c r="H237" s="11">
        <f t="shared" si="6"/>
        <v>22405603.31</v>
      </c>
      <c r="I237" s="12" t="str">
        <f t="shared" si="7"/>
        <v>F1</v>
      </c>
      <c r="J237" s="11">
        <f t="shared" si="8"/>
        <v>18443.9696</v>
      </c>
      <c r="K237" s="12" t="str">
        <f t="shared" si="9"/>
        <v>E1</v>
      </c>
    </row>
    <row r="238">
      <c r="A238" s="8" t="s">
        <v>215</v>
      </c>
      <c r="B238" s="9">
        <v>1117.0</v>
      </c>
      <c r="C238" s="9">
        <v>10953.98388540734</v>
      </c>
      <c r="D238" s="9">
        <v>3748.6572598998637</v>
      </c>
      <c r="E238" s="9">
        <f t="shared" si="3"/>
        <v>-7205.326626</v>
      </c>
      <c r="F238" s="9">
        <f t="shared" si="4"/>
        <v>0.342218621</v>
      </c>
      <c r="G238" s="11">
        <f t="shared" si="5"/>
        <v>10953.98389</v>
      </c>
      <c r="H238" s="11">
        <f t="shared" si="6"/>
        <v>12235600</v>
      </c>
      <c r="I238" s="12" t="str">
        <f t="shared" si="7"/>
        <v>F1</v>
      </c>
      <c r="J238" s="11">
        <f t="shared" si="8"/>
        <v>18512.23277</v>
      </c>
      <c r="K238" s="12" t="str">
        <f t="shared" si="9"/>
        <v>E1</v>
      </c>
    </row>
    <row r="239">
      <c r="A239" s="8" t="s">
        <v>357</v>
      </c>
      <c r="B239" s="9">
        <v>40.0</v>
      </c>
      <c r="C239" s="9">
        <v>11180.0</v>
      </c>
      <c r="D239" s="9">
        <v>11180.0</v>
      </c>
      <c r="E239" s="9">
        <f t="shared" si="3"/>
        <v>0</v>
      </c>
      <c r="F239" s="9">
        <f t="shared" si="4"/>
        <v>1</v>
      </c>
      <c r="G239" s="11">
        <f t="shared" si="5"/>
        <v>11180</v>
      </c>
      <c r="H239" s="11">
        <f t="shared" si="6"/>
        <v>447200</v>
      </c>
      <c r="I239" s="12" t="str">
        <f t="shared" si="7"/>
        <v>F1</v>
      </c>
      <c r="J239" s="11">
        <f t="shared" si="8"/>
        <v>18894.2</v>
      </c>
      <c r="K239" s="12" t="str">
        <f t="shared" si="9"/>
        <v>E1</v>
      </c>
    </row>
    <row r="240">
      <c r="A240" s="8" t="s">
        <v>67</v>
      </c>
      <c r="B240" s="9">
        <v>39.0</v>
      </c>
      <c r="C240" s="9">
        <v>7400.0</v>
      </c>
      <c r="D240" s="9">
        <v>11184.35754189944</v>
      </c>
      <c r="E240" s="9">
        <f t="shared" si="3"/>
        <v>3784.357542</v>
      </c>
      <c r="F240" s="9">
        <f t="shared" si="4"/>
        <v>1.511399668</v>
      </c>
      <c r="G240" s="11">
        <f t="shared" si="5"/>
        <v>11184.35754</v>
      </c>
      <c r="H240" s="11">
        <f t="shared" si="6"/>
        <v>436189.9441</v>
      </c>
      <c r="I240" s="12" t="str">
        <f t="shared" si="7"/>
        <v>F1</v>
      </c>
      <c r="J240" s="11">
        <f t="shared" si="8"/>
        <v>18901.56425</v>
      </c>
      <c r="K240" s="12" t="str">
        <f t="shared" si="9"/>
        <v>E1</v>
      </c>
    </row>
    <row r="241">
      <c r="A241" s="8" t="s">
        <v>57</v>
      </c>
      <c r="B241" s="9">
        <v>897.0</v>
      </c>
      <c r="C241" s="9">
        <v>10985.507246376812</v>
      </c>
      <c r="D241" s="9">
        <v>11199.14346895075</v>
      </c>
      <c r="E241" s="9">
        <f t="shared" si="3"/>
        <v>213.6362226</v>
      </c>
      <c r="F241" s="9">
        <f t="shared" si="4"/>
        <v>1.019447097</v>
      </c>
      <c r="G241" s="11">
        <f t="shared" si="5"/>
        <v>11199.14347</v>
      </c>
      <c r="H241" s="11">
        <f t="shared" si="6"/>
        <v>10045631.69</v>
      </c>
      <c r="I241" s="12" t="str">
        <f t="shared" si="7"/>
        <v>F1</v>
      </c>
      <c r="J241" s="11">
        <f t="shared" si="8"/>
        <v>18926.55246</v>
      </c>
      <c r="K241" s="12" t="str">
        <f t="shared" si="9"/>
        <v>E1</v>
      </c>
    </row>
    <row r="242">
      <c r="A242" s="8" t="s">
        <v>132</v>
      </c>
      <c r="B242" s="9">
        <v>4027.0</v>
      </c>
      <c r="C242" s="9">
        <v>11277.874348149988</v>
      </c>
      <c r="D242" s="9">
        <v>6158.025213501423</v>
      </c>
      <c r="E242" s="9">
        <f t="shared" si="3"/>
        <v>-5119.849135</v>
      </c>
      <c r="F242" s="9">
        <f t="shared" si="4"/>
        <v>0.5460271168</v>
      </c>
      <c r="G242" s="11">
        <f t="shared" si="5"/>
        <v>11277.87435</v>
      </c>
      <c r="H242" s="11">
        <f t="shared" si="6"/>
        <v>45416000</v>
      </c>
      <c r="I242" s="12" t="str">
        <f t="shared" si="7"/>
        <v>F1</v>
      </c>
      <c r="J242" s="11">
        <f t="shared" si="8"/>
        <v>19059.60765</v>
      </c>
      <c r="K242" s="12" t="str">
        <f t="shared" si="9"/>
        <v>E1</v>
      </c>
    </row>
    <row r="243">
      <c r="A243" s="8" t="s">
        <v>107</v>
      </c>
      <c r="B243" s="9">
        <v>951.0</v>
      </c>
      <c r="C243" s="9">
        <v>11342.105263157895</v>
      </c>
      <c r="D243" s="9">
        <v>11342.105263157895</v>
      </c>
      <c r="E243" s="9">
        <f t="shared" si="3"/>
        <v>0</v>
      </c>
      <c r="F243" s="9">
        <f t="shared" si="4"/>
        <v>1</v>
      </c>
      <c r="G243" s="11">
        <f t="shared" si="5"/>
        <v>11342.10526</v>
      </c>
      <c r="H243" s="11">
        <f t="shared" si="6"/>
        <v>10786342.11</v>
      </c>
      <c r="I243" s="12" t="str">
        <f t="shared" si="7"/>
        <v>F1</v>
      </c>
      <c r="J243" s="11">
        <f t="shared" si="8"/>
        <v>19168.15789</v>
      </c>
      <c r="K243" s="12" t="str">
        <f t="shared" si="9"/>
        <v>E1</v>
      </c>
    </row>
    <row r="244">
      <c r="A244" s="8" t="s">
        <v>53</v>
      </c>
      <c r="B244" s="9">
        <v>162.0</v>
      </c>
      <c r="C244" s="9">
        <v>11111.111111111111</v>
      </c>
      <c r="D244" s="9">
        <v>11364.583333333334</v>
      </c>
      <c r="E244" s="9">
        <f t="shared" si="3"/>
        <v>253.4722222</v>
      </c>
      <c r="F244" s="9">
        <f t="shared" si="4"/>
        <v>1.0228125</v>
      </c>
      <c r="G244" s="11">
        <f t="shared" si="5"/>
        <v>11364.58333</v>
      </c>
      <c r="H244" s="11">
        <f t="shared" si="6"/>
        <v>1841062.5</v>
      </c>
      <c r="I244" s="13" t="str">
        <f t="shared" si="7"/>
        <v>F1</v>
      </c>
      <c r="J244" s="11">
        <f t="shared" si="8"/>
        <v>19206.14583</v>
      </c>
      <c r="K244" s="13" t="str">
        <f t="shared" si="9"/>
        <v>E1</v>
      </c>
    </row>
    <row r="245">
      <c r="A245" s="8" t="s">
        <v>108</v>
      </c>
      <c r="B245" s="9">
        <v>960.0</v>
      </c>
      <c r="C245" s="9">
        <v>11383.333333333334</v>
      </c>
      <c r="D245" s="9">
        <v>10141.62077104642</v>
      </c>
      <c r="E245" s="9">
        <f t="shared" si="3"/>
        <v>-1241.712562</v>
      </c>
      <c r="F245" s="9">
        <f t="shared" si="4"/>
        <v>0.8909183693</v>
      </c>
      <c r="G245" s="11">
        <f t="shared" si="5"/>
        <v>11383.33333</v>
      </c>
      <c r="H245" s="11">
        <f t="shared" si="6"/>
        <v>10928000</v>
      </c>
      <c r="I245" s="12" t="str">
        <f t="shared" si="7"/>
        <v>F1</v>
      </c>
      <c r="J245" s="11">
        <f t="shared" si="8"/>
        <v>19237.83333</v>
      </c>
      <c r="K245" s="12" t="str">
        <f t="shared" si="9"/>
        <v>E1</v>
      </c>
    </row>
    <row r="246">
      <c r="A246" s="8" t="s">
        <v>63</v>
      </c>
      <c r="B246" s="9">
        <v>229.0</v>
      </c>
      <c r="C246" s="9">
        <v>11441.048034934498</v>
      </c>
      <c r="D246" s="9">
        <v>6382.070707070707</v>
      </c>
      <c r="E246" s="9">
        <f t="shared" si="3"/>
        <v>-5058.977328</v>
      </c>
      <c r="F246" s="9">
        <f t="shared" si="4"/>
        <v>0.5578222107</v>
      </c>
      <c r="G246" s="11">
        <f t="shared" si="5"/>
        <v>11441.04803</v>
      </c>
      <c r="H246" s="11">
        <f t="shared" si="6"/>
        <v>2620000</v>
      </c>
      <c r="I246" s="12" t="str">
        <f t="shared" si="7"/>
        <v>F1</v>
      </c>
      <c r="J246" s="11">
        <f t="shared" si="8"/>
        <v>19335.37118</v>
      </c>
      <c r="K246" s="12" t="str">
        <f t="shared" si="9"/>
        <v>E1</v>
      </c>
    </row>
    <row r="247">
      <c r="A247" s="8" t="s">
        <v>398</v>
      </c>
      <c r="B247" s="9">
        <v>161.0</v>
      </c>
      <c r="C247" s="9">
        <v>1575.776397515528</v>
      </c>
      <c r="D247" s="9">
        <v>11621.425120772947</v>
      </c>
      <c r="E247" s="9">
        <f t="shared" si="3"/>
        <v>10045.64872</v>
      </c>
      <c r="F247" s="9">
        <f t="shared" si="4"/>
        <v>7.375047081</v>
      </c>
      <c r="G247" s="11">
        <f t="shared" si="5"/>
        <v>11621.42512</v>
      </c>
      <c r="H247" s="11">
        <f t="shared" si="6"/>
        <v>1871049.444</v>
      </c>
      <c r="I247" s="12" t="str">
        <f t="shared" si="7"/>
        <v>F1</v>
      </c>
      <c r="J247" s="11">
        <f t="shared" si="8"/>
        <v>19640.20845</v>
      </c>
      <c r="K247" s="12" t="str">
        <f t="shared" si="9"/>
        <v>E1</v>
      </c>
    </row>
    <row r="248">
      <c r="A248" s="8" t="s">
        <v>45</v>
      </c>
      <c r="B248" s="9">
        <v>1969.0</v>
      </c>
      <c r="C248" s="9">
        <v>9215.185373285933</v>
      </c>
      <c r="D248" s="9">
        <v>11735.638985579313</v>
      </c>
      <c r="E248" s="9">
        <f t="shared" si="3"/>
        <v>2520.453612</v>
      </c>
      <c r="F248" s="9">
        <f t="shared" si="4"/>
        <v>1.273510896</v>
      </c>
      <c r="G248" s="11">
        <f t="shared" si="5"/>
        <v>11735.63899</v>
      </c>
      <c r="H248" s="11">
        <f t="shared" si="6"/>
        <v>23107473.16</v>
      </c>
      <c r="I248" s="13" t="str">
        <f t="shared" si="7"/>
        <v>F1</v>
      </c>
      <c r="J248" s="11">
        <f t="shared" si="8"/>
        <v>19833.22989</v>
      </c>
      <c r="K248" s="13" t="str">
        <f t="shared" si="9"/>
        <v>E1</v>
      </c>
    </row>
    <row r="249">
      <c r="A249" s="8" t="s">
        <v>192</v>
      </c>
      <c r="B249" s="9">
        <v>2016.0</v>
      </c>
      <c r="C249" s="9">
        <v>11749.920634920634</v>
      </c>
      <c r="D249" s="9">
        <v>7138.932496075353</v>
      </c>
      <c r="E249" s="9">
        <f t="shared" si="3"/>
        <v>-4610.988139</v>
      </c>
      <c r="F249" s="9">
        <f t="shared" si="4"/>
        <v>0.6075728269</v>
      </c>
      <c r="G249" s="11">
        <f t="shared" si="5"/>
        <v>11749.92063</v>
      </c>
      <c r="H249" s="11">
        <f t="shared" si="6"/>
        <v>23687840</v>
      </c>
      <c r="I249" s="12" t="str">
        <f t="shared" si="7"/>
        <v>F1</v>
      </c>
      <c r="J249" s="11">
        <f t="shared" si="8"/>
        <v>19857.36587</v>
      </c>
      <c r="K249" s="12" t="str">
        <f t="shared" si="9"/>
        <v>E1</v>
      </c>
    </row>
    <row r="250">
      <c r="A250" s="8" t="s">
        <v>394</v>
      </c>
      <c r="B250" s="9">
        <v>245.0</v>
      </c>
      <c r="C250" s="9">
        <v>12000.0</v>
      </c>
      <c r="D250" s="9">
        <v>7687.021531100479</v>
      </c>
      <c r="E250" s="9">
        <f t="shared" si="3"/>
        <v>-4312.978469</v>
      </c>
      <c r="F250" s="9">
        <f t="shared" si="4"/>
        <v>0.6405851276</v>
      </c>
      <c r="G250" s="11">
        <f t="shared" si="5"/>
        <v>12000</v>
      </c>
      <c r="H250" s="11">
        <f t="shared" si="6"/>
        <v>2940000</v>
      </c>
      <c r="I250" s="12" t="str">
        <f t="shared" si="7"/>
        <v>E</v>
      </c>
      <c r="J250" s="11">
        <f t="shared" si="8"/>
        <v>20280</v>
      </c>
      <c r="K250" s="12" t="str">
        <f t="shared" si="9"/>
        <v>D</v>
      </c>
    </row>
    <row r="251">
      <c r="A251" s="8" t="s">
        <v>145</v>
      </c>
      <c r="B251" s="9">
        <v>66.0</v>
      </c>
      <c r="C251" s="9">
        <v>12000.0</v>
      </c>
      <c r="D251" s="9">
        <v>12000.0</v>
      </c>
      <c r="E251" s="9">
        <f t="shared" si="3"/>
        <v>0</v>
      </c>
      <c r="F251" s="9">
        <f t="shared" si="4"/>
        <v>1</v>
      </c>
      <c r="G251" s="11">
        <f t="shared" si="5"/>
        <v>12000</v>
      </c>
      <c r="H251" s="11">
        <f t="shared" si="6"/>
        <v>792000</v>
      </c>
      <c r="I251" s="12" t="str">
        <f t="shared" si="7"/>
        <v>E</v>
      </c>
      <c r="J251" s="11">
        <f t="shared" si="8"/>
        <v>20280</v>
      </c>
      <c r="K251" s="12" t="str">
        <f t="shared" si="9"/>
        <v>D</v>
      </c>
    </row>
    <row r="252">
      <c r="A252" s="8" t="s">
        <v>124</v>
      </c>
      <c r="B252" s="9">
        <v>6999.0</v>
      </c>
      <c r="C252" s="9">
        <v>8462.990284326332</v>
      </c>
      <c r="D252" s="9">
        <v>12009.399781738814</v>
      </c>
      <c r="E252" s="9">
        <f t="shared" si="3"/>
        <v>3546.409497</v>
      </c>
      <c r="F252" s="9">
        <f t="shared" si="4"/>
        <v>1.419049222</v>
      </c>
      <c r="G252" s="11">
        <f t="shared" si="5"/>
        <v>12009.39978</v>
      </c>
      <c r="H252" s="11">
        <f t="shared" si="6"/>
        <v>84053789.07</v>
      </c>
      <c r="I252" s="12" t="str">
        <f t="shared" si="7"/>
        <v>E</v>
      </c>
      <c r="J252" s="11">
        <f t="shared" si="8"/>
        <v>20295.88563</v>
      </c>
      <c r="K252" s="12" t="str">
        <f t="shared" si="9"/>
        <v>D</v>
      </c>
    </row>
    <row r="253">
      <c r="A253" s="8" t="s">
        <v>205</v>
      </c>
      <c r="B253" s="9">
        <v>929.0</v>
      </c>
      <c r="C253" s="9">
        <v>12062.43272335845</v>
      </c>
      <c r="D253" s="9">
        <v>12062.43272335845</v>
      </c>
      <c r="E253" s="9">
        <f t="shared" si="3"/>
        <v>0</v>
      </c>
      <c r="F253" s="9">
        <f t="shared" si="4"/>
        <v>1</v>
      </c>
      <c r="G253" s="11">
        <f t="shared" si="5"/>
        <v>12062.43272</v>
      </c>
      <c r="H253" s="11">
        <f t="shared" si="6"/>
        <v>11206000</v>
      </c>
      <c r="I253" s="12" t="str">
        <f t="shared" si="7"/>
        <v>E</v>
      </c>
      <c r="J253" s="11">
        <f t="shared" si="8"/>
        <v>20385.5113</v>
      </c>
      <c r="K253" s="12" t="str">
        <f t="shared" si="9"/>
        <v>D</v>
      </c>
    </row>
    <row r="254">
      <c r="A254" s="8" t="s">
        <v>171</v>
      </c>
      <c r="B254" s="9">
        <v>212.0</v>
      </c>
      <c r="C254" s="10">
        <v>12100.0</v>
      </c>
      <c r="D254" s="10">
        <v>12100.0</v>
      </c>
      <c r="E254" s="9">
        <f t="shared" si="3"/>
        <v>0</v>
      </c>
      <c r="F254" s="9">
        <f t="shared" si="4"/>
        <v>1</v>
      </c>
      <c r="G254" s="11">
        <f t="shared" si="5"/>
        <v>12100</v>
      </c>
      <c r="H254" s="11">
        <f t="shared" si="6"/>
        <v>2565200</v>
      </c>
      <c r="I254" s="12" t="str">
        <f t="shared" si="7"/>
        <v>E</v>
      </c>
      <c r="J254" s="11">
        <f t="shared" si="8"/>
        <v>20449</v>
      </c>
      <c r="K254" s="12" t="str">
        <f t="shared" si="9"/>
        <v>D</v>
      </c>
    </row>
    <row r="255">
      <c r="A255" s="8" t="s">
        <v>159</v>
      </c>
      <c r="B255" s="9">
        <v>404.0</v>
      </c>
      <c r="C255" s="9">
        <v>12179.356435643564</v>
      </c>
      <c r="D255" s="9">
        <v>4372.036474164133</v>
      </c>
      <c r="E255" s="9">
        <f t="shared" si="3"/>
        <v>-7807.319961</v>
      </c>
      <c r="F255" s="9">
        <f t="shared" si="4"/>
        <v>0.3589710587</v>
      </c>
      <c r="G255" s="11">
        <f t="shared" si="5"/>
        <v>12179.35644</v>
      </c>
      <c r="H255" s="11">
        <f t="shared" si="6"/>
        <v>4920460</v>
      </c>
      <c r="I255" s="12" t="str">
        <f t="shared" si="7"/>
        <v>E</v>
      </c>
      <c r="J255" s="11">
        <f t="shared" si="8"/>
        <v>20583.11238</v>
      </c>
      <c r="K255" s="12" t="str">
        <f t="shared" si="9"/>
        <v>D</v>
      </c>
    </row>
    <row r="256">
      <c r="A256" s="8" t="s">
        <v>81</v>
      </c>
      <c r="B256" s="9">
        <v>1116.0</v>
      </c>
      <c r="C256" s="9">
        <v>12476.702508960574</v>
      </c>
      <c r="D256" s="9">
        <v>12321.443781942078</v>
      </c>
      <c r="E256" s="9">
        <f t="shared" si="3"/>
        <v>-155.258727</v>
      </c>
      <c r="F256" s="9">
        <f t="shared" si="4"/>
        <v>0.9875561089</v>
      </c>
      <c r="G256" s="11">
        <f t="shared" si="5"/>
        <v>12476.70251</v>
      </c>
      <c r="H256" s="11">
        <f t="shared" si="6"/>
        <v>13924000</v>
      </c>
      <c r="I256" s="12" t="str">
        <f t="shared" si="7"/>
        <v>E</v>
      </c>
      <c r="J256" s="11">
        <f t="shared" si="8"/>
        <v>21085.62724</v>
      </c>
      <c r="K256" s="12" t="str">
        <f t="shared" si="9"/>
        <v>D</v>
      </c>
    </row>
    <row r="257">
      <c r="A257" s="8" t="s">
        <v>404</v>
      </c>
      <c r="B257" s="9">
        <v>339.0</v>
      </c>
      <c r="C257" s="9">
        <v>6450.0</v>
      </c>
      <c r="D257" s="9">
        <v>12573.396226415094</v>
      </c>
      <c r="E257" s="9">
        <f t="shared" si="3"/>
        <v>6123.396226</v>
      </c>
      <c r="F257" s="9">
        <f t="shared" si="4"/>
        <v>1.949363756</v>
      </c>
      <c r="G257" s="11">
        <f t="shared" si="5"/>
        <v>12573.39623</v>
      </c>
      <c r="H257" s="11">
        <f t="shared" si="6"/>
        <v>4262381.321</v>
      </c>
      <c r="I257" s="12" t="str">
        <f t="shared" si="7"/>
        <v>E</v>
      </c>
      <c r="J257" s="11">
        <f t="shared" si="8"/>
        <v>21249.03962</v>
      </c>
      <c r="K257" s="12" t="str">
        <f t="shared" si="9"/>
        <v>D</v>
      </c>
    </row>
    <row r="258">
      <c r="A258" s="8" t="s">
        <v>365</v>
      </c>
      <c r="B258" s="9">
        <v>923.0</v>
      </c>
      <c r="C258" s="9">
        <v>12900.0</v>
      </c>
      <c r="D258" s="9">
        <v>12900.0</v>
      </c>
      <c r="E258" s="9">
        <f t="shared" si="3"/>
        <v>0</v>
      </c>
      <c r="F258" s="9">
        <f t="shared" si="4"/>
        <v>1</v>
      </c>
      <c r="G258" s="11">
        <f t="shared" si="5"/>
        <v>12900</v>
      </c>
      <c r="H258" s="11">
        <f t="shared" si="6"/>
        <v>11906700</v>
      </c>
      <c r="I258" s="12" t="str">
        <f t="shared" si="7"/>
        <v>E</v>
      </c>
      <c r="J258" s="11">
        <f t="shared" si="8"/>
        <v>21801</v>
      </c>
      <c r="K258" s="12" t="str">
        <f t="shared" si="9"/>
        <v>D</v>
      </c>
    </row>
    <row r="259">
      <c r="A259" s="8" t="s">
        <v>388</v>
      </c>
      <c r="B259" s="9">
        <v>339.0</v>
      </c>
      <c r="C259" s="9">
        <v>12900.0</v>
      </c>
      <c r="D259" s="9">
        <v>12900.0</v>
      </c>
      <c r="E259" s="9">
        <f t="shared" si="3"/>
        <v>0</v>
      </c>
      <c r="F259" s="9">
        <f t="shared" si="4"/>
        <v>1</v>
      </c>
      <c r="G259" s="11">
        <f t="shared" si="5"/>
        <v>12900</v>
      </c>
      <c r="H259" s="11">
        <f t="shared" si="6"/>
        <v>4373100</v>
      </c>
      <c r="I259" s="12" t="str">
        <f t="shared" si="7"/>
        <v>E</v>
      </c>
      <c r="J259" s="11">
        <f t="shared" si="8"/>
        <v>21801</v>
      </c>
      <c r="K259" s="12" t="str">
        <f t="shared" si="9"/>
        <v>D</v>
      </c>
    </row>
    <row r="260">
      <c r="A260" s="8" t="s">
        <v>77</v>
      </c>
      <c r="B260" s="9">
        <v>81.0</v>
      </c>
      <c r="C260" s="9">
        <v>13000.0</v>
      </c>
      <c r="D260" s="9">
        <v>13000.0</v>
      </c>
      <c r="E260" s="9">
        <f t="shared" si="3"/>
        <v>0</v>
      </c>
      <c r="F260" s="9">
        <f t="shared" si="4"/>
        <v>1</v>
      </c>
      <c r="G260" s="11">
        <f t="shared" si="5"/>
        <v>13000</v>
      </c>
      <c r="H260" s="11">
        <f t="shared" si="6"/>
        <v>1053000</v>
      </c>
      <c r="I260" s="12" t="str">
        <f t="shared" si="7"/>
        <v>E</v>
      </c>
      <c r="J260" s="11">
        <f t="shared" si="8"/>
        <v>21970</v>
      </c>
      <c r="K260" s="12" t="str">
        <f t="shared" si="9"/>
        <v>D</v>
      </c>
    </row>
    <row r="261">
      <c r="A261" s="8" t="s">
        <v>377</v>
      </c>
      <c r="B261" s="9">
        <v>81.0</v>
      </c>
      <c r="C261" s="9">
        <v>5160.0</v>
      </c>
      <c r="D261" s="9">
        <v>13133.264177040111</v>
      </c>
      <c r="E261" s="9">
        <f t="shared" si="3"/>
        <v>7973.264177</v>
      </c>
      <c r="F261" s="9">
        <f t="shared" si="4"/>
        <v>2.545206236</v>
      </c>
      <c r="G261" s="11">
        <f t="shared" si="5"/>
        <v>13133.26418</v>
      </c>
      <c r="H261" s="11">
        <f t="shared" si="6"/>
        <v>1063794.398</v>
      </c>
      <c r="I261" s="12" t="str">
        <f t="shared" si="7"/>
        <v>E</v>
      </c>
      <c r="J261" s="11">
        <f t="shared" si="8"/>
        <v>22195.21646</v>
      </c>
      <c r="K261" s="12" t="str">
        <f t="shared" si="9"/>
        <v>D</v>
      </c>
    </row>
    <row r="262">
      <c r="A262" s="8" t="s">
        <v>68</v>
      </c>
      <c r="B262" s="9">
        <v>262.0</v>
      </c>
      <c r="C262" s="9">
        <v>10271.45038167939</v>
      </c>
      <c r="D262" s="9">
        <v>13191.959229898075</v>
      </c>
      <c r="E262" s="9">
        <f t="shared" si="3"/>
        <v>2920.508848</v>
      </c>
      <c r="F262" s="9">
        <f t="shared" si="4"/>
        <v>1.284332664</v>
      </c>
      <c r="G262" s="11">
        <f t="shared" si="5"/>
        <v>13191.95923</v>
      </c>
      <c r="H262" s="11">
        <f t="shared" si="6"/>
        <v>3456293.318</v>
      </c>
      <c r="I262" s="12" t="str">
        <f t="shared" si="7"/>
        <v>E</v>
      </c>
      <c r="J262" s="11">
        <f t="shared" si="8"/>
        <v>22294.4111</v>
      </c>
      <c r="K262" s="12" t="str">
        <f t="shared" si="9"/>
        <v>D</v>
      </c>
    </row>
    <row r="263">
      <c r="A263" s="8" t="s">
        <v>193</v>
      </c>
      <c r="B263" s="9">
        <v>386.0</v>
      </c>
      <c r="C263" s="9">
        <v>5077.20207253886</v>
      </c>
      <c r="D263" s="9">
        <v>13462.200598802396</v>
      </c>
      <c r="E263" s="9">
        <f t="shared" si="3"/>
        <v>8384.998526</v>
      </c>
      <c r="F263" s="9">
        <f t="shared" si="4"/>
        <v>2.651499863</v>
      </c>
      <c r="G263" s="11">
        <f t="shared" si="5"/>
        <v>13462.2006</v>
      </c>
      <c r="H263" s="11">
        <f t="shared" si="6"/>
        <v>5196409.431</v>
      </c>
      <c r="I263" s="12" t="str">
        <f t="shared" si="7"/>
        <v>E</v>
      </c>
      <c r="J263" s="11">
        <f t="shared" si="8"/>
        <v>22751.11901</v>
      </c>
      <c r="K263" s="12" t="str">
        <f t="shared" si="9"/>
        <v>D</v>
      </c>
    </row>
    <row r="264">
      <c r="A264" s="8" t="s">
        <v>52</v>
      </c>
      <c r="B264" s="9">
        <v>2405.0</v>
      </c>
      <c r="C264" s="9">
        <v>7941.995841995842</v>
      </c>
      <c r="D264" s="9">
        <v>13538.135633085065</v>
      </c>
      <c r="E264" s="9">
        <f t="shared" si="3"/>
        <v>5596.139791</v>
      </c>
      <c r="F264" s="9">
        <f t="shared" si="4"/>
        <v>1.704626381</v>
      </c>
      <c r="G264" s="11">
        <f t="shared" si="5"/>
        <v>13538.13563</v>
      </c>
      <c r="H264" s="11">
        <f t="shared" si="6"/>
        <v>32559216.2</v>
      </c>
      <c r="I264" s="12" t="str">
        <f t="shared" si="7"/>
        <v>E</v>
      </c>
      <c r="J264" s="11">
        <f t="shared" si="8"/>
        <v>22879.44922</v>
      </c>
      <c r="K264" s="12" t="str">
        <f t="shared" si="9"/>
        <v>D</v>
      </c>
    </row>
    <row r="265">
      <c r="A265" s="8" t="s">
        <v>208</v>
      </c>
      <c r="B265" s="9">
        <v>7907.0</v>
      </c>
      <c r="C265" s="9">
        <v>13539.926647274568</v>
      </c>
      <c r="D265" s="9">
        <v>6614.438766198211</v>
      </c>
      <c r="E265" s="9">
        <f t="shared" si="3"/>
        <v>-6925.487881</v>
      </c>
      <c r="F265" s="9">
        <f t="shared" si="4"/>
        <v>0.4885136337</v>
      </c>
      <c r="G265" s="11">
        <f t="shared" si="5"/>
        <v>13539.92665</v>
      </c>
      <c r="H265" s="11">
        <f t="shared" si="6"/>
        <v>107060200</v>
      </c>
      <c r="I265" s="12" t="str">
        <f t="shared" si="7"/>
        <v>E</v>
      </c>
      <c r="J265" s="11">
        <f t="shared" si="8"/>
        <v>22882.47603</v>
      </c>
      <c r="K265" s="12" t="str">
        <f t="shared" si="9"/>
        <v>D</v>
      </c>
    </row>
    <row r="266">
      <c r="A266" s="8" t="s">
        <v>114</v>
      </c>
      <c r="B266" s="9">
        <v>457.0</v>
      </c>
      <c r="C266" s="9">
        <v>13550.765864332603</v>
      </c>
      <c r="D266" s="9">
        <v>8373.533533533533</v>
      </c>
      <c r="E266" s="9">
        <f t="shared" si="3"/>
        <v>-5177.232331</v>
      </c>
      <c r="F266" s="9">
        <f t="shared" si="4"/>
        <v>0.6179380278</v>
      </c>
      <c r="G266" s="11">
        <f t="shared" si="5"/>
        <v>13550.76586</v>
      </c>
      <c r="H266" s="11">
        <f t="shared" si="6"/>
        <v>6192700</v>
      </c>
      <c r="I266" s="12" t="str">
        <f t="shared" si="7"/>
        <v>E</v>
      </c>
      <c r="J266" s="11">
        <f t="shared" si="8"/>
        <v>22900.79431</v>
      </c>
      <c r="K266" s="12" t="str">
        <f t="shared" si="9"/>
        <v>D</v>
      </c>
    </row>
    <row r="267">
      <c r="A267" s="8" t="s">
        <v>103</v>
      </c>
      <c r="B267" s="9">
        <v>2152.0</v>
      </c>
      <c r="C267" s="9">
        <v>13698.341078066915</v>
      </c>
      <c r="D267" s="9">
        <v>3115.4001260239456</v>
      </c>
      <c r="E267" s="9">
        <f t="shared" si="3"/>
        <v>-10582.94095</v>
      </c>
      <c r="F267" s="9">
        <f t="shared" si="4"/>
        <v>0.2274290082</v>
      </c>
      <c r="G267" s="11">
        <f t="shared" si="5"/>
        <v>13698.34108</v>
      </c>
      <c r="H267" s="11">
        <f t="shared" si="6"/>
        <v>29478830</v>
      </c>
      <c r="I267" s="12" t="str">
        <f t="shared" si="7"/>
        <v>E</v>
      </c>
      <c r="J267" s="11">
        <f t="shared" si="8"/>
        <v>23150.19642</v>
      </c>
      <c r="K267" s="12" t="str">
        <f t="shared" si="9"/>
        <v>D</v>
      </c>
    </row>
    <row r="268">
      <c r="A268" s="8" t="s">
        <v>47</v>
      </c>
      <c r="B268" s="9">
        <v>156.0</v>
      </c>
      <c r="C268" s="9">
        <v>14000.0</v>
      </c>
      <c r="D268" s="9">
        <v>1781.6593886462888</v>
      </c>
      <c r="E268" s="9">
        <f t="shared" si="3"/>
        <v>-12218.34061</v>
      </c>
      <c r="F268" s="9">
        <f t="shared" si="4"/>
        <v>0.1272613849</v>
      </c>
      <c r="G268" s="11">
        <f t="shared" si="5"/>
        <v>14000</v>
      </c>
      <c r="H268" s="11">
        <f t="shared" si="6"/>
        <v>2184000</v>
      </c>
      <c r="I268" s="12" t="str">
        <f t="shared" si="7"/>
        <v>E</v>
      </c>
      <c r="J268" s="11">
        <f t="shared" si="8"/>
        <v>23660</v>
      </c>
      <c r="K268" s="12" t="str">
        <f t="shared" si="9"/>
        <v>D</v>
      </c>
    </row>
    <row r="269">
      <c r="A269" s="8" t="s">
        <v>283</v>
      </c>
      <c r="B269" s="9">
        <v>630.0</v>
      </c>
      <c r="C269" s="9">
        <v>5600.0</v>
      </c>
      <c r="D269" s="9">
        <v>14000.0</v>
      </c>
      <c r="E269" s="9">
        <f t="shared" si="3"/>
        <v>8400</v>
      </c>
      <c r="F269" s="9">
        <f t="shared" si="4"/>
        <v>2.5</v>
      </c>
      <c r="G269" s="11">
        <f t="shared" si="5"/>
        <v>14000</v>
      </c>
      <c r="H269" s="11">
        <f t="shared" si="6"/>
        <v>8820000</v>
      </c>
      <c r="I269" s="12" t="str">
        <f t="shared" si="7"/>
        <v>E</v>
      </c>
      <c r="J269" s="11">
        <f t="shared" si="8"/>
        <v>23660</v>
      </c>
      <c r="K269" s="12" t="str">
        <f t="shared" si="9"/>
        <v>D</v>
      </c>
    </row>
    <row r="270">
      <c r="A270" s="8" t="s">
        <v>56</v>
      </c>
      <c r="B270" s="9">
        <v>55.0</v>
      </c>
      <c r="C270" s="9">
        <v>14000.0</v>
      </c>
      <c r="D270" s="9">
        <v>14000.0</v>
      </c>
      <c r="E270" s="9">
        <f t="shared" si="3"/>
        <v>0</v>
      </c>
      <c r="F270" s="9">
        <f t="shared" si="4"/>
        <v>1</v>
      </c>
      <c r="G270" s="11">
        <f t="shared" si="5"/>
        <v>14000</v>
      </c>
      <c r="H270" s="11">
        <f t="shared" si="6"/>
        <v>770000</v>
      </c>
      <c r="I270" s="12" t="str">
        <f t="shared" si="7"/>
        <v>E</v>
      </c>
      <c r="J270" s="11">
        <f t="shared" si="8"/>
        <v>23660</v>
      </c>
      <c r="K270" s="12" t="str">
        <f t="shared" si="9"/>
        <v>D</v>
      </c>
    </row>
    <row r="271">
      <c r="A271" s="8" t="s">
        <v>402</v>
      </c>
      <c r="B271" s="9">
        <v>245.0</v>
      </c>
      <c r="C271" s="9">
        <v>14000.0</v>
      </c>
      <c r="D271" s="9">
        <v>14000.0</v>
      </c>
      <c r="E271" s="9">
        <f t="shared" si="3"/>
        <v>0</v>
      </c>
      <c r="F271" s="9">
        <f t="shared" si="4"/>
        <v>1</v>
      </c>
      <c r="G271" s="11">
        <f t="shared" si="5"/>
        <v>14000</v>
      </c>
      <c r="H271" s="11">
        <f t="shared" si="6"/>
        <v>3430000</v>
      </c>
      <c r="I271" s="12" t="str">
        <f t="shared" si="7"/>
        <v>E</v>
      </c>
      <c r="J271" s="11">
        <f t="shared" si="8"/>
        <v>23660</v>
      </c>
      <c r="K271" s="12" t="str">
        <f t="shared" si="9"/>
        <v>D</v>
      </c>
    </row>
    <row r="272">
      <c r="A272" s="8" t="s">
        <v>200</v>
      </c>
      <c r="B272" s="9">
        <v>227.0</v>
      </c>
      <c r="C272" s="9">
        <v>14007.665198237886</v>
      </c>
      <c r="D272" s="10">
        <v>14000.0</v>
      </c>
      <c r="E272" s="9">
        <f t="shared" si="3"/>
        <v>-7.665198238</v>
      </c>
      <c r="F272" s="9">
        <f t="shared" si="4"/>
        <v>0.9994527854</v>
      </c>
      <c r="G272" s="11">
        <f t="shared" si="5"/>
        <v>14007.6652</v>
      </c>
      <c r="H272" s="11">
        <f t="shared" si="6"/>
        <v>3179740</v>
      </c>
      <c r="I272" s="12" t="str">
        <f t="shared" si="7"/>
        <v>E</v>
      </c>
      <c r="J272" s="11">
        <f t="shared" si="8"/>
        <v>23672.95419</v>
      </c>
      <c r="K272" s="12" t="str">
        <f t="shared" si="9"/>
        <v>D</v>
      </c>
    </row>
    <row r="273">
      <c r="A273" s="8" t="s">
        <v>113</v>
      </c>
      <c r="B273" s="9">
        <v>1147.0</v>
      </c>
      <c r="C273" s="9">
        <v>14028.334786399302</v>
      </c>
      <c r="D273" s="9">
        <v>11486.495726495727</v>
      </c>
      <c r="E273" s="9">
        <f t="shared" si="3"/>
        <v>-2541.83906</v>
      </c>
      <c r="F273" s="9">
        <f t="shared" si="4"/>
        <v>0.8188067865</v>
      </c>
      <c r="G273" s="11">
        <f t="shared" si="5"/>
        <v>14028.33479</v>
      </c>
      <c r="H273" s="11">
        <f t="shared" si="6"/>
        <v>16090500</v>
      </c>
      <c r="I273" s="12" t="str">
        <f t="shared" si="7"/>
        <v>E</v>
      </c>
      <c r="J273" s="11">
        <f t="shared" si="8"/>
        <v>23707.88579</v>
      </c>
      <c r="K273" s="12" t="str">
        <f t="shared" si="9"/>
        <v>D</v>
      </c>
    </row>
    <row r="274">
      <c r="A274" s="8" t="s">
        <v>265</v>
      </c>
      <c r="B274" s="9">
        <v>1573.0</v>
      </c>
      <c r="C274" s="9">
        <v>3804.3610934520025</v>
      </c>
      <c r="D274" s="9">
        <v>14692.255639097744</v>
      </c>
      <c r="E274" s="9">
        <f t="shared" si="3"/>
        <v>10887.89455</v>
      </c>
      <c r="F274" s="9">
        <f t="shared" si="4"/>
        <v>3.861950871</v>
      </c>
      <c r="G274" s="11">
        <f t="shared" si="5"/>
        <v>14692.25564</v>
      </c>
      <c r="H274" s="11">
        <f t="shared" si="6"/>
        <v>23110918.12</v>
      </c>
      <c r="I274" s="12" t="str">
        <f t="shared" si="7"/>
        <v>E</v>
      </c>
      <c r="J274" s="11">
        <f t="shared" si="8"/>
        <v>24829.91203</v>
      </c>
      <c r="K274" s="12" t="str">
        <f t="shared" si="9"/>
        <v>D</v>
      </c>
    </row>
    <row r="275">
      <c r="A275" s="8" t="s">
        <v>37</v>
      </c>
      <c r="B275" s="9">
        <v>606.0</v>
      </c>
      <c r="C275" s="9">
        <v>1186.4686468646864</v>
      </c>
      <c r="D275" s="9">
        <v>14950.137184115523</v>
      </c>
      <c r="E275" s="9">
        <f t="shared" si="3"/>
        <v>13763.66854</v>
      </c>
      <c r="F275" s="9">
        <f t="shared" si="4"/>
        <v>12.60053287</v>
      </c>
      <c r="G275" s="11">
        <f t="shared" si="5"/>
        <v>14950.13718</v>
      </c>
      <c r="H275" s="11">
        <f t="shared" si="6"/>
        <v>9059783.134</v>
      </c>
      <c r="I275" s="13" t="str">
        <f t="shared" si="7"/>
        <v>E</v>
      </c>
      <c r="J275" s="11">
        <f t="shared" si="8"/>
        <v>25265.73184</v>
      </c>
      <c r="K275" s="13" t="str">
        <f t="shared" si="9"/>
        <v>D1</v>
      </c>
    </row>
    <row r="276">
      <c r="A276" s="8" t="s">
        <v>155</v>
      </c>
      <c r="B276" s="9">
        <v>639.0</v>
      </c>
      <c r="C276" s="9">
        <v>15000.0</v>
      </c>
      <c r="D276" s="9">
        <v>15000.0</v>
      </c>
      <c r="E276" s="9">
        <f t="shared" si="3"/>
        <v>0</v>
      </c>
      <c r="F276" s="9">
        <f t="shared" si="4"/>
        <v>1</v>
      </c>
      <c r="G276" s="11">
        <f t="shared" si="5"/>
        <v>15000</v>
      </c>
      <c r="H276" s="11">
        <f t="shared" si="6"/>
        <v>9585000</v>
      </c>
      <c r="I276" s="12" t="str">
        <f t="shared" si="7"/>
        <v>E</v>
      </c>
      <c r="J276" s="11">
        <f t="shared" si="8"/>
        <v>25350</v>
      </c>
      <c r="K276" s="12" t="str">
        <f t="shared" si="9"/>
        <v>D1</v>
      </c>
    </row>
    <row r="277">
      <c r="A277" s="8" t="s">
        <v>55</v>
      </c>
      <c r="B277" s="9">
        <v>390.0</v>
      </c>
      <c r="C277" s="9">
        <v>15102.564102564103</v>
      </c>
      <c r="D277" s="9">
        <v>3168.1537405628005</v>
      </c>
      <c r="E277" s="9">
        <f t="shared" si="3"/>
        <v>-11934.41036</v>
      </c>
      <c r="F277" s="9">
        <f t="shared" si="4"/>
        <v>0.2097758843</v>
      </c>
      <c r="G277" s="11">
        <f t="shared" si="5"/>
        <v>15102.5641</v>
      </c>
      <c r="H277" s="11">
        <f t="shared" si="6"/>
        <v>5890000</v>
      </c>
      <c r="I277" s="13" t="str">
        <f t="shared" si="7"/>
        <v>E</v>
      </c>
      <c r="J277" s="11">
        <f t="shared" si="8"/>
        <v>25523.33333</v>
      </c>
      <c r="K277" s="13" t="str">
        <f t="shared" si="9"/>
        <v>D1</v>
      </c>
    </row>
    <row r="278">
      <c r="A278" s="8" t="s">
        <v>154</v>
      </c>
      <c r="B278" s="9">
        <v>589.0</v>
      </c>
      <c r="C278" s="9">
        <v>15130.730050933786</v>
      </c>
      <c r="D278" s="9">
        <v>4078.2122905027936</v>
      </c>
      <c r="E278" s="9">
        <f t="shared" si="3"/>
        <v>-11052.51776</v>
      </c>
      <c r="F278" s="9">
        <f t="shared" si="4"/>
        <v>0.2695317593</v>
      </c>
      <c r="G278" s="11">
        <f t="shared" si="5"/>
        <v>15130.73005</v>
      </c>
      <c r="H278" s="11">
        <f t="shared" si="6"/>
        <v>8912000</v>
      </c>
      <c r="I278" s="12" t="str">
        <f t="shared" si="7"/>
        <v>E</v>
      </c>
      <c r="J278" s="11">
        <f t="shared" si="8"/>
        <v>25570.93379</v>
      </c>
      <c r="K278" s="12" t="str">
        <f t="shared" si="9"/>
        <v>D1</v>
      </c>
    </row>
    <row r="279">
      <c r="A279" s="8" t="s">
        <v>38</v>
      </c>
      <c r="B279" s="9">
        <v>1323.0</v>
      </c>
      <c r="C279" s="9">
        <v>15190.438397581254</v>
      </c>
      <c r="D279" s="9">
        <v>4561.0687022900765</v>
      </c>
      <c r="E279" s="9">
        <f t="shared" si="3"/>
        <v>-10629.3697</v>
      </c>
      <c r="F279" s="9">
        <f t="shared" si="4"/>
        <v>0.3002591882</v>
      </c>
      <c r="G279" s="11">
        <f t="shared" si="5"/>
        <v>15190.4384</v>
      </c>
      <c r="H279" s="11">
        <f t="shared" si="6"/>
        <v>20096950</v>
      </c>
      <c r="I279" s="13" t="str">
        <f t="shared" si="7"/>
        <v>E</v>
      </c>
      <c r="J279" s="11">
        <f t="shared" si="8"/>
        <v>25671.84089</v>
      </c>
      <c r="K279" s="13" t="str">
        <f t="shared" si="9"/>
        <v>D1</v>
      </c>
    </row>
    <row r="280">
      <c r="A280" s="8" t="s">
        <v>58</v>
      </c>
      <c r="B280" s="9">
        <v>390.0</v>
      </c>
      <c r="C280" s="9">
        <v>15192.820512820514</v>
      </c>
      <c r="D280" s="9">
        <v>5214.165261382799</v>
      </c>
      <c r="E280" s="9">
        <f t="shared" si="3"/>
        <v>-9978.655251</v>
      </c>
      <c r="F280" s="9">
        <f t="shared" si="4"/>
        <v>0.3431992932</v>
      </c>
      <c r="G280" s="11">
        <f t="shared" si="5"/>
        <v>15192.82051</v>
      </c>
      <c r="H280" s="11">
        <f t="shared" si="6"/>
        <v>5925200</v>
      </c>
      <c r="I280" s="12" t="str">
        <f t="shared" si="7"/>
        <v>E</v>
      </c>
      <c r="J280" s="11">
        <f t="shared" si="8"/>
        <v>25675.86667</v>
      </c>
      <c r="K280" s="12" t="str">
        <f t="shared" si="9"/>
        <v>D1</v>
      </c>
    </row>
    <row r="281">
      <c r="A281" s="8" t="s">
        <v>27</v>
      </c>
      <c r="B281" s="9">
        <v>1149.0</v>
      </c>
      <c r="C281" s="9">
        <v>15463.185378590078</v>
      </c>
      <c r="D281" s="9">
        <v>8054.520672421627</v>
      </c>
      <c r="E281" s="9">
        <f t="shared" si="3"/>
        <v>-7408.664706</v>
      </c>
      <c r="F281" s="9">
        <f t="shared" si="4"/>
        <v>0.520883665</v>
      </c>
      <c r="G281" s="11">
        <f t="shared" si="5"/>
        <v>15463.18538</v>
      </c>
      <c r="H281" s="11">
        <f t="shared" si="6"/>
        <v>17767200</v>
      </c>
      <c r="I281" s="12" t="str">
        <f t="shared" si="7"/>
        <v>E</v>
      </c>
      <c r="J281" s="11">
        <f t="shared" si="8"/>
        <v>26132.78329</v>
      </c>
      <c r="K281" s="12" t="str">
        <f t="shared" si="9"/>
        <v>D1</v>
      </c>
    </row>
    <row r="282">
      <c r="A282" s="8" t="s">
        <v>109</v>
      </c>
      <c r="B282" s="9">
        <v>208.0</v>
      </c>
      <c r="C282" s="9">
        <v>16000.0</v>
      </c>
      <c r="D282" s="9">
        <v>16000.0</v>
      </c>
      <c r="E282" s="9">
        <f t="shared" si="3"/>
        <v>0</v>
      </c>
      <c r="F282" s="9">
        <f t="shared" si="4"/>
        <v>1</v>
      </c>
      <c r="G282" s="11">
        <f t="shared" si="5"/>
        <v>16000</v>
      </c>
      <c r="H282" s="11">
        <f t="shared" si="6"/>
        <v>3328000</v>
      </c>
      <c r="I282" s="12" t="str">
        <f t="shared" si="7"/>
        <v>E1</v>
      </c>
      <c r="J282" s="11">
        <f t="shared" si="8"/>
        <v>27040</v>
      </c>
      <c r="K282" s="12" t="str">
        <f t="shared" si="9"/>
        <v>D1</v>
      </c>
    </row>
    <row r="283">
      <c r="A283" s="8" t="s">
        <v>289</v>
      </c>
      <c r="B283" s="9">
        <v>83.0</v>
      </c>
      <c r="C283" s="9">
        <v>16000.0</v>
      </c>
      <c r="D283" s="9">
        <v>16000.0</v>
      </c>
      <c r="E283" s="9">
        <f t="shared" si="3"/>
        <v>0</v>
      </c>
      <c r="F283" s="9">
        <f t="shared" si="4"/>
        <v>1</v>
      </c>
      <c r="G283" s="11">
        <f t="shared" si="5"/>
        <v>16000</v>
      </c>
      <c r="H283" s="11">
        <f t="shared" si="6"/>
        <v>1328000</v>
      </c>
      <c r="I283" s="12" t="str">
        <f t="shared" si="7"/>
        <v>E1</v>
      </c>
      <c r="J283" s="11">
        <f t="shared" si="8"/>
        <v>27040</v>
      </c>
      <c r="K283" s="12" t="str">
        <f t="shared" si="9"/>
        <v>D1</v>
      </c>
    </row>
    <row r="284">
      <c r="A284" s="8" t="s">
        <v>125</v>
      </c>
      <c r="B284" s="9">
        <v>1106.0</v>
      </c>
      <c r="C284" s="9">
        <v>16153.345388788426</v>
      </c>
      <c r="D284" s="9">
        <v>12665.12702078522</v>
      </c>
      <c r="E284" s="9">
        <f t="shared" si="3"/>
        <v>-3488.218368</v>
      </c>
      <c r="F284" s="9">
        <f t="shared" si="4"/>
        <v>0.7840559782</v>
      </c>
      <c r="G284" s="11">
        <f t="shared" si="5"/>
        <v>16153.34539</v>
      </c>
      <c r="H284" s="11">
        <f t="shared" si="6"/>
        <v>17865600</v>
      </c>
      <c r="I284" s="12" t="str">
        <f t="shared" si="7"/>
        <v>E1</v>
      </c>
      <c r="J284" s="11">
        <f t="shared" si="8"/>
        <v>27299.15371</v>
      </c>
      <c r="K284" s="12" t="str">
        <f t="shared" si="9"/>
        <v>D1</v>
      </c>
    </row>
    <row r="285">
      <c r="A285" s="8" t="s">
        <v>111</v>
      </c>
      <c r="B285" s="9">
        <v>816.0</v>
      </c>
      <c r="C285" s="9">
        <v>16446.07843137255</v>
      </c>
      <c r="D285" s="9">
        <v>1711.4552893045002</v>
      </c>
      <c r="E285" s="9">
        <f t="shared" si="3"/>
        <v>-14734.62314</v>
      </c>
      <c r="F285" s="9">
        <f t="shared" si="4"/>
        <v>0.1040646435</v>
      </c>
      <c r="G285" s="11">
        <f t="shared" si="5"/>
        <v>16446.07843</v>
      </c>
      <c r="H285" s="11">
        <f t="shared" si="6"/>
        <v>13420000</v>
      </c>
      <c r="I285" s="12" t="str">
        <f t="shared" si="7"/>
        <v>E1</v>
      </c>
      <c r="J285" s="11">
        <f t="shared" si="8"/>
        <v>27793.87255</v>
      </c>
      <c r="K285" s="12" t="str">
        <f t="shared" si="9"/>
        <v>D1</v>
      </c>
    </row>
    <row r="286">
      <c r="A286" s="8" t="s">
        <v>31</v>
      </c>
      <c r="B286" s="9">
        <v>5788.0</v>
      </c>
      <c r="C286" s="9">
        <v>16517.795438838977</v>
      </c>
      <c r="D286" s="9">
        <v>7949.678111587982</v>
      </c>
      <c r="E286" s="9">
        <f t="shared" si="3"/>
        <v>-8568.117327</v>
      </c>
      <c r="F286" s="9">
        <f t="shared" si="4"/>
        <v>0.4812796079</v>
      </c>
      <c r="G286" s="11">
        <f t="shared" si="5"/>
        <v>16517.79544</v>
      </c>
      <c r="H286" s="11">
        <f t="shared" si="6"/>
        <v>95605000</v>
      </c>
      <c r="I286" s="13" t="str">
        <f t="shared" si="7"/>
        <v>E1</v>
      </c>
      <c r="J286" s="11">
        <f t="shared" si="8"/>
        <v>27915.07429</v>
      </c>
      <c r="K286" s="13" t="str">
        <f t="shared" si="9"/>
        <v>D1</v>
      </c>
    </row>
    <row r="287">
      <c r="A287" s="8" t="s">
        <v>83</v>
      </c>
      <c r="B287" s="9">
        <v>89.0</v>
      </c>
      <c r="C287" s="9">
        <v>17000.0</v>
      </c>
      <c r="D287" s="9">
        <v>17000.0</v>
      </c>
      <c r="E287" s="9">
        <f t="shared" si="3"/>
        <v>0</v>
      </c>
      <c r="F287" s="9">
        <f t="shared" si="4"/>
        <v>1</v>
      </c>
      <c r="G287" s="11">
        <f t="shared" si="5"/>
        <v>17000</v>
      </c>
      <c r="H287" s="11">
        <f t="shared" si="6"/>
        <v>1513000</v>
      </c>
      <c r="I287" s="12" t="str">
        <f t="shared" si="7"/>
        <v>E1</v>
      </c>
      <c r="J287" s="11">
        <f t="shared" si="8"/>
        <v>28730</v>
      </c>
      <c r="K287" s="12" t="str">
        <f t="shared" si="9"/>
        <v>D1</v>
      </c>
    </row>
    <row r="288">
      <c r="A288" s="8" t="s">
        <v>178</v>
      </c>
      <c r="B288" s="9">
        <v>3726.0</v>
      </c>
      <c r="C288" s="9">
        <v>17140.177133655394</v>
      </c>
      <c r="D288" s="9">
        <v>3820.9822646657576</v>
      </c>
      <c r="E288" s="9">
        <f t="shared" si="3"/>
        <v>-13319.19487</v>
      </c>
      <c r="F288" s="9">
        <f t="shared" si="4"/>
        <v>0.2229254829</v>
      </c>
      <c r="G288" s="11">
        <f t="shared" si="5"/>
        <v>17140.17713</v>
      </c>
      <c r="H288" s="11">
        <f t="shared" si="6"/>
        <v>63864300</v>
      </c>
      <c r="I288" s="12" t="str">
        <f t="shared" si="7"/>
        <v>E1</v>
      </c>
      <c r="J288" s="11">
        <f t="shared" si="8"/>
        <v>28966.89936</v>
      </c>
      <c r="K288" s="12" t="str">
        <f t="shared" si="9"/>
        <v>D1</v>
      </c>
    </row>
    <row r="289">
      <c r="A289" s="8" t="s">
        <v>75</v>
      </c>
      <c r="B289" s="9">
        <v>862.0</v>
      </c>
      <c r="C289" s="9">
        <v>11500.0</v>
      </c>
      <c r="D289" s="9">
        <v>17500.0</v>
      </c>
      <c r="E289" s="9">
        <f t="shared" si="3"/>
        <v>6000</v>
      </c>
      <c r="F289" s="9">
        <f t="shared" si="4"/>
        <v>1.52173913</v>
      </c>
      <c r="G289" s="11">
        <f t="shared" si="5"/>
        <v>17500</v>
      </c>
      <c r="H289" s="11">
        <f t="shared" si="6"/>
        <v>15085000</v>
      </c>
      <c r="I289" s="12" t="str">
        <f t="shared" si="7"/>
        <v>E1</v>
      </c>
      <c r="J289" s="11">
        <f t="shared" si="8"/>
        <v>29575</v>
      </c>
      <c r="K289" s="12" t="str">
        <f t="shared" si="9"/>
        <v>D1</v>
      </c>
    </row>
    <row r="290">
      <c r="A290" s="8" t="s">
        <v>88</v>
      </c>
      <c r="B290" s="9">
        <v>644.0</v>
      </c>
      <c r="C290" s="9">
        <v>17632.919254658384</v>
      </c>
      <c r="D290" s="9">
        <v>17632.919254658384</v>
      </c>
      <c r="E290" s="9">
        <f t="shared" si="3"/>
        <v>0</v>
      </c>
      <c r="F290" s="9">
        <f t="shared" si="4"/>
        <v>1</v>
      </c>
      <c r="G290" s="11">
        <f t="shared" si="5"/>
        <v>17632.91925</v>
      </c>
      <c r="H290" s="11">
        <f t="shared" si="6"/>
        <v>11355600</v>
      </c>
      <c r="I290" s="12" t="str">
        <f t="shared" si="7"/>
        <v>E1</v>
      </c>
      <c r="J290" s="11">
        <f t="shared" si="8"/>
        <v>29799.63354</v>
      </c>
      <c r="K290" s="12" t="str">
        <f t="shared" si="9"/>
        <v>D1</v>
      </c>
    </row>
    <row r="291">
      <c r="A291" s="8" t="s">
        <v>174</v>
      </c>
      <c r="B291" s="9">
        <v>809.0</v>
      </c>
      <c r="C291" s="9">
        <v>10385.414091470951</v>
      </c>
      <c r="D291" s="9">
        <v>17701.908396946565</v>
      </c>
      <c r="E291" s="9">
        <f t="shared" si="3"/>
        <v>7316.494305</v>
      </c>
      <c r="F291" s="9">
        <f t="shared" si="4"/>
        <v>1.704497119</v>
      </c>
      <c r="G291" s="11">
        <f t="shared" si="5"/>
        <v>17701.9084</v>
      </c>
      <c r="H291" s="11">
        <f t="shared" si="6"/>
        <v>14320843.89</v>
      </c>
      <c r="I291" s="12" t="str">
        <f t="shared" si="7"/>
        <v>E1</v>
      </c>
      <c r="J291" s="11">
        <f t="shared" si="8"/>
        <v>29916.22519</v>
      </c>
      <c r="K291" s="12" t="str">
        <f t="shared" si="9"/>
        <v>D1</v>
      </c>
    </row>
    <row r="292">
      <c r="A292" s="8" t="s">
        <v>211</v>
      </c>
      <c r="B292" s="9">
        <v>79.0</v>
      </c>
      <c r="C292" s="9">
        <v>8000.0</v>
      </c>
      <c r="D292" s="9">
        <v>17758.75486381323</v>
      </c>
      <c r="E292" s="9">
        <f t="shared" si="3"/>
        <v>9758.754864</v>
      </c>
      <c r="F292" s="9">
        <f t="shared" si="4"/>
        <v>2.219844358</v>
      </c>
      <c r="G292" s="11">
        <f t="shared" si="5"/>
        <v>17758.75486</v>
      </c>
      <c r="H292" s="11">
        <f t="shared" si="6"/>
        <v>1402941.634</v>
      </c>
      <c r="I292" s="12" t="str">
        <f t="shared" si="7"/>
        <v>E1</v>
      </c>
      <c r="J292" s="11">
        <f t="shared" si="8"/>
        <v>30012.29572</v>
      </c>
      <c r="K292" s="12" t="str">
        <f t="shared" si="9"/>
        <v>C</v>
      </c>
    </row>
    <row r="293">
      <c r="A293" s="69" t="s">
        <v>187</v>
      </c>
      <c r="B293" s="70">
        <v>489.0</v>
      </c>
      <c r="C293" s="70">
        <v>18631.267893660533</v>
      </c>
      <c r="D293" s="70">
        <v>7129.411764705881</v>
      </c>
      <c r="E293" s="70">
        <f t="shared" si="3"/>
        <v>-11501.85613</v>
      </c>
      <c r="F293" s="70">
        <f t="shared" si="4"/>
        <v>0.3826584323</v>
      </c>
      <c r="G293" s="71">
        <f t="shared" si="5"/>
        <v>18631.26789</v>
      </c>
      <c r="H293" s="71">
        <f t="shared" si="6"/>
        <v>9110690</v>
      </c>
      <c r="I293" s="72" t="str">
        <f t="shared" si="7"/>
        <v>E1</v>
      </c>
      <c r="J293" s="71">
        <f t="shared" si="8"/>
        <v>31486.84274</v>
      </c>
      <c r="K293" s="72" t="str">
        <f t="shared" si="9"/>
        <v>C</v>
      </c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</row>
    <row r="294">
      <c r="A294" s="8" t="s">
        <v>140</v>
      </c>
      <c r="B294" s="9">
        <v>7005.0</v>
      </c>
      <c r="C294" s="9">
        <v>19200.899357601713</v>
      </c>
      <c r="D294" s="9">
        <v>7644.785766158315</v>
      </c>
      <c r="E294" s="9">
        <f t="shared" si="3"/>
        <v>-11556.11359</v>
      </c>
      <c r="F294" s="9">
        <f t="shared" si="4"/>
        <v>0.3981472755</v>
      </c>
      <c r="G294" s="11">
        <f t="shared" si="5"/>
        <v>19200.89936</v>
      </c>
      <c r="H294" s="11">
        <f t="shared" si="6"/>
        <v>134502300</v>
      </c>
      <c r="I294" s="12" t="str">
        <f t="shared" si="7"/>
        <v>E1</v>
      </c>
      <c r="J294" s="11">
        <f t="shared" si="8"/>
        <v>32449.51991</v>
      </c>
      <c r="K294" s="12" t="str">
        <f t="shared" si="9"/>
        <v>C</v>
      </c>
    </row>
    <row r="295">
      <c r="A295" s="8" t="s">
        <v>379</v>
      </c>
      <c r="B295" s="9">
        <v>666.0</v>
      </c>
      <c r="C295" s="9">
        <v>19207.95795795796</v>
      </c>
      <c r="D295" s="9">
        <v>6235.0</v>
      </c>
      <c r="E295" s="9">
        <f t="shared" si="3"/>
        <v>-12972.95796</v>
      </c>
      <c r="F295" s="9">
        <f t="shared" si="4"/>
        <v>0.324605042</v>
      </c>
      <c r="G295" s="11">
        <f t="shared" si="5"/>
        <v>19207.95796</v>
      </c>
      <c r="H295" s="11">
        <f t="shared" si="6"/>
        <v>12792500</v>
      </c>
      <c r="I295" s="12" t="str">
        <f t="shared" si="7"/>
        <v>E1</v>
      </c>
      <c r="J295" s="11">
        <f t="shared" si="8"/>
        <v>32461.44895</v>
      </c>
      <c r="K295" s="12" t="str">
        <f t="shared" si="9"/>
        <v>C</v>
      </c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</row>
    <row r="296">
      <c r="A296" s="8" t="s">
        <v>162</v>
      </c>
      <c r="B296" s="9">
        <v>731.0</v>
      </c>
      <c r="C296" s="9">
        <v>19350.0</v>
      </c>
      <c r="D296" s="9">
        <v>19350.0</v>
      </c>
      <c r="E296" s="9">
        <f t="shared" si="3"/>
        <v>0</v>
      </c>
      <c r="F296" s="9">
        <f t="shared" si="4"/>
        <v>1</v>
      </c>
      <c r="G296" s="11">
        <f t="shared" si="5"/>
        <v>19350</v>
      </c>
      <c r="H296" s="11">
        <f t="shared" si="6"/>
        <v>14144850</v>
      </c>
      <c r="I296" s="12" t="str">
        <f t="shared" si="7"/>
        <v>E1</v>
      </c>
      <c r="J296" s="11">
        <f t="shared" si="8"/>
        <v>32701.5</v>
      </c>
      <c r="K296" s="12" t="str">
        <f t="shared" si="9"/>
        <v>C</v>
      </c>
    </row>
    <row r="297">
      <c r="A297" s="8" t="s">
        <v>167</v>
      </c>
      <c r="B297" s="9">
        <v>51.0</v>
      </c>
      <c r="C297" s="9">
        <v>19600.0</v>
      </c>
      <c r="D297" s="9">
        <v>19600.0</v>
      </c>
      <c r="E297" s="9">
        <f t="shared" si="3"/>
        <v>0</v>
      </c>
      <c r="F297" s="9">
        <f t="shared" si="4"/>
        <v>1</v>
      </c>
      <c r="G297" s="11">
        <f t="shared" si="5"/>
        <v>19600</v>
      </c>
      <c r="H297" s="11">
        <f t="shared" si="6"/>
        <v>999600</v>
      </c>
      <c r="I297" s="12" t="str">
        <f t="shared" si="7"/>
        <v>E1</v>
      </c>
      <c r="J297" s="11">
        <f t="shared" si="8"/>
        <v>33124</v>
      </c>
      <c r="K297" s="12" t="str">
        <f t="shared" si="9"/>
        <v>C</v>
      </c>
    </row>
    <row r="298">
      <c r="A298" s="8" t="s">
        <v>130</v>
      </c>
      <c r="B298" s="9">
        <v>862.0</v>
      </c>
      <c r="C298" s="9">
        <v>10218.445475638051</v>
      </c>
      <c r="D298" s="9">
        <v>19780.80495356037</v>
      </c>
      <c r="E298" s="9">
        <f t="shared" si="3"/>
        <v>9562.359478</v>
      </c>
      <c r="F298" s="9">
        <f t="shared" si="4"/>
        <v>1.935793952</v>
      </c>
      <c r="G298" s="11">
        <f t="shared" si="5"/>
        <v>19780.80495</v>
      </c>
      <c r="H298" s="11">
        <f t="shared" si="6"/>
        <v>17051053.87</v>
      </c>
      <c r="I298" s="12" t="str">
        <f t="shared" si="7"/>
        <v>E1</v>
      </c>
      <c r="J298" s="11">
        <f t="shared" si="8"/>
        <v>33429.56037</v>
      </c>
      <c r="K298" s="12" t="str">
        <f t="shared" si="9"/>
        <v>C</v>
      </c>
    </row>
    <row r="299">
      <c r="A299" s="8" t="s">
        <v>129</v>
      </c>
      <c r="B299" s="9">
        <v>1378.0</v>
      </c>
      <c r="C299" s="9">
        <v>19794.77503628447</v>
      </c>
      <c r="D299" s="9">
        <v>10569.413511507053</v>
      </c>
      <c r="E299" s="9">
        <f t="shared" si="3"/>
        <v>-9225.361525</v>
      </c>
      <c r="F299" s="9">
        <f t="shared" si="4"/>
        <v>0.5339496656</v>
      </c>
      <c r="G299" s="11">
        <f t="shared" si="5"/>
        <v>19794.77504</v>
      </c>
      <c r="H299" s="11">
        <f t="shared" si="6"/>
        <v>27277200</v>
      </c>
      <c r="I299" s="12" t="str">
        <f t="shared" si="7"/>
        <v>E1</v>
      </c>
      <c r="J299" s="11">
        <f t="shared" si="8"/>
        <v>33453.16981</v>
      </c>
      <c r="K299" s="12" t="str">
        <f t="shared" si="9"/>
        <v>C</v>
      </c>
    </row>
    <row r="300">
      <c r="A300" s="8" t="s">
        <v>144</v>
      </c>
      <c r="B300" s="9">
        <v>689.0</v>
      </c>
      <c r="C300" s="9">
        <v>20098.693759071117</v>
      </c>
      <c r="D300" s="9">
        <v>20098.693759071117</v>
      </c>
      <c r="E300" s="9">
        <f t="shared" si="3"/>
        <v>0</v>
      </c>
      <c r="F300" s="9">
        <f t="shared" si="4"/>
        <v>1</v>
      </c>
      <c r="G300" s="11">
        <f t="shared" si="5"/>
        <v>20098.69376</v>
      </c>
      <c r="H300" s="11">
        <f t="shared" si="6"/>
        <v>13848000</v>
      </c>
      <c r="I300" s="12" t="str">
        <f t="shared" si="7"/>
        <v>D</v>
      </c>
      <c r="J300" s="11">
        <f t="shared" si="8"/>
        <v>33966.79245</v>
      </c>
      <c r="K300" s="12" t="str">
        <f t="shared" si="9"/>
        <v>C</v>
      </c>
    </row>
    <row r="301">
      <c r="A301" s="8" t="s">
        <v>206</v>
      </c>
      <c r="B301" s="9">
        <v>762.0</v>
      </c>
      <c r="C301" s="9">
        <v>21397.17847769029</v>
      </c>
      <c r="D301" s="9">
        <v>3621.244309559941</v>
      </c>
      <c r="E301" s="9">
        <f t="shared" si="3"/>
        <v>-17775.93417</v>
      </c>
      <c r="F301" s="9">
        <f t="shared" si="4"/>
        <v>0.1692393375</v>
      </c>
      <c r="G301" s="11">
        <f t="shared" si="5"/>
        <v>21397.17848</v>
      </c>
      <c r="H301" s="11">
        <f t="shared" si="6"/>
        <v>16304650</v>
      </c>
      <c r="I301" s="12" t="str">
        <f t="shared" si="7"/>
        <v>D</v>
      </c>
      <c r="J301" s="11">
        <f t="shared" si="8"/>
        <v>36161.23163</v>
      </c>
      <c r="K301" s="12" t="str">
        <f t="shared" si="9"/>
        <v>C1</v>
      </c>
    </row>
    <row r="302">
      <c r="A302" s="8" t="s">
        <v>332</v>
      </c>
      <c r="B302" s="9">
        <v>80.0</v>
      </c>
      <c r="C302" s="9">
        <v>4000.0</v>
      </c>
      <c r="D302" s="9">
        <v>21500.0</v>
      </c>
      <c r="E302" s="9">
        <f t="shared" si="3"/>
        <v>17500</v>
      </c>
      <c r="F302" s="9">
        <f t="shared" si="4"/>
        <v>5.375</v>
      </c>
      <c r="G302" s="11">
        <f t="shared" si="5"/>
        <v>21500</v>
      </c>
      <c r="H302" s="11">
        <f t="shared" si="6"/>
        <v>1720000</v>
      </c>
      <c r="I302" s="12" t="str">
        <f t="shared" si="7"/>
        <v>D</v>
      </c>
      <c r="J302" s="11">
        <f t="shared" si="8"/>
        <v>36335</v>
      </c>
      <c r="K302" s="12" t="str">
        <f t="shared" si="9"/>
        <v>C1</v>
      </c>
    </row>
    <row r="303">
      <c r="A303" s="8" t="s">
        <v>212</v>
      </c>
      <c r="B303" s="9">
        <v>1282.0</v>
      </c>
      <c r="C303" s="9">
        <v>7128.4711388455535</v>
      </c>
      <c r="D303" s="9">
        <v>21500.0</v>
      </c>
      <c r="E303" s="9">
        <f t="shared" si="3"/>
        <v>14371.52886</v>
      </c>
      <c r="F303" s="9">
        <f t="shared" si="4"/>
        <v>3.016074496</v>
      </c>
      <c r="G303" s="11">
        <f t="shared" si="5"/>
        <v>21500</v>
      </c>
      <c r="H303" s="11">
        <f t="shared" si="6"/>
        <v>27563000</v>
      </c>
      <c r="I303" s="12" t="str">
        <f t="shared" si="7"/>
        <v>D</v>
      </c>
      <c r="J303" s="11">
        <f t="shared" si="8"/>
        <v>36335</v>
      </c>
      <c r="K303" s="12" t="str">
        <f t="shared" si="9"/>
        <v>C1</v>
      </c>
    </row>
    <row r="304">
      <c r="A304" s="8" t="s">
        <v>86</v>
      </c>
      <c r="B304" s="9">
        <v>1343.0</v>
      </c>
      <c r="C304" s="9">
        <v>14614.743112434848</v>
      </c>
      <c r="D304" s="9">
        <v>21516.201117318436</v>
      </c>
      <c r="E304" s="9">
        <f t="shared" si="3"/>
        <v>6901.458005</v>
      </c>
      <c r="F304" s="9">
        <f t="shared" si="4"/>
        <v>1.472225748</v>
      </c>
      <c r="G304" s="11">
        <f t="shared" si="5"/>
        <v>21516.20112</v>
      </c>
      <c r="H304" s="11">
        <f t="shared" si="6"/>
        <v>28896258.1</v>
      </c>
      <c r="I304" s="12" t="str">
        <f t="shared" si="7"/>
        <v>D</v>
      </c>
      <c r="J304" s="11">
        <f t="shared" si="8"/>
        <v>36362.37989</v>
      </c>
      <c r="K304" s="12" t="str">
        <f t="shared" si="9"/>
        <v>C1</v>
      </c>
    </row>
    <row r="305">
      <c r="A305" s="8" t="s">
        <v>146</v>
      </c>
      <c r="B305" s="9">
        <v>295.0</v>
      </c>
      <c r="C305" s="9">
        <v>21707.20338983051</v>
      </c>
      <c r="D305" s="9">
        <v>13838.903170522708</v>
      </c>
      <c r="E305" s="9">
        <f t="shared" si="3"/>
        <v>-7868.300219</v>
      </c>
      <c r="F305" s="9">
        <f t="shared" si="4"/>
        <v>0.6375258444</v>
      </c>
      <c r="G305" s="11">
        <f t="shared" si="5"/>
        <v>21707.20339</v>
      </c>
      <c r="H305" s="11">
        <f t="shared" si="6"/>
        <v>6403625</v>
      </c>
      <c r="I305" s="12" t="str">
        <f t="shared" si="7"/>
        <v>D</v>
      </c>
      <c r="J305" s="11">
        <f t="shared" si="8"/>
        <v>36685.17373</v>
      </c>
      <c r="K305" s="12" t="str">
        <f t="shared" si="9"/>
        <v>C1</v>
      </c>
    </row>
    <row r="306">
      <c r="A306" s="8" t="s">
        <v>210</v>
      </c>
      <c r="B306" s="9">
        <v>438.0</v>
      </c>
      <c r="C306" s="9">
        <v>23406.84931506849</v>
      </c>
      <c r="D306" s="9">
        <v>10554.089709762533</v>
      </c>
      <c r="E306" s="9">
        <f t="shared" si="3"/>
        <v>-12852.75961</v>
      </c>
      <c r="F306" s="9">
        <f t="shared" si="4"/>
        <v>0.4508974945</v>
      </c>
      <c r="G306" s="11">
        <f t="shared" si="5"/>
        <v>23406.84932</v>
      </c>
      <c r="H306" s="11">
        <f t="shared" si="6"/>
        <v>10252200</v>
      </c>
      <c r="I306" s="12" t="str">
        <f t="shared" si="7"/>
        <v>D</v>
      </c>
      <c r="J306" s="11">
        <f t="shared" si="8"/>
        <v>39557.57534</v>
      </c>
      <c r="K306" s="12" t="str">
        <f t="shared" si="9"/>
        <v>C1</v>
      </c>
    </row>
    <row r="307">
      <c r="A307" s="8" t="s">
        <v>183</v>
      </c>
      <c r="B307" s="9">
        <v>513.0</v>
      </c>
      <c r="C307" s="9">
        <v>17020.311890838206</v>
      </c>
      <c r="D307" s="9">
        <v>24000.0</v>
      </c>
      <c r="E307" s="9">
        <f t="shared" si="3"/>
        <v>6979.688109</v>
      </c>
      <c r="F307" s="9">
        <f t="shared" si="4"/>
        <v>1.410079918</v>
      </c>
      <c r="G307" s="11">
        <f t="shared" si="5"/>
        <v>24000</v>
      </c>
      <c r="H307" s="11">
        <f t="shared" si="6"/>
        <v>12312000</v>
      </c>
      <c r="I307" s="12" t="str">
        <f t="shared" si="7"/>
        <v>D</v>
      </c>
      <c r="J307" s="11">
        <f t="shared" si="8"/>
        <v>40560</v>
      </c>
      <c r="K307" s="12" t="str">
        <f t="shared" si="9"/>
        <v>B</v>
      </c>
    </row>
    <row r="308">
      <c r="A308" s="8" t="s">
        <v>73</v>
      </c>
      <c r="B308" s="9">
        <v>128.0</v>
      </c>
      <c r="C308" s="9">
        <v>24790.625</v>
      </c>
      <c r="D308" s="9">
        <v>7205.425400739827</v>
      </c>
      <c r="E308" s="9">
        <f t="shared" si="3"/>
        <v>-17585.1996</v>
      </c>
      <c r="F308" s="9">
        <f t="shared" si="4"/>
        <v>0.29065122</v>
      </c>
      <c r="G308" s="11">
        <f t="shared" si="5"/>
        <v>24790.625</v>
      </c>
      <c r="H308" s="11">
        <f t="shared" si="6"/>
        <v>3173200</v>
      </c>
      <c r="I308" s="12" t="str">
        <f t="shared" si="7"/>
        <v>D</v>
      </c>
      <c r="J308" s="11">
        <f t="shared" si="8"/>
        <v>41896.15625</v>
      </c>
      <c r="K308" s="12" t="str">
        <f t="shared" si="9"/>
        <v>B</v>
      </c>
    </row>
    <row r="309">
      <c r="A309" s="8" t="s">
        <v>28</v>
      </c>
      <c r="B309" s="9">
        <v>1062.0</v>
      </c>
      <c r="C309" s="9">
        <v>16852.16572504708</v>
      </c>
      <c r="D309" s="9">
        <v>24898.80239520958</v>
      </c>
      <c r="E309" s="9">
        <f t="shared" si="3"/>
        <v>8046.63667</v>
      </c>
      <c r="F309" s="9">
        <f t="shared" si="4"/>
        <v>1.477483832</v>
      </c>
      <c r="G309" s="11">
        <f t="shared" si="5"/>
        <v>24898.8024</v>
      </c>
      <c r="H309" s="11">
        <f t="shared" si="6"/>
        <v>26442528.14</v>
      </c>
      <c r="I309" s="13" t="str">
        <f t="shared" si="7"/>
        <v>D</v>
      </c>
      <c r="J309" s="11">
        <f t="shared" si="8"/>
        <v>42078.97605</v>
      </c>
      <c r="K309" s="13" t="str">
        <f t="shared" si="9"/>
        <v>B</v>
      </c>
    </row>
    <row r="310">
      <c r="A310" s="8" t="s">
        <v>179</v>
      </c>
      <c r="B310" s="9">
        <v>55.0</v>
      </c>
      <c r="C310" s="9">
        <v>25000.0</v>
      </c>
      <c r="D310" s="9">
        <v>25000.0</v>
      </c>
      <c r="E310" s="9">
        <f t="shared" si="3"/>
        <v>0</v>
      </c>
      <c r="F310" s="9">
        <f t="shared" si="4"/>
        <v>1</v>
      </c>
      <c r="G310" s="11">
        <f t="shared" si="5"/>
        <v>25000</v>
      </c>
      <c r="H310" s="11">
        <f t="shared" si="6"/>
        <v>1375000</v>
      </c>
      <c r="I310" s="12" t="str">
        <f t="shared" si="7"/>
        <v>D1</v>
      </c>
      <c r="J310" s="11">
        <f t="shared" si="8"/>
        <v>42250</v>
      </c>
      <c r="K310" s="12" t="str">
        <f t="shared" si="9"/>
        <v>B</v>
      </c>
    </row>
    <row r="311">
      <c r="A311" s="8" t="s">
        <v>40</v>
      </c>
      <c r="B311" s="9">
        <v>1076.0</v>
      </c>
      <c r="C311" s="9">
        <v>7678.438661710037</v>
      </c>
      <c r="D311" s="9">
        <v>26000.0</v>
      </c>
      <c r="E311" s="9">
        <f t="shared" si="3"/>
        <v>18321.56134</v>
      </c>
      <c r="F311" s="9">
        <f t="shared" si="4"/>
        <v>3.386105059</v>
      </c>
      <c r="G311" s="11">
        <f t="shared" si="5"/>
        <v>26000</v>
      </c>
      <c r="H311" s="11">
        <f t="shared" si="6"/>
        <v>27976000</v>
      </c>
      <c r="I311" s="12" t="str">
        <f t="shared" si="7"/>
        <v>D1</v>
      </c>
      <c r="J311" s="11">
        <f t="shared" si="8"/>
        <v>43940</v>
      </c>
      <c r="K311" s="12" t="str">
        <f t="shared" si="9"/>
        <v>B</v>
      </c>
    </row>
    <row r="312">
      <c r="A312" s="8" t="s">
        <v>70</v>
      </c>
      <c r="B312" s="9">
        <v>62.0</v>
      </c>
      <c r="C312" s="9">
        <v>25000.0</v>
      </c>
      <c r="D312" s="9">
        <v>26000.0</v>
      </c>
      <c r="E312" s="9">
        <f t="shared" si="3"/>
        <v>1000</v>
      </c>
      <c r="F312" s="9">
        <f t="shared" si="4"/>
        <v>1.04</v>
      </c>
      <c r="G312" s="11">
        <f t="shared" si="5"/>
        <v>26000</v>
      </c>
      <c r="H312" s="11">
        <f t="shared" si="6"/>
        <v>1612000</v>
      </c>
      <c r="I312" s="12" t="str">
        <f t="shared" si="7"/>
        <v>D1</v>
      </c>
      <c r="J312" s="11">
        <f t="shared" si="8"/>
        <v>43940</v>
      </c>
      <c r="K312" s="12" t="str">
        <f t="shared" si="9"/>
        <v>B</v>
      </c>
      <c r="N312" s="75">
        <v>2368467.0</v>
      </c>
      <c r="O312" s="7">
        <v>1138503.0</v>
      </c>
      <c r="P312" s="7">
        <v>147900.0</v>
      </c>
    </row>
    <row r="313">
      <c r="A313" s="59" t="s">
        <v>22</v>
      </c>
      <c r="B313" s="60">
        <v>1406.0</v>
      </c>
      <c r="C313" s="60">
        <v>3465.896159317212</v>
      </c>
      <c r="D313" s="60">
        <v>27000.0</v>
      </c>
      <c r="E313" s="60">
        <f t="shared" si="3"/>
        <v>23534.10384</v>
      </c>
      <c r="F313" s="60">
        <f t="shared" si="4"/>
        <v>7.790193</v>
      </c>
      <c r="G313" s="61">
        <f t="shared" si="5"/>
        <v>27000</v>
      </c>
      <c r="H313" s="61">
        <f t="shared" si="6"/>
        <v>37962000</v>
      </c>
      <c r="I313" s="62" t="str">
        <f t="shared" si="7"/>
        <v>D1</v>
      </c>
      <c r="J313" s="61">
        <f t="shared" si="8"/>
        <v>45630</v>
      </c>
      <c r="K313" s="62" t="str">
        <f t="shared" si="9"/>
        <v>B1</v>
      </c>
      <c r="L313" s="63"/>
      <c r="M313" s="63"/>
      <c r="N313" s="76">
        <v>1846632.0</v>
      </c>
      <c r="O313" s="77">
        <f t="shared" ref="O313:P313" si="20">N313*B328</f>
        <v>0</v>
      </c>
      <c r="P313" s="77">
        <f t="shared" si="20"/>
        <v>0</v>
      </c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</row>
    <row r="314">
      <c r="A314" s="8" t="s">
        <v>147</v>
      </c>
      <c r="B314" s="9">
        <v>71.0</v>
      </c>
      <c r="C314" s="9">
        <v>30000.0</v>
      </c>
      <c r="D314" s="9">
        <v>16772.093023255813</v>
      </c>
      <c r="E314" s="9">
        <f t="shared" si="3"/>
        <v>-13227.90698</v>
      </c>
      <c r="F314" s="9">
        <f t="shared" si="4"/>
        <v>0.5590697674</v>
      </c>
      <c r="G314" s="11">
        <f t="shared" si="5"/>
        <v>30000</v>
      </c>
      <c r="H314" s="11">
        <f t="shared" si="6"/>
        <v>2130000</v>
      </c>
      <c r="I314" s="12" t="str">
        <f t="shared" si="7"/>
        <v>C</v>
      </c>
      <c r="J314" s="11">
        <f t="shared" si="8"/>
        <v>50700</v>
      </c>
      <c r="K314" s="12" t="str">
        <f t="shared" si="9"/>
        <v>A</v>
      </c>
      <c r="N314" s="7" t="s">
        <v>529</v>
      </c>
      <c r="O314" s="7" t="s">
        <v>530</v>
      </c>
      <c r="P314" s="7" t="s">
        <v>531</v>
      </c>
    </row>
    <row r="315">
      <c r="A315" s="8" t="s">
        <v>102</v>
      </c>
      <c r="B315" s="9">
        <v>53.0</v>
      </c>
      <c r="C315" s="10">
        <v>30000.0</v>
      </c>
      <c r="D315" s="10">
        <v>30000.0</v>
      </c>
      <c r="E315" s="9">
        <f t="shared" si="3"/>
        <v>0</v>
      </c>
      <c r="F315" s="9">
        <f t="shared" si="4"/>
        <v>1</v>
      </c>
      <c r="G315" s="11">
        <f t="shared" si="5"/>
        <v>30000</v>
      </c>
      <c r="H315" s="11">
        <f t="shared" si="6"/>
        <v>1590000</v>
      </c>
      <c r="I315" s="12" t="str">
        <f t="shared" si="7"/>
        <v>C</v>
      </c>
      <c r="J315" s="11">
        <f t="shared" si="8"/>
        <v>50700</v>
      </c>
      <c r="K315" s="12" t="str">
        <f t="shared" si="9"/>
        <v>A</v>
      </c>
      <c r="N315" s="7" t="s">
        <v>529</v>
      </c>
      <c r="O315" s="7" t="s">
        <v>530</v>
      </c>
      <c r="P315" s="7" t="s">
        <v>531</v>
      </c>
    </row>
    <row r="316">
      <c r="A316" s="8" t="s">
        <v>143</v>
      </c>
      <c r="B316" s="9">
        <v>72.0</v>
      </c>
      <c r="C316" s="9">
        <v>30000.0</v>
      </c>
      <c r="D316" s="9">
        <v>30000.0</v>
      </c>
      <c r="E316" s="9">
        <f t="shared" si="3"/>
        <v>0</v>
      </c>
      <c r="F316" s="9">
        <f t="shared" si="4"/>
        <v>1</v>
      </c>
      <c r="G316" s="11">
        <f t="shared" si="5"/>
        <v>30000</v>
      </c>
      <c r="H316" s="11">
        <f t="shared" si="6"/>
        <v>2160000</v>
      </c>
      <c r="I316" s="12" t="str">
        <f t="shared" si="7"/>
        <v>C</v>
      </c>
      <c r="J316" s="11">
        <f t="shared" si="8"/>
        <v>50700</v>
      </c>
      <c r="K316" s="12" t="str">
        <f t="shared" si="9"/>
        <v>A</v>
      </c>
    </row>
    <row r="317">
      <c r="A317" s="8" t="s">
        <v>288</v>
      </c>
      <c r="B317" s="9">
        <v>37.0</v>
      </c>
      <c r="C317" s="9">
        <v>30000.0</v>
      </c>
      <c r="D317" s="9">
        <v>30000.0</v>
      </c>
      <c r="E317" s="9">
        <f t="shared" si="3"/>
        <v>0</v>
      </c>
      <c r="F317" s="9">
        <f t="shared" si="4"/>
        <v>1</v>
      </c>
      <c r="G317" s="11">
        <f t="shared" si="5"/>
        <v>30000</v>
      </c>
      <c r="H317" s="11">
        <f t="shared" si="6"/>
        <v>1110000</v>
      </c>
      <c r="I317" s="12" t="str">
        <f t="shared" si="7"/>
        <v>C</v>
      </c>
      <c r="J317" s="11">
        <f t="shared" si="8"/>
        <v>50700</v>
      </c>
      <c r="K317" s="12" t="str">
        <f t="shared" si="9"/>
        <v>A</v>
      </c>
    </row>
    <row r="318">
      <c r="A318" s="8" t="s">
        <v>41</v>
      </c>
      <c r="B318" s="9">
        <v>603.0</v>
      </c>
      <c r="C318" s="9">
        <v>15000.0</v>
      </c>
      <c r="D318" s="9">
        <v>32000.0</v>
      </c>
      <c r="E318" s="9">
        <f t="shared" si="3"/>
        <v>17000</v>
      </c>
      <c r="F318" s="9">
        <f t="shared" si="4"/>
        <v>2.133333333</v>
      </c>
      <c r="G318" s="11">
        <f t="shared" si="5"/>
        <v>32000</v>
      </c>
      <c r="H318" s="11">
        <f t="shared" si="6"/>
        <v>19296000</v>
      </c>
      <c r="I318" s="13" t="str">
        <f t="shared" si="7"/>
        <v>C</v>
      </c>
      <c r="J318" s="11">
        <f t="shared" si="8"/>
        <v>54080</v>
      </c>
      <c r="K318" s="13" t="str">
        <f t="shared" si="9"/>
        <v>A</v>
      </c>
    </row>
    <row r="319">
      <c r="A319" s="8" t="s">
        <v>64</v>
      </c>
      <c r="B319" s="9">
        <v>27.0</v>
      </c>
      <c r="C319" s="9">
        <v>35000.0</v>
      </c>
      <c r="D319" s="9">
        <v>35000.0</v>
      </c>
      <c r="E319" s="9">
        <f t="shared" si="3"/>
        <v>0</v>
      </c>
      <c r="F319" s="9">
        <f t="shared" si="4"/>
        <v>1</v>
      </c>
      <c r="G319" s="11">
        <f t="shared" si="5"/>
        <v>35000</v>
      </c>
      <c r="H319" s="11">
        <f t="shared" si="6"/>
        <v>945000</v>
      </c>
      <c r="I319" s="12" t="str">
        <f t="shared" si="7"/>
        <v>C1</v>
      </c>
      <c r="J319" s="11">
        <f t="shared" si="8"/>
        <v>59150</v>
      </c>
      <c r="K319" s="12" t="str">
        <f t="shared" si="9"/>
        <v>A1</v>
      </c>
    </row>
    <row r="320">
      <c r="A320" s="64" t="s">
        <v>20</v>
      </c>
      <c r="B320" s="65">
        <v>104.0</v>
      </c>
      <c r="C320" s="65">
        <v>36057.692307692305</v>
      </c>
      <c r="D320" s="65">
        <v>36057.692307692305</v>
      </c>
      <c r="E320" s="65">
        <f t="shared" si="3"/>
        <v>0</v>
      </c>
      <c r="F320" s="65">
        <f t="shared" si="4"/>
        <v>1</v>
      </c>
      <c r="G320" s="66">
        <f t="shared" si="5"/>
        <v>36057.69231</v>
      </c>
      <c r="H320" s="66">
        <f t="shared" si="6"/>
        <v>3750000</v>
      </c>
      <c r="I320" s="78" t="str">
        <f t="shared" si="7"/>
        <v>C1</v>
      </c>
      <c r="J320" s="66">
        <f t="shared" si="8"/>
        <v>60937.5</v>
      </c>
      <c r="K320" s="78" t="str">
        <f t="shared" si="9"/>
        <v>S</v>
      </c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</row>
    <row r="321">
      <c r="A321" s="8" t="s">
        <v>36</v>
      </c>
      <c r="B321" s="9">
        <v>291.0</v>
      </c>
      <c r="C321" s="9">
        <v>8000.0</v>
      </c>
      <c r="D321" s="9">
        <v>40000.0</v>
      </c>
      <c r="E321" s="9">
        <f t="shared" si="3"/>
        <v>32000</v>
      </c>
      <c r="F321" s="9">
        <f t="shared" si="4"/>
        <v>5</v>
      </c>
      <c r="G321" s="11">
        <f t="shared" si="5"/>
        <v>40000</v>
      </c>
      <c r="H321" s="11">
        <f t="shared" si="6"/>
        <v>11640000</v>
      </c>
      <c r="I321" s="13" t="str">
        <f t="shared" si="7"/>
        <v>B</v>
      </c>
      <c r="J321" s="11">
        <f t="shared" si="8"/>
        <v>67600</v>
      </c>
      <c r="K321" s="13" t="str">
        <f t="shared" si="9"/>
        <v>S</v>
      </c>
    </row>
    <row r="322">
      <c r="A322" s="8" t="s">
        <v>121</v>
      </c>
      <c r="B322" s="9">
        <v>76.0</v>
      </c>
      <c r="C322" s="9">
        <v>28000.0</v>
      </c>
      <c r="D322" s="9">
        <v>40000.0</v>
      </c>
      <c r="E322" s="9">
        <f t="shared" si="3"/>
        <v>12000</v>
      </c>
      <c r="F322" s="9">
        <f t="shared" si="4"/>
        <v>1.428571429</v>
      </c>
      <c r="G322" s="11">
        <f t="shared" si="5"/>
        <v>40000</v>
      </c>
      <c r="H322" s="11">
        <f t="shared" si="6"/>
        <v>3040000</v>
      </c>
      <c r="I322" s="12" t="str">
        <f t="shared" si="7"/>
        <v>B</v>
      </c>
      <c r="J322" s="11">
        <f t="shared" si="8"/>
        <v>67600</v>
      </c>
      <c r="K322" s="12" t="str">
        <f t="shared" si="9"/>
        <v>S</v>
      </c>
      <c r="M322" s="7" t="s">
        <v>532</v>
      </c>
    </row>
    <row r="323">
      <c r="A323" s="8" t="s">
        <v>320</v>
      </c>
      <c r="B323" s="9">
        <v>773.0</v>
      </c>
      <c r="C323" s="9">
        <v>28075.03234152652</v>
      </c>
      <c r="D323" s="9">
        <v>40415.36863966771</v>
      </c>
      <c r="E323" s="9">
        <f t="shared" si="3"/>
        <v>12340.3363</v>
      </c>
      <c r="F323" s="9">
        <f t="shared" si="4"/>
        <v>1.439548427</v>
      </c>
      <c r="G323" s="11">
        <f t="shared" si="5"/>
        <v>40415.36864</v>
      </c>
      <c r="H323" s="11">
        <f t="shared" si="6"/>
        <v>31241079.96</v>
      </c>
      <c r="I323" s="12" t="str">
        <f t="shared" si="7"/>
        <v>B</v>
      </c>
      <c r="J323" s="11">
        <f t="shared" si="8"/>
        <v>68301.973</v>
      </c>
      <c r="K323" s="12" t="str">
        <f t="shared" si="9"/>
        <v>S</v>
      </c>
      <c r="L323" s="79">
        <f>SUM(B320:B353)</f>
        <v>1409</v>
      </c>
      <c r="M323" s="79">
        <f>SUM(B15:B357)</f>
        <v>1423836</v>
      </c>
    </row>
    <row r="324">
      <c r="A324" s="8" t="s">
        <v>24</v>
      </c>
      <c r="B324" s="9">
        <v>74.0</v>
      </c>
      <c r="C324" s="10">
        <v>41900.0</v>
      </c>
      <c r="D324" s="10">
        <v>41900.0</v>
      </c>
      <c r="E324" s="9">
        <f t="shared" si="3"/>
        <v>0</v>
      </c>
      <c r="F324" s="9">
        <f t="shared" si="4"/>
        <v>1</v>
      </c>
      <c r="G324" s="11">
        <f t="shared" si="5"/>
        <v>41900</v>
      </c>
      <c r="H324" s="11">
        <f t="shared" si="6"/>
        <v>3100600</v>
      </c>
      <c r="I324" s="13" t="str">
        <f t="shared" si="7"/>
        <v>B</v>
      </c>
      <c r="J324" s="11">
        <f t="shared" si="8"/>
        <v>70811</v>
      </c>
      <c r="K324" s="13" t="str">
        <f t="shared" si="9"/>
        <v>S</v>
      </c>
      <c r="L324" s="38">
        <f>L323/M323</f>
        <v>0.0009895802606</v>
      </c>
    </row>
    <row r="325">
      <c r="A325" s="8" t="s">
        <v>315</v>
      </c>
      <c r="B325" s="9">
        <v>51.0</v>
      </c>
      <c r="C325" s="9">
        <v>43000.0</v>
      </c>
      <c r="D325" s="9">
        <v>4026.0387811634355</v>
      </c>
      <c r="E325" s="9">
        <f t="shared" si="3"/>
        <v>-38973.96122</v>
      </c>
      <c r="F325" s="9">
        <f t="shared" si="4"/>
        <v>0.09362880886</v>
      </c>
      <c r="G325" s="11">
        <f t="shared" si="5"/>
        <v>43000</v>
      </c>
      <c r="H325" s="11">
        <f t="shared" si="6"/>
        <v>2193000</v>
      </c>
      <c r="I325" s="12" t="str">
        <f t="shared" si="7"/>
        <v>B</v>
      </c>
      <c r="J325" s="11">
        <f t="shared" si="8"/>
        <v>72670</v>
      </c>
      <c r="K325" s="12" t="str">
        <f t="shared" si="9"/>
        <v>S</v>
      </c>
    </row>
    <row r="326">
      <c r="A326" s="8" t="s">
        <v>469</v>
      </c>
      <c r="B326" s="9">
        <v>40.0</v>
      </c>
      <c r="C326" s="9">
        <v>70000.0</v>
      </c>
      <c r="D326" s="9">
        <v>8462.118491921006</v>
      </c>
      <c r="E326" s="9">
        <f t="shared" si="3"/>
        <v>-61537.88151</v>
      </c>
      <c r="F326" s="9">
        <f t="shared" si="4"/>
        <v>0.120887407</v>
      </c>
      <c r="G326" s="11">
        <f t="shared" si="5"/>
        <v>70000</v>
      </c>
      <c r="H326" s="11">
        <f t="shared" si="6"/>
        <v>2800000</v>
      </c>
      <c r="I326" s="12" t="str">
        <f t="shared" si="7"/>
        <v>S</v>
      </c>
      <c r="J326" s="11">
        <f t="shared" si="8"/>
        <v>118300</v>
      </c>
      <c r="K326" s="12" t="str">
        <f t="shared" si="9"/>
        <v>S</v>
      </c>
      <c r="L326" s="80">
        <f>(L323*100)/M323</f>
        <v>0.09895802606</v>
      </c>
    </row>
    <row r="327">
      <c r="A327" s="1"/>
      <c r="B327" s="5"/>
      <c r="C327" s="5"/>
      <c r="D327" s="5"/>
      <c r="E327" s="14"/>
      <c r="F327" s="14"/>
      <c r="G327" s="11"/>
      <c r="H327" s="11"/>
      <c r="I327" s="12"/>
      <c r="J327" s="11"/>
      <c r="K327" s="12"/>
      <c r="L327" s="6">
        <f>(L323*0.05)</f>
        <v>70.45</v>
      </c>
    </row>
    <row r="328">
      <c r="A328" s="1"/>
      <c r="B328" s="5"/>
      <c r="C328" s="5"/>
      <c r="D328" s="5"/>
      <c r="E328" s="14"/>
      <c r="F328" s="14"/>
      <c r="G328" s="11"/>
      <c r="H328" s="11"/>
      <c r="I328" s="12"/>
      <c r="J328" s="11"/>
      <c r="K328" s="12"/>
      <c r="L328" s="6">
        <f>L323*0.2</f>
        <v>281.8</v>
      </c>
    </row>
    <row r="329">
      <c r="A329" s="1"/>
      <c r="B329" s="5"/>
      <c r="C329" s="5"/>
      <c r="D329" s="5"/>
      <c r="E329" s="14"/>
      <c r="F329" s="14"/>
      <c r="G329" s="11"/>
      <c r="H329" s="11"/>
      <c r="I329" s="12"/>
      <c r="J329" s="11"/>
      <c r="K329" s="12"/>
      <c r="L329" s="6">
        <f>AVERAGE(L327:L328)</f>
        <v>176.125</v>
      </c>
    </row>
    <row r="334">
      <c r="A334" s="1"/>
      <c r="B334" s="5"/>
      <c r="C334" s="5"/>
      <c r="G334" s="11"/>
      <c r="H334" s="11"/>
      <c r="I334" s="12"/>
      <c r="J334" s="11"/>
      <c r="K334" s="12"/>
    </row>
    <row r="335">
      <c r="G335" s="11"/>
      <c r="H335" s="11"/>
      <c r="I335" s="12"/>
      <c r="J335" s="11"/>
      <c r="K335" s="12"/>
    </row>
    <row r="336">
      <c r="A336" s="1"/>
      <c r="B336" s="5"/>
      <c r="C336" s="5"/>
      <c r="G336" s="11"/>
      <c r="H336" s="11"/>
      <c r="I336" s="12"/>
      <c r="J336" s="11"/>
      <c r="K336" s="12"/>
    </row>
    <row r="337">
      <c r="A337" s="1"/>
      <c r="B337" s="5"/>
      <c r="C337" s="5"/>
      <c r="D337" s="5"/>
      <c r="E337" s="14"/>
      <c r="F337" s="14"/>
      <c r="G337" s="11"/>
      <c r="H337" s="11"/>
      <c r="I337" s="12"/>
      <c r="J337" s="11"/>
      <c r="K337" s="12"/>
    </row>
    <row r="338">
      <c r="A338" s="1"/>
      <c r="B338" s="5"/>
      <c r="C338" s="5"/>
      <c r="D338" s="5"/>
      <c r="E338" s="14"/>
      <c r="F338" s="14"/>
      <c r="G338" s="11"/>
      <c r="H338" s="11"/>
      <c r="I338" s="12"/>
      <c r="J338" s="11"/>
      <c r="K338" s="12"/>
    </row>
    <row r="339">
      <c r="A339" s="1"/>
      <c r="B339" s="5"/>
      <c r="C339" s="5"/>
      <c r="D339" s="5"/>
      <c r="E339" s="14"/>
      <c r="F339" s="14"/>
      <c r="G339" s="11"/>
      <c r="H339" s="11"/>
      <c r="I339" s="12"/>
      <c r="J339" s="11"/>
      <c r="K339" s="12"/>
    </row>
    <row r="340">
      <c r="E340" s="14"/>
      <c r="F340" s="14"/>
      <c r="G340" s="11"/>
      <c r="H340" s="11"/>
      <c r="I340" s="12"/>
      <c r="J340" s="11"/>
      <c r="K340" s="12"/>
    </row>
    <row r="341">
      <c r="A341" s="1"/>
      <c r="B341" s="5"/>
      <c r="C341" s="5"/>
      <c r="D341" s="5"/>
      <c r="E341" s="14"/>
      <c r="F341" s="14"/>
      <c r="G341" s="11"/>
      <c r="H341" s="11"/>
      <c r="I341" s="12"/>
      <c r="J341" s="11"/>
      <c r="K341" s="12"/>
    </row>
    <row r="342">
      <c r="A342" s="1"/>
      <c r="B342" s="5"/>
      <c r="C342" s="5"/>
      <c r="D342" s="5"/>
      <c r="E342" s="14"/>
      <c r="F342" s="14"/>
      <c r="G342" s="11"/>
      <c r="H342" s="11"/>
      <c r="I342" s="12"/>
      <c r="J342" s="11"/>
      <c r="K342" s="12"/>
    </row>
    <row r="343">
      <c r="A343" s="1"/>
      <c r="B343" s="5"/>
      <c r="C343" s="5"/>
      <c r="D343" s="5"/>
      <c r="E343" s="14"/>
      <c r="F343" s="14"/>
      <c r="G343" s="11"/>
      <c r="H343" s="11"/>
      <c r="I343" s="12"/>
      <c r="J343" s="11"/>
      <c r="K343" s="12"/>
    </row>
    <row r="344">
      <c r="A344" s="1"/>
      <c r="B344" s="5"/>
      <c r="C344" s="5"/>
      <c r="D344" s="5"/>
      <c r="E344" s="14"/>
      <c r="F344" s="14"/>
      <c r="G344" s="11"/>
      <c r="H344" s="11"/>
      <c r="I344" s="12"/>
      <c r="J344" s="11"/>
      <c r="K344" s="12"/>
    </row>
    <row r="345">
      <c r="A345" s="1"/>
      <c r="B345" s="5"/>
      <c r="C345" s="5"/>
      <c r="D345" s="5"/>
      <c r="E345" s="14"/>
      <c r="F345" s="14"/>
      <c r="G345" s="11"/>
      <c r="H345" s="11"/>
      <c r="I345" s="12"/>
      <c r="J345" s="11"/>
      <c r="K345" s="12"/>
    </row>
    <row r="346">
      <c r="A346" s="1"/>
      <c r="B346" s="5"/>
      <c r="C346" s="5"/>
      <c r="D346" s="5"/>
      <c r="E346" s="14"/>
      <c r="F346" s="14"/>
      <c r="G346" s="11"/>
      <c r="H346" s="11"/>
      <c r="I346" s="12"/>
      <c r="J346" s="11"/>
      <c r="K346" s="12"/>
    </row>
    <row r="347">
      <c r="A347" s="1"/>
      <c r="B347" s="5"/>
      <c r="C347" s="5"/>
      <c r="D347" s="5"/>
      <c r="E347" s="14"/>
      <c r="F347" s="14"/>
      <c r="G347" s="11"/>
      <c r="H347" s="11"/>
      <c r="I347" s="12"/>
      <c r="J347" s="11"/>
      <c r="K347" s="12"/>
    </row>
    <row r="348">
      <c r="A348" s="1"/>
      <c r="B348" s="5"/>
      <c r="C348" s="5"/>
      <c r="D348" s="5"/>
      <c r="E348" s="14"/>
      <c r="F348" s="14"/>
      <c r="G348" s="11"/>
      <c r="H348" s="11"/>
      <c r="I348" s="12"/>
      <c r="J348" s="11"/>
      <c r="K348" s="12"/>
    </row>
    <row r="349">
      <c r="A349" s="1"/>
      <c r="B349" s="5"/>
      <c r="C349" s="5"/>
      <c r="D349" s="5"/>
      <c r="E349" s="14"/>
      <c r="F349" s="14"/>
      <c r="G349" s="11"/>
      <c r="H349" s="11"/>
      <c r="I349" s="12"/>
      <c r="J349" s="11"/>
      <c r="K349" s="12"/>
    </row>
    <row r="350">
      <c r="A350" s="1"/>
      <c r="B350" s="5"/>
      <c r="C350" s="5"/>
      <c r="D350" s="5"/>
      <c r="E350" s="14"/>
      <c r="F350" s="14"/>
      <c r="G350" s="11"/>
      <c r="H350" s="11"/>
      <c r="I350" s="12"/>
      <c r="J350" s="11"/>
      <c r="K350" s="12"/>
    </row>
    <row r="351">
      <c r="A351" s="1"/>
      <c r="B351" s="5"/>
      <c r="C351" s="5"/>
      <c r="D351" s="5"/>
      <c r="E351" s="14"/>
      <c r="F351" s="14"/>
      <c r="G351" s="11"/>
      <c r="H351" s="11"/>
      <c r="I351" s="12"/>
      <c r="J351" s="11"/>
      <c r="K351" s="12"/>
    </row>
    <row r="352">
      <c r="A352" s="1"/>
      <c r="B352" s="5"/>
      <c r="C352" s="5"/>
      <c r="D352" s="5"/>
      <c r="E352" s="14"/>
      <c r="F352" s="14"/>
      <c r="G352" s="11"/>
      <c r="H352" s="11"/>
      <c r="I352" s="12"/>
      <c r="J352" s="11"/>
      <c r="K352" s="12"/>
    </row>
    <row r="353">
      <c r="A353" s="1"/>
      <c r="B353" s="5"/>
      <c r="C353" s="5"/>
      <c r="D353" s="5"/>
      <c r="E353" s="14"/>
      <c r="F353" s="14"/>
      <c r="G353" s="11"/>
      <c r="H353" s="11"/>
      <c r="I353" s="12"/>
      <c r="J353" s="11"/>
      <c r="K353" s="12"/>
    </row>
    <row r="354">
      <c r="A354" s="1"/>
      <c r="B354" s="5"/>
      <c r="C354" s="5"/>
      <c r="D354" s="5"/>
      <c r="E354" s="14"/>
      <c r="F354" s="14"/>
      <c r="G354" s="11"/>
      <c r="H354" s="11"/>
      <c r="I354" s="12"/>
      <c r="J354" s="11"/>
      <c r="K354" s="12"/>
    </row>
    <row r="355">
      <c r="A355" s="1"/>
      <c r="B355" s="5"/>
      <c r="C355" s="5"/>
      <c r="D355" s="5"/>
      <c r="E355" s="14"/>
      <c r="F355" s="14"/>
      <c r="G355" s="11"/>
      <c r="H355" s="11"/>
      <c r="I355" s="12"/>
      <c r="J355" s="11"/>
      <c r="K355" s="12"/>
    </row>
    <row r="356">
      <c r="A356" s="1"/>
      <c r="B356" s="5"/>
      <c r="C356" s="5"/>
      <c r="D356" s="5"/>
      <c r="E356" s="14"/>
      <c r="F356" s="14"/>
      <c r="G356" s="11"/>
      <c r="H356" s="11"/>
      <c r="I356" s="12"/>
      <c r="J356" s="11"/>
      <c r="K356" s="12"/>
    </row>
    <row r="357">
      <c r="A357" s="1"/>
      <c r="B357" s="5"/>
      <c r="C357" s="5"/>
      <c r="D357" s="5"/>
      <c r="E357" s="14"/>
      <c r="F357" s="14"/>
      <c r="G357" s="11"/>
      <c r="H357" s="11"/>
      <c r="I357" s="12"/>
      <c r="J357" s="11"/>
      <c r="K357" s="12"/>
    </row>
    <row r="358">
      <c r="A358" s="1"/>
      <c r="B358" s="5"/>
      <c r="C358" s="5"/>
      <c r="D358" s="5"/>
      <c r="E358" s="14"/>
      <c r="F358" s="14"/>
      <c r="G358" s="11"/>
      <c r="H358" s="11"/>
      <c r="I358" s="12"/>
      <c r="J358" s="11"/>
      <c r="K358" s="12"/>
    </row>
    <row r="359">
      <c r="A359" s="1"/>
      <c r="B359" s="5"/>
      <c r="C359" s="5"/>
      <c r="D359" s="5"/>
      <c r="E359" s="14"/>
      <c r="F359" s="14"/>
      <c r="G359" s="11"/>
      <c r="H359" s="11"/>
      <c r="I359" s="12"/>
      <c r="J359" s="11"/>
      <c r="K359" s="12"/>
    </row>
    <row r="360">
      <c r="A360" s="1"/>
      <c r="B360" s="5"/>
      <c r="C360" s="5"/>
      <c r="D360" s="5"/>
      <c r="E360" s="14"/>
      <c r="F360" s="14"/>
      <c r="G360" s="11"/>
      <c r="H360" s="11"/>
      <c r="I360" s="12"/>
      <c r="J360" s="11"/>
      <c r="K360" s="12"/>
    </row>
    <row r="361">
      <c r="A361" s="1"/>
      <c r="B361" s="5"/>
      <c r="C361" s="5"/>
      <c r="D361" s="5"/>
      <c r="E361" s="14"/>
      <c r="F361" s="14"/>
      <c r="G361" s="11"/>
      <c r="H361" s="11"/>
      <c r="I361" s="12"/>
      <c r="J361" s="11"/>
      <c r="K361" s="12"/>
    </row>
    <row r="362">
      <c r="A362" s="1"/>
      <c r="B362" s="5"/>
      <c r="C362" s="5"/>
      <c r="D362" s="5"/>
      <c r="E362" s="14"/>
      <c r="F362" s="14"/>
      <c r="G362" s="11"/>
      <c r="H362" s="11"/>
      <c r="I362" s="12"/>
      <c r="J362" s="11"/>
      <c r="K362" s="12"/>
    </row>
    <row r="363">
      <c r="A363" s="1"/>
      <c r="B363" s="5"/>
      <c r="C363" s="5"/>
      <c r="D363" s="5"/>
    </row>
    <row r="390">
      <c r="B390" s="7" t="str">
        <f> B410</f>
        <v/>
      </c>
    </row>
    <row r="1013">
      <c r="D1013" s="12"/>
    </row>
  </sheetData>
  <autoFilter ref="$A$14:$K$1013">
    <sortState ref="A14:K1013">
      <sortCondition ref="J14:J1013"/>
      <sortCondition ref="C14:C1013"/>
      <sortCondition ref="D14:D1013"/>
      <sortCondition ref="G14:G1013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</cols>
  <sheetData>
    <row r="1">
      <c r="C1" s="7" t="s">
        <v>533</v>
      </c>
    </row>
    <row r="2">
      <c r="C2" s="16" t="s">
        <v>534</v>
      </c>
      <c r="D2" s="16" t="s">
        <v>535</v>
      </c>
    </row>
    <row r="3">
      <c r="C3" s="16" t="s">
        <v>536</v>
      </c>
      <c r="D3" s="81">
        <f>'M2'!P$16</f>
        <v>0.1923076923</v>
      </c>
    </row>
    <row r="4">
      <c r="C4" s="16" t="s">
        <v>537</v>
      </c>
      <c r="D4" s="81">
        <f>'M2'!Q16</f>
        <v>0.3205128205</v>
      </c>
    </row>
    <row r="5">
      <c r="C5" s="16" t="s">
        <v>538</v>
      </c>
      <c r="D5" s="81">
        <f>'M2'!R16</f>
        <v>0.2403846154</v>
      </c>
    </row>
    <row r="6">
      <c r="C6" s="16" t="s">
        <v>539</v>
      </c>
      <c r="D6" s="81">
        <f>'M2'!S16</f>
        <v>0.1025641026</v>
      </c>
    </row>
    <row r="7">
      <c r="C7" s="16" t="s">
        <v>540</v>
      </c>
      <c r="D7" s="81">
        <f>'M2'!T16</f>
        <v>0.05769230769</v>
      </c>
    </row>
    <row r="8">
      <c r="C8" s="16" t="s">
        <v>541</v>
      </c>
      <c r="D8" s="81">
        <f>'M2'!U16</f>
        <v>0.03205128205</v>
      </c>
    </row>
    <row r="9">
      <c r="C9" s="16" t="s">
        <v>542</v>
      </c>
      <c r="D9" s="81">
        <f>'M2'!V16</f>
        <v>0.01282051282</v>
      </c>
    </row>
    <row r="10">
      <c r="C10" s="16" t="s">
        <v>543</v>
      </c>
      <c r="D10" s="81">
        <f>'M2'!W16</f>
        <v>0.01602564103</v>
      </c>
    </row>
    <row r="11">
      <c r="C11" s="16" t="s">
        <v>544</v>
      </c>
      <c r="D11" s="81">
        <f>'M2'!X16</f>
        <v>0.00641025641</v>
      </c>
    </row>
    <row r="12">
      <c r="C12" s="16" t="s">
        <v>545</v>
      </c>
      <c r="D12" s="81">
        <f>'M2'!Y16</f>
        <v>0.01602564103</v>
      </c>
    </row>
    <row r="13">
      <c r="C13" s="16" t="s">
        <v>546</v>
      </c>
      <c r="D13" s="81">
        <f>'M2'!Z16</f>
        <v>0</v>
      </c>
    </row>
    <row r="14">
      <c r="C14" s="7" t="s">
        <v>547</v>
      </c>
      <c r="D14" s="81">
        <f>'M2'!Z17</f>
        <v>0</v>
      </c>
    </row>
    <row r="15">
      <c r="C15" s="7" t="s">
        <v>548</v>
      </c>
      <c r="D15" s="82">
        <v>0.0</v>
      </c>
    </row>
    <row r="16">
      <c r="C16" s="16" t="s">
        <v>549</v>
      </c>
      <c r="D16" s="81">
        <f>'M2'!AC16</f>
        <v>0.003205128205</v>
      </c>
    </row>
    <row r="19">
      <c r="C19" s="7" t="s">
        <v>477</v>
      </c>
    </row>
    <row r="20">
      <c r="C20" s="16" t="s">
        <v>534</v>
      </c>
      <c r="D20" s="16" t="s">
        <v>535</v>
      </c>
    </row>
    <row r="21">
      <c r="C21" s="16" t="s">
        <v>536</v>
      </c>
      <c r="D21" s="81">
        <f>'M2'!P29</f>
        <v>0.06730769231</v>
      </c>
    </row>
    <row r="22">
      <c r="C22" s="16" t="s">
        <v>537</v>
      </c>
      <c r="D22" s="81">
        <f>'M2'!Q29</f>
        <v>0.08974358974</v>
      </c>
    </row>
    <row r="23">
      <c r="C23" s="16" t="s">
        <v>538</v>
      </c>
      <c r="D23" s="81">
        <f>'M2'!R29</f>
        <v>0.2532051282</v>
      </c>
    </row>
    <row r="24">
      <c r="C24" s="16" t="s">
        <v>539</v>
      </c>
      <c r="D24" s="81">
        <f>'M2'!S29</f>
        <v>0.2179487179</v>
      </c>
    </row>
    <row r="25">
      <c r="C25" s="16" t="s">
        <v>540</v>
      </c>
      <c r="D25" s="81">
        <f>'M2'!T29</f>
        <v>0.125</v>
      </c>
    </row>
    <row r="26">
      <c r="C26" s="16" t="s">
        <v>541</v>
      </c>
      <c r="D26" s="81">
        <f>'M2'!U29</f>
        <v>0.08012820513</v>
      </c>
    </row>
    <row r="27">
      <c r="C27" s="16" t="s">
        <v>542</v>
      </c>
      <c r="D27" s="81">
        <f>'M2'!V29</f>
        <v>0.05448717949</v>
      </c>
    </row>
    <row r="28">
      <c r="C28" s="16" t="s">
        <v>543</v>
      </c>
      <c r="D28" s="81">
        <f>'M2'!W29</f>
        <v>0.02884615385</v>
      </c>
    </row>
    <row r="29">
      <c r="C29" s="16" t="s">
        <v>544</v>
      </c>
      <c r="D29" s="81">
        <f>'M2'!X29</f>
        <v>0.01923076923</v>
      </c>
    </row>
    <row r="30">
      <c r="C30" s="16" t="s">
        <v>545</v>
      </c>
      <c r="D30" s="81">
        <f>'M2'!Y29</f>
        <v>0.01923076923</v>
      </c>
    </row>
    <row r="31">
      <c r="C31" s="16" t="s">
        <v>547</v>
      </c>
      <c r="D31" s="81">
        <f>'M2'!AA29</f>
        <v>0.01602564103</v>
      </c>
    </row>
    <row r="32">
      <c r="C32" s="16" t="s">
        <v>548</v>
      </c>
      <c r="D32" s="81">
        <f>'M2'!AB29</f>
        <v>0.003205128205</v>
      </c>
    </row>
    <row r="33">
      <c r="C33" s="16" t="s">
        <v>549</v>
      </c>
      <c r="D33" s="81">
        <f>'M2'!AC29</f>
        <v>0.02243589744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7" t="s">
        <v>550</v>
      </c>
      <c r="D2" s="7">
        <v>750000.0</v>
      </c>
    </row>
    <row r="3">
      <c r="C3" s="83" t="s">
        <v>551</v>
      </c>
      <c r="D3" s="84" t="s">
        <v>552</v>
      </c>
      <c r="E3" s="83" t="s">
        <v>553</v>
      </c>
      <c r="F3" s="83" t="s">
        <v>554</v>
      </c>
      <c r="G3" s="83" t="s">
        <v>555</v>
      </c>
      <c r="H3" s="83" t="s">
        <v>556</v>
      </c>
      <c r="I3" s="83" t="s">
        <v>557</v>
      </c>
      <c r="J3" s="83" t="s">
        <v>558</v>
      </c>
      <c r="K3" s="84" t="s">
        <v>559</v>
      </c>
    </row>
    <row r="4">
      <c r="C4" s="85" t="s">
        <v>560</v>
      </c>
      <c r="D4" s="86"/>
      <c r="E4" s="87">
        <v>289884.5</v>
      </c>
      <c r="F4" s="88">
        <v>5297.0</v>
      </c>
      <c r="G4" s="87">
        <v>16051.52</v>
      </c>
      <c r="H4" s="87">
        <v>1480105.0</v>
      </c>
      <c r="I4" s="85" t="s">
        <v>561</v>
      </c>
      <c r="J4" s="89">
        <v>0.132</v>
      </c>
      <c r="K4" s="90" t="s">
        <v>562</v>
      </c>
    </row>
    <row r="5">
      <c r="C5" s="91" t="s">
        <v>560</v>
      </c>
      <c r="D5" s="92"/>
      <c r="E5" s="93">
        <v>288202.5</v>
      </c>
      <c r="F5" s="88">
        <v>5799.32</v>
      </c>
      <c r="G5" s="93">
        <v>14319.8</v>
      </c>
      <c r="H5" s="93">
        <v>1391837.59</v>
      </c>
      <c r="I5" s="91" t="s">
        <v>563</v>
      </c>
      <c r="J5" s="94">
        <v>0.131</v>
      </c>
      <c r="K5" s="90" t="s">
        <v>562</v>
      </c>
    </row>
    <row r="6">
      <c r="C6" s="85" t="s">
        <v>560</v>
      </c>
      <c r="D6" s="86"/>
      <c r="E6" s="87">
        <v>289884.5</v>
      </c>
      <c r="F6" s="88">
        <v>5896.0</v>
      </c>
      <c r="G6" s="87">
        <v>16845.71</v>
      </c>
      <c r="H6" s="87">
        <v>1396640.0</v>
      </c>
      <c r="I6" s="85" t="s">
        <v>561</v>
      </c>
      <c r="J6" s="89">
        <v>0.133</v>
      </c>
      <c r="K6" s="90" t="s">
        <v>562</v>
      </c>
    </row>
    <row r="7">
      <c r="C7" s="91" t="s">
        <v>560</v>
      </c>
      <c r="D7" s="92"/>
      <c r="E7" s="93">
        <v>287080.0</v>
      </c>
      <c r="F7" s="88">
        <v>6033.14</v>
      </c>
      <c r="G7" s="93">
        <v>18099.41</v>
      </c>
      <c r="H7" s="93">
        <v>1423392.69</v>
      </c>
      <c r="I7" s="91" t="s">
        <v>564</v>
      </c>
      <c r="J7" s="94">
        <v>0.136</v>
      </c>
      <c r="K7" s="90" t="s">
        <v>562</v>
      </c>
    </row>
    <row r="8">
      <c r="C8" s="85" t="s">
        <v>560</v>
      </c>
      <c r="D8" s="86"/>
      <c r="E8" s="87">
        <v>277568.75</v>
      </c>
      <c r="F8" s="88">
        <v>6098.4</v>
      </c>
      <c r="G8" s="87">
        <v>17423.99</v>
      </c>
      <c r="H8" s="87">
        <v>1444712.87</v>
      </c>
      <c r="I8" s="85" t="s">
        <v>565</v>
      </c>
      <c r="J8" s="89">
        <v>0.14</v>
      </c>
      <c r="K8" s="90" t="s">
        <v>562</v>
      </c>
    </row>
    <row r="9">
      <c r="C9" s="95" t="s">
        <v>560</v>
      </c>
      <c r="D9" s="96"/>
      <c r="E9" s="97">
        <v>289072.5</v>
      </c>
      <c r="F9" s="98">
        <v>6168.12</v>
      </c>
      <c r="G9" s="97">
        <v>6645.99</v>
      </c>
      <c r="H9" s="97">
        <v>1478500.76</v>
      </c>
      <c r="I9" s="95" t="s">
        <v>566</v>
      </c>
      <c r="J9" s="99">
        <v>0.139</v>
      </c>
      <c r="K9" s="90" t="s">
        <v>562</v>
      </c>
    </row>
    <row r="10">
      <c r="C10" s="85" t="s">
        <v>560</v>
      </c>
      <c r="D10" s="86"/>
      <c r="E10" s="87">
        <v>266282.5</v>
      </c>
      <c r="F10" s="88">
        <v>6178.48</v>
      </c>
      <c r="G10" s="87">
        <v>20594.92</v>
      </c>
      <c r="H10" s="87">
        <v>1455905.24</v>
      </c>
      <c r="I10" s="85" t="s">
        <v>567</v>
      </c>
      <c r="J10" s="89">
        <v>0.14</v>
      </c>
      <c r="K10" s="90" t="s">
        <v>562</v>
      </c>
    </row>
    <row r="11">
      <c r="C11" s="91" t="s">
        <v>560</v>
      </c>
      <c r="D11" s="92"/>
      <c r="E11" s="93">
        <v>282322.5</v>
      </c>
      <c r="F11" s="88">
        <v>6266.05</v>
      </c>
      <c r="G11" s="93">
        <v>12532.81</v>
      </c>
      <c r="H11" s="93">
        <v>1478022.17</v>
      </c>
      <c r="I11" s="91" t="s">
        <v>568</v>
      </c>
      <c r="J11" s="94">
        <v>0.144</v>
      </c>
      <c r="K11" s="90" t="s">
        <v>562</v>
      </c>
    </row>
    <row r="12">
      <c r="C12" s="85" t="s">
        <v>560</v>
      </c>
      <c r="D12" s="86"/>
      <c r="E12" s="87">
        <v>277694.17</v>
      </c>
      <c r="F12" s="88">
        <v>6294.64</v>
      </c>
      <c r="G12" s="87">
        <v>13180.18</v>
      </c>
      <c r="H12" s="87">
        <v>1369937.02</v>
      </c>
      <c r="I12" s="85" t="s">
        <v>569</v>
      </c>
      <c r="J12" s="89">
        <v>0.15</v>
      </c>
      <c r="K12" s="90" t="s">
        <v>562</v>
      </c>
    </row>
    <row r="13">
      <c r="C13" s="91" t="s">
        <v>560</v>
      </c>
      <c r="D13" s="92"/>
      <c r="E13" s="93">
        <v>276417.75</v>
      </c>
      <c r="F13" s="88">
        <v>6414.92</v>
      </c>
      <c r="G13" s="93">
        <v>17500.0</v>
      </c>
      <c r="H13" s="93">
        <v>1549693.45</v>
      </c>
      <c r="I13" s="91" t="s">
        <v>570</v>
      </c>
      <c r="J13" s="94">
        <v>0.152</v>
      </c>
      <c r="K13" s="90" t="s">
        <v>562</v>
      </c>
    </row>
    <row r="16">
      <c r="F16" s="7" t="s">
        <v>507</v>
      </c>
      <c r="G16" s="21">
        <f>AVERAGE(G4:G13)</f>
        <v>15319.433</v>
      </c>
    </row>
    <row r="17">
      <c r="F17" s="7" t="s">
        <v>571</v>
      </c>
      <c r="G17" s="21">
        <f>MEDIAN(G4:G13)</f>
        <v>16448.615</v>
      </c>
    </row>
    <row r="18">
      <c r="F18" s="7" t="s">
        <v>572</v>
      </c>
      <c r="G18" s="21">
        <f>MAX(G4:G13)</f>
        <v>20594.92</v>
      </c>
      <c r="K18" s="90"/>
    </row>
    <row r="19">
      <c r="F19" s="7" t="s">
        <v>490</v>
      </c>
      <c r="G19" s="21">
        <f>MIN(G4:G13)</f>
        <v>6645.99</v>
      </c>
      <c r="K19" s="90"/>
    </row>
    <row r="20">
      <c r="K20" s="90"/>
    </row>
    <row r="21">
      <c r="K21" s="90"/>
    </row>
    <row r="22">
      <c r="K22" s="90"/>
    </row>
    <row r="23">
      <c r="K23" s="90"/>
    </row>
    <row r="24">
      <c r="K24" s="90"/>
    </row>
    <row r="25">
      <c r="K25" s="90"/>
    </row>
    <row r="26">
      <c r="K26" s="90"/>
    </row>
    <row r="27">
      <c r="K27" s="90"/>
    </row>
  </sheetData>
  <hyperlinks>
    <hyperlink r:id="rId1" ref="K4"/>
    <hyperlink r:id="rId2" ref="K5"/>
    <hyperlink r:id="rId3" ref="K6"/>
    <hyperlink r:id="rId4" ref="K7"/>
    <hyperlink r:id="rId5" ref="K8"/>
    <hyperlink r:id="rId6" ref="K9"/>
    <hyperlink r:id="rId7" ref="K10"/>
    <hyperlink r:id="rId8" ref="K11"/>
    <hyperlink r:id="rId9" ref="K12"/>
    <hyperlink r:id="rId10" ref="K13"/>
  </hyperlinks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7" t="s">
        <v>550</v>
      </c>
      <c r="D2" s="7">
        <v>1500000.0</v>
      </c>
    </row>
    <row r="3">
      <c r="C3" s="83" t="s">
        <v>551</v>
      </c>
      <c r="D3" s="84" t="s">
        <v>552</v>
      </c>
      <c r="E3" s="83" t="s">
        <v>553</v>
      </c>
      <c r="F3" s="83" t="s">
        <v>554</v>
      </c>
      <c r="G3" s="83" t="s">
        <v>555</v>
      </c>
      <c r="H3" s="83" t="s">
        <v>556</v>
      </c>
      <c r="I3" s="83" t="s">
        <v>557</v>
      </c>
      <c r="J3" s="83" t="s">
        <v>558</v>
      </c>
      <c r="K3" s="84" t="s">
        <v>559</v>
      </c>
    </row>
    <row r="4">
      <c r="C4" s="85" t="s">
        <v>560</v>
      </c>
      <c r="D4" s="86"/>
      <c r="E4" s="87">
        <v>578841.0</v>
      </c>
      <c r="F4" s="88">
        <v>10304.0</v>
      </c>
      <c r="G4" s="87">
        <v>31224.24</v>
      </c>
      <c r="H4" s="87">
        <v>2890618.0</v>
      </c>
      <c r="I4" s="85" t="s">
        <v>561</v>
      </c>
      <c r="J4" s="89">
        <v>0.128</v>
      </c>
      <c r="K4" s="90" t="s">
        <v>562</v>
      </c>
    </row>
    <row r="5">
      <c r="C5" s="91" t="s">
        <v>560</v>
      </c>
      <c r="D5" s="92"/>
      <c r="E5" s="93">
        <v>578841.0</v>
      </c>
      <c r="F5" s="88">
        <v>11504.0</v>
      </c>
      <c r="G5" s="93">
        <v>32868.57</v>
      </c>
      <c r="H5" s="93">
        <v>2723913.0</v>
      </c>
      <c r="I5" s="91" t="s">
        <v>561</v>
      </c>
      <c r="J5" s="94">
        <v>0.128</v>
      </c>
      <c r="K5" s="90" t="s">
        <v>562</v>
      </c>
    </row>
    <row r="6">
      <c r="C6" s="85" t="s">
        <v>560</v>
      </c>
      <c r="D6" s="86"/>
      <c r="E6" s="87">
        <v>576405.0</v>
      </c>
      <c r="F6" s="88">
        <v>11593.27</v>
      </c>
      <c r="G6" s="87">
        <v>28639.59</v>
      </c>
      <c r="H6" s="87">
        <v>2782384.02</v>
      </c>
      <c r="I6" s="85" t="s">
        <v>563</v>
      </c>
      <c r="J6" s="89">
        <v>0.131</v>
      </c>
      <c r="K6" s="90" t="s">
        <v>562</v>
      </c>
    </row>
    <row r="7">
      <c r="C7" s="91" t="s">
        <v>560</v>
      </c>
      <c r="D7" s="92"/>
      <c r="E7" s="93">
        <v>577275.0</v>
      </c>
      <c r="F7" s="88">
        <v>11769.03</v>
      </c>
      <c r="G7" s="93">
        <v>12419.35</v>
      </c>
      <c r="H7" s="93">
        <v>2820869.76</v>
      </c>
      <c r="I7" s="91" t="s">
        <v>566</v>
      </c>
      <c r="J7" s="94">
        <v>0.132</v>
      </c>
      <c r="K7" s="90" t="s">
        <v>562</v>
      </c>
    </row>
    <row r="8">
      <c r="C8" s="85" t="s">
        <v>560</v>
      </c>
      <c r="D8" s="86"/>
      <c r="E8" s="87">
        <v>569630.0</v>
      </c>
      <c r="F8" s="88">
        <v>12030.59</v>
      </c>
      <c r="G8" s="87">
        <v>36091.77</v>
      </c>
      <c r="H8" s="87">
        <v>2838221.8</v>
      </c>
      <c r="I8" s="85" t="s">
        <v>564</v>
      </c>
      <c r="J8" s="89">
        <v>0.135</v>
      </c>
      <c r="K8" s="90" t="s">
        <v>562</v>
      </c>
    </row>
    <row r="9">
      <c r="C9" s="91" t="s">
        <v>560</v>
      </c>
      <c r="D9" s="92"/>
      <c r="E9" s="93">
        <v>531057.0</v>
      </c>
      <c r="F9" s="88">
        <v>12010.11</v>
      </c>
      <c r="G9" s="93">
        <v>40033.71</v>
      </c>
      <c r="H9" s="93">
        <v>2828568.88</v>
      </c>
      <c r="I9" s="91" t="s">
        <v>567</v>
      </c>
      <c r="J9" s="94">
        <v>0.135</v>
      </c>
      <c r="K9" s="90" t="s">
        <v>562</v>
      </c>
    </row>
    <row r="10">
      <c r="C10" s="85" t="s">
        <v>560</v>
      </c>
      <c r="D10" s="86"/>
      <c r="E10" s="87">
        <v>553637.5</v>
      </c>
      <c r="F10" s="88">
        <v>12196.79</v>
      </c>
      <c r="G10" s="87">
        <v>34847.98</v>
      </c>
      <c r="H10" s="87">
        <v>2889425.73</v>
      </c>
      <c r="I10" s="85" t="s">
        <v>565</v>
      </c>
      <c r="J10" s="89">
        <v>0.14</v>
      </c>
      <c r="K10" s="90" t="s">
        <v>562</v>
      </c>
    </row>
    <row r="11">
      <c r="C11" s="91" t="s">
        <v>560</v>
      </c>
      <c r="D11" s="92"/>
      <c r="E11" s="93">
        <v>563895.0</v>
      </c>
      <c r="F11" s="88">
        <v>12233.11</v>
      </c>
      <c r="G11" s="93">
        <v>24467.61</v>
      </c>
      <c r="H11" s="93">
        <v>2884284.33</v>
      </c>
      <c r="I11" s="91" t="s">
        <v>568</v>
      </c>
      <c r="J11" s="94">
        <v>0.139</v>
      </c>
      <c r="K11" s="90" t="s">
        <v>562</v>
      </c>
    </row>
    <row r="12">
      <c r="C12" s="85" t="s">
        <v>560</v>
      </c>
      <c r="D12" s="86"/>
      <c r="E12" s="87">
        <v>552835.5</v>
      </c>
      <c r="F12" s="88">
        <v>12579.85</v>
      </c>
      <c r="G12" s="87">
        <v>28933.65</v>
      </c>
      <c r="H12" s="87">
        <v>3039386.9</v>
      </c>
      <c r="I12" s="85" t="s">
        <v>570</v>
      </c>
      <c r="J12" s="89">
        <v>0.149</v>
      </c>
      <c r="K12" s="90" t="s">
        <v>562</v>
      </c>
    </row>
    <row r="13">
      <c r="C13" s="95" t="s">
        <v>560</v>
      </c>
      <c r="D13" s="96"/>
      <c r="E13" s="97">
        <v>551659.8</v>
      </c>
      <c r="F13" s="98">
        <v>12589.28</v>
      </c>
      <c r="G13" s="97">
        <v>26360.36</v>
      </c>
      <c r="H13" s="97">
        <v>2739874.04</v>
      </c>
      <c r="I13" s="95" t="s">
        <v>569</v>
      </c>
      <c r="J13" s="99">
        <v>0.149</v>
      </c>
      <c r="K13" s="90" t="s">
        <v>562</v>
      </c>
    </row>
    <row r="16">
      <c r="F16" s="7" t="s">
        <v>507</v>
      </c>
      <c r="G16" s="21">
        <f>AVERAGE(G4:G13)</f>
        <v>29588.683</v>
      </c>
    </row>
    <row r="17">
      <c r="F17" s="7" t="s">
        <v>571</v>
      </c>
      <c r="G17" s="21">
        <f>MEDIAN(G4:G13)</f>
        <v>30078.945</v>
      </c>
    </row>
    <row r="18">
      <c r="F18" s="7" t="s">
        <v>572</v>
      </c>
      <c r="G18" s="21">
        <f>MAX(G4:G13)</f>
        <v>40033.71</v>
      </c>
      <c r="K18" s="90"/>
    </row>
    <row r="19">
      <c r="F19" s="7" t="s">
        <v>490</v>
      </c>
      <c r="G19" s="21">
        <f>MIN(G4:G13)</f>
        <v>12419.35</v>
      </c>
      <c r="K19" s="90"/>
    </row>
    <row r="20">
      <c r="K20" s="90"/>
    </row>
    <row r="21">
      <c r="K21" s="90"/>
    </row>
    <row r="22">
      <c r="K22" s="90"/>
    </row>
    <row r="23">
      <c r="K23" s="90"/>
    </row>
    <row r="24">
      <c r="K24" s="90"/>
    </row>
    <row r="25">
      <c r="K25" s="90"/>
    </row>
    <row r="26">
      <c r="K26" s="90"/>
    </row>
    <row r="27">
      <c r="K27" s="90"/>
    </row>
  </sheetData>
  <hyperlinks>
    <hyperlink r:id="rId1" ref="K4"/>
    <hyperlink r:id="rId2" ref="K5"/>
    <hyperlink r:id="rId3" ref="K6"/>
    <hyperlink r:id="rId4" ref="K7"/>
    <hyperlink r:id="rId5" ref="K8"/>
    <hyperlink r:id="rId6" ref="K9"/>
    <hyperlink r:id="rId7" ref="K10"/>
    <hyperlink r:id="rId8" ref="K11"/>
    <hyperlink r:id="rId9" ref="K12"/>
    <hyperlink r:id="rId10" ref="K13"/>
  </hyperlinks>
  <drawing r:id="rId1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7" t="s">
        <v>550</v>
      </c>
      <c r="D2" s="7">
        <v>2250000.0</v>
      </c>
    </row>
    <row r="3">
      <c r="C3" s="83" t="s">
        <v>551</v>
      </c>
      <c r="D3" s="84" t="s">
        <v>552</v>
      </c>
      <c r="E3" s="83" t="s">
        <v>553</v>
      </c>
      <c r="F3" s="83" t="s">
        <v>554</v>
      </c>
      <c r="G3" s="83" t="s">
        <v>555</v>
      </c>
      <c r="H3" s="83" t="s">
        <v>556</v>
      </c>
      <c r="I3" s="83" t="s">
        <v>557</v>
      </c>
      <c r="J3" s="83" t="s">
        <v>558</v>
      </c>
      <c r="K3" s="84" t="s">
        <v>559</v>
      </c>
    </row>
    <row r="4">
      <c r="C4" s="85" t="s">
        <v>560</v>
      </c>
      <c r="D4" s="86"/>
      <c r="E4" s="87">
        <v>868609.5</v>
      </c>
      <c r="F4" s="88">
        <v>15311.0</v>
      </c>
      <c r="G4" s="87">
        <v>46396.97</v>
      </c>
      <c r="H4" s="87">
        <v>4301118.0</v>
      </c>
      <c r="I4" s="85" t="s">
        <v>561</v>
      </c>
      <c r="J4" s="89">
        <v>0.126</v>
      </c>
      <c r="K4" s="90" t="s">
        <v>562</v>
      </c>
    </row>
    <row r="5">
      <c r="C5" s="91" t="s">
        <v>560</v>
      </c>
      <c r="D5" s="92"/>
      <c r="E5" s="93">
        <v>868609.5</v>
      </c>
      <c r="F5" s="88">
        <v>17110.0</v>
      </c>
      <c r="G5" s="93">
        <v>48885.71</v>
      </c>
      <c r="H5" s="93">
        <v>4050951.0</v>
      </c>
      <c r="I5" s="91" t="s">
        <v>561</v>
      </c>
      <c r="J5" s="94">
        <v>0.127</v>
      </c>
      <c r="K5" s="90" t="s">
        <v>562</v>
      </c>
    </row>
    <row r="6">
      <c r="C6" s="85" t="s">
        <v>560</v>
      </c>
      <c r="D6" s="86"/>
      <c r="E6" s="87">
        <v>865912.5</v>
      </c>
      <c r="F6" s="88">
        <v>17369.93</v>
      </c>
      <c r="G6" s="87">
        <v>18192.71</v>
      </c>
      <c r="H6" s="87">
        <v>4163238.77</v>
      </c>
      <c r="I6" s="85" t="s">
        <v>566</v>
      </c>
      <c r="J6" s="89">
        <v>0.129</v>
      </c>
      <c r="K6" s="90" t="s">
        <v>562</v>
      </c>
    </row>
    <row r="7">
      <c r="C7" s="91" t="s">
        <v>560</v>
      </c>
      <c r="D7" s="92"/>
      <c r="E7" s="93">
        <v>864607.5</v>
      </c>
      <c r="F7" s="88">
        <v>17387.21</v>
      </c>
      <c r="G7" s="93">
        <v>42959.39</v>
      </c>
      <c r="H7" s="93">
        <v>4172930.44</v>
      </c>
      <c r="I7" s="91" t="s">
        <v>563</v>
      </c>
      <c r="J7" s="94">
        <v>0.131</v>
      </c>
      <c r="K7" s="90" t="s">
        <v>562</v>
      </c>
    </row>
    <row r="8">
      <c r="C8" s="85" t="s">
        <v>560</v>
      </c>
      <c r="D8" s="86"/>
      <c r="E8" s="87">
        <v>797223.5</v>
      </c>
      <c r="F8" s="88">
        <v>17841.75</v>
      </c>
      <c r="G8" s="87">
        <v>59472.5</v>
      </c>
      <c r="H8" s="87">
        <v>4201232.53</v>
      </c>
      <c r="I8" s="85" t="s">
        <v>567</v>
      </c>
      <c r="J8" s="89">
        <v>0.134</v>
      </c>
      <c r="K8" s="90" t="s">
        <v>562</v>
      </c>
    </row>
    <row r="9">
      <c r="C9" s="91" t="s">
        <v>560</v>
      </c>
      <c r="D9" s="92"/>
      <c r="E9" s="93">
        <v>854380.0</v>
      </c>
      <c r="F9" s="88">
        <v>18028.04</v>
      </c>
      <c r="G9" s="93">
        <v>54084.13</v>
      </c>
      <c r="H9" s="93">
        <v>4253050.9</v>
      </c>
      <c r="I9" s="91" t="s">
        <v>564</v>
      </c>
      <c r="J9" s="94">
        <v>0.135</v>
      </c>
      <c r="K9" s="90" t="s">
        <v>562</v>
      </c>
    </row>
    <row r="10">
      <c r="C10" s="85" t="s">
        <v>560</v>
      </c>
      <c r="D10" s="86"/>
      <c r="E10" s="87">
        <v>845467.5</v>
      </c>
      <c r="F10" s="88">
        <v>18200.16</v>
      </c>
      <c r="G10" s="87">
        <v>36402.42</v>
      </c>
      <c r="H10" s="87">
        <v>4290546.5</v>
      </c>
      <c r="I10" s="85" t="s">
        <v>568</v>
      </c>
      <c r="J10" s="89">
        <v>0.138</v>
      </c>
      <c r="K10" s="90" t="s">
        <v>562</v>
      </c>
    </row>
    <row r="11">
      <c r="C11" s="95" t="s">
        <v>560</v>
      </c>
      <c r="D11" s="96"/>
      <c r="E11" s="97">
        <v>827706.25</v>
      </c>
      <c r="F11" s="98">
        <v>18295.19</v>
      </c>
      <c r="G11" s="97">
        <v>52271.96</v>
      </c>
      <c r="H11" s="97">
        <v>4334138.6</v>
      </c>
      <c r="I11" s="95" t="s">
        <v>565</v>
      </c>
      <c r="J11" s="99">
        <v>0.14</v>
      </c>
      <c r="K11" s="90" t="s">
        <v>562</v>
      </c>
    </row>
    <row r="12">
      <c r="C12" s="85" t="s">
        <v>560</v>
      </c>
      <c r="D12" s="86"/>
      <c r="E12" s="87">
        <v>828731.25</v>
      </c>
      <c r="F12" s="88">
        <v>18744.77</v>
      </c>
      <c r="G12" s="87">
        <v>43112.97</v>
      </c>
      <c r="H12" s="87">
        <v>4529080.35</v>
      </c>
      <c r="I12" s="85" t="s">
        <v>570</v>
      </c>
      <c r="J12" s="89">
        <v>0.148</v>
      </c>
      <c r="K12" s="90" t="s">
        <v>562</v>
      </c>
    </row>
    <row r="13">
      <c r="C13" s="91" t="s">
        <v>560</v>
      </c>
      <c r="D13" s="92"/>
      <c r="E13" s="93">
        <v>865250.0</v>
      </c>
      <c r="F13" s="88">
        <v>18751.16</v>
      </c>
      <c r="G13" s="93">
        <v>53767.35</v>
      </c>
      <c r="H13" s="93">
        <v>4427159.29</v>
      </c>
      <c r="I13" s="91" t="s">
        <v>573</v>
      </c>
      <c r="J13" s="94">
        <v>0.14</v>
      </c>
      <c r="K13" s="90" t="s">
        <v>562</v>
      </c>
    </row>
    <row r="16">
      <c r="F16" s="7" t="s">
        <v>507</v>
      </c>
      <c r="G16" s="21">
        <f>AVERAGE(G4:G13)</f>
        <v>45554.611</v>
      </c>
    </row>
    <row r="17">
      <c r="F17" s="7" t="s">
        <v>571</v>
      </c>
      <c r="G17" s="21">
        <f>MEDIAN(G4:G13)</f>
        <v>47641.34</v>
      </c>
    </row>
    <row r="18">
      <c r="F18" s="7" t="s">
        <v>572</v>
      </c>
      <c r="G18" s="21">
        <f>MAX(G4:G13)</f>
        <v>59472.5</v>
      </c>
      <c r="K18" s="90"/>
    </row>
    <row r="19">
      <c r="F19" s="7" t="s">
        <v>490</v>
      </c>
      <c r="G19" s="21">
        <f>MIN(G4:G13)</f>
        <v>18192.71</v>
      </c>
      <c r="K19" s="90"/>
    </row>
    <row r="20">
      <c r="K20" s="90"/>
    </row>
    <row r="21">
      <c r="K21" s="90"/>
    </row>
    <row r="22">
      <c r="K22" s="90"/>
    </row>
    <row r="23">
      <c r="K23" s="90"/>
    </row>
    <row r="24">
      <c r="K24" s="90"/>
    </row>
    <row r="25">
      <c r="K25" s="90"/>
    </row>
    <row r="26">
      <c r="K26" s="90"/>
    </row>
    <row r="27">
      <c r="K27" s="90"/>
    </row>
  </sheetData>
  <hyperlinks>
    <hyperlink r:id="rId1" ref="K4"/>
    <hyperlink r:id="rId2" ref="K5"/>
    <hyperlink r:id="rId3" ref="K6"/>
    <hyperlink r:id="rId4" ref="K7"/>
    <hyperlink r:id="rId5" ref="K8"/>
    <hyperlink r:id="rId6" ref="K9"/>
    <hyperlink r:id="rId7" ref="K10"/>
    <hyperlink r:id="rId8" ref="K11"/>
    <hyperlink r:id="rId9" ref="K12"/>
    <hyperlink r:id="rId10" ref="K13"/>
  </hyperlinks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7" t="s">
        <v>574</v>
      </c>
      <c r="D2" s="7">
        <v>3000000.0</v>
      </c>
    </row>
    <row r="3">
      <c r="C3" s="83" t="s">
        <v>551</v>
      </c>
      <c r="D3" s="84" t="s">
        <v>552</v>
      </c>
      <c r="E3" s="83" t="s">
        <v>553</v>
      </c>
      <c r="F3" s="83" t="s">
        <v>554</v>
      </c>
      <c r="G3" s="83" t="s">
        <v>555</v>
      </c>
      <c r="H3" s="83" t="s">
        <v>556</v>
      </c>
      <c r="I3" s="83" t="s">
        <v>557</v>
      </c>
      <c r="J3" s="83" t="s">
        <v>558</v>
      </c>
      <c r="K3" s="84" t="s">
        <v>559</v>
      </c>
    </row>
    <row r="4">
      <c r="C4" s="85" t="s">
        <v>560</v>
      </c>
      <c r="D4" s="86"/>
      <c r="E4" s="87">
        <v>1155072.0</v>
      </c>
      <c r="F4" s="88">
        <v>20318.0</v>
      </c>
      <c r="G4" s="87">
        <v>62516.92</v>
      </c>
      <c r="H4" s="87">
        <v>5711626.0</v>
      </c>
      <c r="I4" s="85" t="s">
        <v>561</v>
      </c>
      <c r="J4" s="89">
        <v>0.125</v>
      </c>
      <c r="K4" s="90" t="s">
        <v>562</v>
      </c>
    </row>
    <row r="5">
      <c r="C5" s="91" t="s">
        <v>560</v>
      </c>
      <c r="D5" s="92"/>
      <c r="E5" s="93">
        <v>1155072.0</v>
      </c>
      <c r="F5" s="88">
        <v>22716.0</v>
      </c>
      <c r="G5" s="93">
        <v>65843.48</v>
      </c>
      <c r="H5" s="93">
        <v>5377989.0</v>
      </c>
      <c r="I5" s="91" t="s">
        <v>561</v>
      </c>
      <c r="J5" s="94">
        <v>0.126</v>
      </c>
      <c r="K5" s="90" t="s">
        <v>562</v>
      </c>
    </row>
    <row r="6">
      <c r="C6" s="85" t="s">
        <v>560</v>
      </c>
      <c r="D6" s="86"/>
      <c r="E6" s="87">
        <v>1154550.0</v>
      </c>
      <c r="F6" s="88">
        <v>22970.84</v>
      </c>
      <c r="G6" s="87">
        <v>23966.06</v>
      </c>
      <c r="H6" s="87">
        <v>5505607.78</v>
      </c>
      <c r="I6" s="85" t="s">
        <v>566</v>
      </c>
      <c r="J6" s="89">
        <v>0.128</v>
      </c>
      <c r="K6" s="90" t="s">
        <v>562</v>
      </c>
    </row>
    <row r="7">
      <c r="C7" s="91" t="s">
        <v>560</v>
      </c>
      <c r="D7" s="92"/>
      <c r="E7" s="93">
        <v>1152810.0</v>
      </c>
      <c r="F7" s="88">
        <v>23181.15</v>
      </c>
      <c r="G7" s="93">
        <v>57279.18</v>
      </c>
      <c r="H7" s="93">
        <v>5563476.87</v>
      </c>
      <c r="I7" s="91" t="s">
        <v>563</v>
      </c>
      <c r="J7" s="94">
        <v>0.131</v>
      </c>
      <c r="K7" s="90" t="s">
        <v>562</v>
      </c>
    </row>
    <row r="8">
      <c r="C8" s="85" t="s">
        <v>560</v>
      </c>
      <c r="D8" s="86"/>
      <c r="E8" s="87">
        <v>1135630.0</v>
      </c>
      <c r="F8" s="88">
        <v>23600.36</v>
      </c>
      <c r="G8" s="87">
        <v>70801.07</v>
      </c>
      <c r="H8" s="87">
        <v>5564654.79</v>
      </c>
      <c r="I8" s="85" t="s">
        <v>567</v>
      </c>
      <c r="J8" s="89">
        <v>0.131</v>
      </c>
      <c r="K8" s="90" t="s">
        <v>562</v>
      </c>
    </row>
    <row r="9">
      <c r="C9" s="91" t="s">
        <v>560</v>
      </c>
      <c r="D9" s="92"/>
      <c r="E9" s="93">
        <v>1061186.0</v>
      </c>
      <c r="F9" s="88">
        <v>23673.39</v>
      </c>
      <c r="G9" s="93">
        <v>78911.29</v>
      </c>
      <c r="H9" s="93">
        <v>5573896.17</v>
      </c>
      <c r="I9" s="91" t="s">
        <v>567</v>
      </c>
      <c r="J9" s="94">
        <v>0.133</v>
      </c>
      <c r="K9" s="90" t="s">
        <v>562</v>
      </c>
    </row>
    <row r="10">
      <c r="C10" s="85" t="s">
        <v>560</v>
      </c>
      <c r="D10" s="86"/>
      <c r="E10" s="87">
        <v>1127040.0</v>
      </c>
      <c r="F10" s="88">
        <v>24167.22</v>
      </c>
      <c r="G10" s="87">
        <v>48337.23</v>
      </c>
      <c r="H10" s="87">
        <v>5696808.66</v>
      </c>
      <c r="I10" s="85" t="s">
        <v>568</v>
      </c>
      <c r="J10" s="89">
        <v>0.137</v>
      </c>
      <c r="K10" s="90" t="s">
        <v>562</v>
      </c>
    </row>
    <row r="11">
      <c r="C11" s="91" t="s">
        <v>560</v>
      </c>
      <c r="D11" s="92"/>
      <c r="E11" s="93">
        <v>1101775.0</v>
      </c>
      <c r="F11" s="88">
        <v>24393.58</v>
      </c>
      <c r="G11" s="93">
        <v>69695.95</v>
      </c>
      <c r="H11" s="93">
        <v>5778851.46</v>
      </c>
      <c r="I11" s="91" t="s">
        <v>565</v>
      </c>
      <c r="J11" s="94">
        <v>0.14</v>
      </c>
      <c r="K11" s="90" t="s">
        <v>562</v>
      </c>
    </row>
    <row r="12">
      <c r="C12" s="85" t="s">
        <v>560</v>
      </c>
      <c r="D12" s="86"/>
      <c r="E12" s="87">
        <v>1153400.0</v>
      </c>
      <c r="F12" s="88">
        <v>24886.89</v>
      </c>
      <c r="G12" s="87">
        <v>71689.8</v>
      </c>
      <c r="H12" s="87">
        <v>5875362.26</v>
      </c>
      <c r="I12" s="85" t="s">
        <v>573</v>
      </c>
      <c r="J12" s="89">
        <v>0.14</v>
      </c>
      <c r="K12" s="90" t="s">
        <v>562</v>
      </c>
    </row>
    <row r="13">
      <c r="C13" s="95" t="s">
        <v>560</v>
      </c>
      <c r="D13" s="96"/>
      <c r="E13" s="97">
        <v>1104627.0</v>
      </c>
      <c r="F13" s="98">
        <v>24909.7</v>
      </c>
      <c r="G13" s="97">
        <v>57292.3</v>
      </c>
      <c r="H13" s="97">
        <v>6018773.8</v>
      </c>
      <c r="I13" s="95" t="s">
        <v>570</v>
      </c>
      <c r="J13" s="99">
        <v>0.147</v>
      </c>
      <c r="K13" s="90" t="s">
        <v>562</v>
      </c>
    </row>
    <row r="16">
      <c r="F16" s="7" t="s">
        <v>507</v>
      </c>
      <c r="G16" s="21">
        <f>AVERAGE(G4:G13)</f>
        <v>60633.328</v>
      </c>
    </row>
    <row r="17">
      <c r="F17" s="7" t="s">
        <v>571</v>
      </c>
      <c r="G17" s="21">
        <f>MEDIAN(G4:G13)</f>
        <v>64180.2</v>
      </c>
    </row>
    <row r="18">
      <c r="F18" s="7" t="s">
        <v>572</v>
      </c>
      <c r="G18" s="21">
        <f>MAX(G4:G13)</f>
        <v>78911.29</v>
      </c>
      <c r="K18" s="90"/>
    </row>
    <row r="19">
      <c r="F19" s="7" t="s">
        <v>490</v>
      </c>
      <c r="G19" s="21">
        <f>MIN(G4:G13)</f>
        <v>23966.06</v>
      </c>
      <c r="K19" s="90"/>
    </row>
    <row r="20">
      <c r="K20" s="90"/>
    </row>
    <row r="21">
      <c r="K21" s="90"/>
    </row>
    <row r="22">
      <c r="K22" s="90"/>
    </row>
    <row r="23">
      <c r="K23" s="90"/>
    </row>
    <row r="24">
      <c r="K24" s="90"/>
    </row>
    <row r="25">
      <c r="K25" s="90"/>
    </row>
    <row r="26">
      <c r="K26" s="90"/>
    </row>
    <row r="27">
      <c r="K27" s="90"/>
    </row>
  </sheetData>
  <hyperlinks>
    <hyperlink r:id="rId1" ref="K4"/>
    <hyperlink r:id="rId2" ref="K5"/>
    <hyperlink r:id="rId3" ref="K6"/>
    <hyperlink r:id="rId4" ref="K7"/>
    <hyperlink r:id="rId5" ref="K8"/>
    <hyperlink r:id="rId6" ref="K9"/>
    <hyperlink r:id="rId7" ref="K10"/>
    <hyperlink r:id="rId8" ref="K11"/>
    <hyperlink r:id="rId9" ref="K12"/>
    <hyperlink r:id="rId10" ref="K13"/>
  </hyperlinks>
  <drawing r:id="rId1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7" t="s">
        <v>575</v>
      </c>
      <c r="D2" s="7">
        <v>3750000.0</v>
      </c>
    </row>
    <row r="3">
      <c r="C3" s="83" t="s">
        <v>551</v>
      </c>
      <c r="D3" s="84" t="s">
        <v>552</v>
      </c>
      <c r="E3" s="83" t="s">
        <v>553</v>
      </c>
      <c r="F3" s="83" t="s">
        <v>554</v>
      </c>
      <c r="G3" s="83" t="s">
        <v>555</v>
      </c>
      <c r="H3" s="83" t="s">
        <v>556</v>
      </c>
      <c r="I3" s="83" t="s">
        <v>557</v>
      </c>
      <c r="J3" s="83" t="s">
        <v>558</v>
      </c>
      <c r="K3" s="84" t="s">
        <v>559</v>
      </c>
    </row>
    <row r="4">
      <c r="C4" s="85" t="s">
        <v>560</v>
      </c>
      <c r="D4" s="86"/>
      <c r="E4" s="87">
        <v>1444782.5</v>
      </c>
      <c r="F4" s="88">
        <v>25325.0</v>
      </c>
      <c r="G4" s="87">
        <v>79140.63</v>
      </c>
      <c r="H4" s="87">
        <v>7122134.0</v>
      </c>
      <c r="I4" s="85" t="s">
        <v>561</v>
      </c>
      <c r="J4" s="89">
        <v>0.125</v>
      </c>
      <c r="K4" s="90" t="s">
        <v>562</v>
      </c>
    </row>
    <row r="5">
      <c r="C5" s="91" t="s">
        <v>560</v>
      </c>
      <c r="D5" s="92"/>
      <c r="E5" s="93">
        <v>1444782.5</v>
      </c>
      <c r="F5" s="88">
        <v>28324.0</v>
      </c>
      <c r="G5" s="93">
        <v>83305.88</v>
      </c>
      <c r="H5" s="93">
        <v>6705259.0</v>
      </c>
      <c r="I5" s="91" t="s">
        <v>561</v>
      </c>
      <c r="J5" s="94">
        <v>0.126</v>
      </c>
      <c r="K5" s="90" t="s">
        <v>562</v>
      </c>
    </row>
    <row r="6">
      <c r="C6" s="85" t="s">
        <v>560</v>
      </c>
      <c r="D6" s="86"/>
      <c r="E6" s="87">
        <v>1443187.5</v>
      </c>
      <c r="F6" s="88">
        <v>28571.74</v>
      </c>
      <c r="G6" s="87">
        <v>29739.42</v>
      </c>
      <c r="H6" s="87">
        <v>6847976.78</v>
      </c>
      <c r="I6" s="85" t="s">
        <v>566</v>
      </c>
      <c r="J6" s="89">
        <v>0.127</v>
      </c>
      <c r="K6" s="90" t="s">
        <v>562</v>
      </c>
    </row>
    <row r="7">
      <c r="C7" s="91" t="s">
        <v>560</v>
      </c>
      <c r="D7" s="92"/>
      <c r="E7" s="93">
        <v>1441012.5</v>
      </c>
      <c r="F7" s="88">
        <v>28975.1</v>
      </c>
      <c r="G7" s="93">
        <v>71598.98</v>
      </c>
      <c r="H7" s="93">
        <v>6954023.29</v>
      </c>
      <c r="I7" s="91" t="s">
        <v>563</v>
      </c>
      <c r="J7" s="94">
        <v>0.131</v>
      </c>
      <c r="K7" s="90" t="s">
        <v>562</v>
      </c>
    </row>
    <row r="8">
      <c r="C8" s="85" t="s">
        <v>560</v>
      </c>
      <c r="D8" s="86"/>
      <c r="E8" s="87">
        <v>1419580.0</v>
      </c>
      <c r="F8" s="88">
        <v>29491.53</v>
      </c>
      <c r="G8" s="87">
        <v>88474.58</v>
      </c>
      <c r="H8" s="87">
        <v>6953677.59</v>
      </c>
      <c r="I8" s="85" t="s">
        <v>567</v>
      </c>
      <c r="J8" s="89">
        <v>0.131</v>
      </c>
      <c r="K8" s="90" t="s">
        <v>562</v>
      </c>
    </row>
    <row r="9">
      <c r="C9" s="91" t="s">
        <v>560</v>
      </c>
      <c r="D9" s="92"/>
      <c r="E9" s="93">
        <v>1326772.5</v>
      </c>
      <c r="F9" s="88">
        <v>29505.02</v>
      </c>
      <c r="G9" s="93">
        <v>98350.08</v>
      </c>
      <c r="H9" s="93">
        <v>6946559.81</v>
      </c>
      <c r="I9" s="91" t="s">
        <v>567</v>
      </c>
      <c r="J9" s="94">
        <v>0.132</v>
      </c>
      <c r="K9" s="90" t="s">
        <v>562</v>
      </c>
    </row>
    <row r="10">
      <c r="C10" s="85" t="s">
        <v>560</v>
      </c>
      <c r="D10" s="86"/>
      <c r="E10" s="87">
        <v>1408612.5</v>
      </c>
      <c r="F10" s="88">
        <v>30134.27</v>
      </c>
      <c r="G10" s="87">
        <v>60272.03</v>
      </c>
      <c r="H10" s="87">
        <v>7103070.83</v>
      </c>
      <c r="I10" s="85" t="s">
        <v>568</v>
      </c>
      <c r="J10" s="89">
        <v>0.136</v>
      </c>
      <c r="K10" s="90" t="s">
        <v>562</v>
      </c>
    </row>
    <row r="11">
      <c r="C11" s="91" t="s">
        <v>560</v>
      </c>
      <c r="D11" s="92"/>
      <c r="E11" s="93">
        <v>1377843.75</v>
      </c>
      <c r="F11" s="88">
        <v>30491.98</v>
      </c>
      <c r="G11" s="93">
        <v>87119.94</v>
      </c>
      <c r="H11" s="93">
        <v>7223564.33</v>
      </c>
      <c r="I11" s="91" t="s">
        <v>565</v>
      </c>
      <c r="J11" s="94">
        <v>0.14</v>
      </c>
      <c r="K11" s="90" t="s">
        <v>562</v>
      </c>
    </row>
    <row r="12">
      <c r="C12" s="85" t="s">
        <v>560</v>
      </c>
      <c r="D12" s="86"/>
      <c r="E12" s="87">
        <v>1440612.5</v>
      </c>
      <c r="F12" s="88">
        <v>31022.62</v>
      </c>
      <c r="G12" s="87">
        <v>89612.25</v>
      </c>
      <c r="H12" s="87">
        <v>7323565.22</v>
      </c>
      <c r="I12" s="85" t="s">
        <v>573</v>
      </c>
      <c r="J12" s="89">
        <v>0.139</v>
      </c>
      <c r="K12" s="90" t="s">
        <v>562</v>
      </c>
    </row>
    <row r="13">
      <c r="C13" s="95" t="s">
        <v>560</v>
      </c>
      <c r="D13" s="96"/>
      <c r="E13" s="97">
        <v>1380783.75</v>
      </c>
      <c r="F13" s="98">
        <v>31074.62</v>
      </c>
      <c r="G13" s="97">
        <v>71471.62</v>
      </c>
      <c r="H13" s="97">
        <v>7508467.25</v>
      </c>
      <c r="I13" s="95" t="s">
        <v>570</v>
      </c>
      <c r="J13" s="99">
        <v>0.147</v>
      </c>
      <c r="K13" s="90" t="s">
        <v>562</v>
      </c>
    </row>
    <row r="16">
      <c r="F16" s="7" t="s">
        <v>507</v>
      </c>
      <c r="G16" s="21">
        <f>AVERAGE(G4:G13)</f>
        <v>75908.541</v>
      </c>
    </row>
    <row r="17">
      <c r="F17" s="7" t="s">
        <v>571</v>
      </c>
      <c r="G17" s="21">
        <f>MEDIAN(G4:G13)</f>
        <v>81223.255</v>
      </c>
    </row>
    <row r="18">
      <c r="F18" s="7" t="s">
        <v>572</v>
      </c>
      <c r="G18" s="21">
        <f>MAX(G4:G13)</f>
        <v>98350.08</v>
      </c>
      <c r="K18" s="90"/>
    </row>
    <row r="19">
      <c r="F19" s="7" t="s">
        <v>490</v>
      </c>
      <c r="G19" s="21">
        <f>MIN(G4:G13)</f>
        <v>29739.42</v>
      </c>
      <c r="K19" s="90"/>
    </row>
    <row r="20">
      <c r="K20" s="90"/>
    </row>
    <row r="21">
      <c r="K21" s="90"/>
    </row>
    <row r="22">
      <c r="K22" s="90"/>
    </row>
    <row r="23">
      <c r="K23" s="90"/>
    </row>
    <row r="24">
      <c r="K24" s="90"/>
    </row>
    <row r="25">
      <c r="K25" s="90"/>
    </row>
    <row r="26">
      <c r="K26" s="90"/>
    </row>
    <row r="27">
      <c r="K27" s="90"/>
    </row>
  </sheetData>
  <hyperlinks>
    <hyperlink r:id="rId1" ref="K4"/>
    <hyperlink r:id="rId2" ref="K5"/>
    <hyperlink r:id="rId3" ref="K6"/>
    <hyperlink r:id="rId4" ref="K7"/>
    <hyperlink r:id="rId5" ref="K8"/>
    <hyperlink r:id="rId6" ref="K9"/>
    <hyperlink r:id="rId7" ref="K10"/>
    <hyperlink r:id="rId8" ref="K11"/>
    <hyperlink r:id="rId9" ref="K12"/>
    <hyperlink r:id="rId10" ref="K13"/>
  </hyperlinks>
  <drawing r:id="rId11"/>
</worksheet>
</file>